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432" tabRatio="1000" activeTab="1"/>
  </bookViews>
  <sheets>
    <sheet name="Przedmiar spis 1" sheetId="1" r:id="rId1"/>
    <sheet name="Przedmiar spis 2" sheetId="2" r:id="rId2"/>
    <sheet name="Przedmiar M1" sheetId="3" r:id="rId3"/>
    <sheet name="Przedmiar M2" sheetId="4" r:id="rId4"/>
    <sheet name="Przedmiar D1" sheetId="5" r:id="rId5"/>
    <sheet name="Przedmiar D2" sheetId="6" r:id="rId6"/>
    <sheet name="Przedmiar K1" sheetId="7" r:id="rId7"/>
    <sheet name="Przedmiar K2" sheetId="8" r:id="rId8"/>
    <sheet name="Przedmiar sieci 1" sheetId="9" r:id="rId9"/>
    <sheet name="Przedmiar sieci 2" sheetId="10" r:id="rId10"/>
    <sheet name="Arkusz1" sheetId="11" r:id="rId11"/>
    <sheet name="Arkusz2" sheetId="12" r:id="rId12"/>
    <sheet name="Arkusz3" sheetId="13" r:id="rId13"/>
    <sheet name="Arkusz4" sheetId="14" r:id="rId14"/>
    <sheet name="Arkusz5" sheetId="15" r:id="rId15"/>
    <sheet name="Arkusz6" sheetId="16" r:id="rId16"/>
    <sheet name="Arkusz7" sheetId="17" r:id="rId17"/>
    <sheet name="Arkusz8" sheetId="18" r:id="rId18"/>
  </sheets>
  <definedNames>
    <definedName name="_xlnm.Print_Area" localSheetId="4">'Przedmiar D1'!$A$1:$H$48</definedName>
    <definedName name="_xlnm.Print_Area" localSheetId="5">'Przedmiar D2'!$A$1:$H$27</definedName>
    <definedName name="_xlnm.Print_Area" localSheetId="6">'Przedmiar K1'!$B$1:$H$32</definedName>
    <definedName name="_xlnm.Print_Area" localSheetId="7">'Przedmiar K2'!$B$1:$H$17</definedName>
    <definedName name="_xlnm.Print_Area" localSheetId="2">'Przedmiar M1'!$B$1:$H$94</definedName>
    <definedName name="_xlnm.Print_Area" localSheetId="3">'Przedmiar M2'!$B$1:$H$66</definedName>
    <definedName name="_xlnm.Print_Area" localSheetId="8">'Przedmiar sieci 1'!$A$1:$H$17</definedName>
    <definedName name="_xlnm.Print_Area" localSheetId="9">'Przedmiar sieci 2'!$A$1:$H$6</definedName>
    <definedName name="_xlnm.Print_Area" localSheetId="0">'Przedmiar spis 1'!$A$1:$B$11</definedName>
    <definedName name="_xlnm.Print_Area" localSheetId="1">'Przedmiar spis 2'!$A$1:$B$10</definedName>
    <definedName name="_xlnm.Print_Titles" localSheetId="4">'Przedmiar D1'!$2:$4</definedName>
    <definedName name="_xlnm.Print_Titles" localSheetId="5">'Przedmiar D2'!$2:$4</definedName>
    <definedName name="_xlnm.Print_Titles" localSheetId="2">'Przedmiar M1'!$4:$6</definedName>
    <definedName name="_xlnm.Print_Titles" localSheetId="3">'Przedmiar M2'!$4:$6</definedName>
    <definedName name="_xlnm.Print_Titles" localSheetId="8">'Przedmiar sieci 1'!$2:$3</definedName>
    <definedName name="_xlnm.Print_Titles" localSheetId="9">'Przedmiar sieci 2'!$2:$3</definedName>
  </definedNames>
  <calcPr fullCalcOnLoad="1"/>
</workbook>
</file>

<file path=xl/sharedStrings.xml><?xml version="1.0" encoding="utf-8"?>
<sst xmlns="http://schemas.openxmlformats.org/spreadsheetml/2006/main" count="1369" uniqueCount="403">
  <si>
    <t>Lp.</t>
  </si>
  <si>
    <t>Jednostka</t>
  </si>
  <si>
    <t>Pozycja Specyfikacji Technicznej</t>
  </si>
  <si>
    <t>Wyszczególnienie elementów rozliczeniowych</t>
  </si>
  <si>
    <t>USTROJE NOŚNE</t>
  </si>
  <si>
    <t>kg</t>
  </si>
  <si>
    <t>m</t>
  </si>
  <si>
    <t>FUNDAMENTY</t>
  </si>
  <si>
    <t>x</t>
  </si>
  <si>
    <t>ROBOTY PRZYGOTOWAWCZE</t>
  </si>
  <si>
    <t>ROBOTY WYKOŃCZENIOWE</t>
  </si>
  <si>
    <t>ROBOTY ZIEMNE</t>
  </si>
  <si>
    <t>ROBOTY  MOSTOWE</t>
  </si>
  <si>
    <t>ROBOTY PRZYOBIEKTOWE</t>
  </si>
  <si>
    <t>Wyszczególnienie robót</t>
  </si>
  <si>
    <t>Roboty mostowe</t>
  </si>
  <si>
    <t>Roboty drogowe</t>
  </si>
  <si>
    <t>Poz. KRM</t>
  </si>
  <si>
    <t>1) załącznik nr 1 - Katalog robót mostowych cz.I   Budowa - wyd. 2008 r.</t>
  </si>
  <si>
    <t>2) załącznik nr 2 - Katalog robót mostowych cz.II Remonty - wyd. 2008 r.</t>
  </si>
  <si>
    <t>PRACE PRZYGOTOWAWCZE</t>
  </si>
  <si>
    <t>PODBUDOWY</t>
  </si>
  <si>
    <t>NAWIERZCHNIE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</si>
  <si>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</si>
  <si>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</si>
  <si>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szt.</t>
  </si>
  <si>
    <t>D-04.01.01</t>
  </si>
  <si>
    <t>Wykonanie koryta wraz z profilowaniem i zagęszczeniem podłoża gruntowego</t>
  </si>
  <si>
    <t>D-04.04.01</t>
  </si>
  <si>
    <t>D-05.00.00</t>
  </si>
  <si>
    <t>D-06.01.01</t>
  </si>
  <si>
    <t>Umocnienie skarp przez humusowanie i obsianie przy gr. humusu 10 cm</t>
  </si>
  <si>
    <t>Pozycje przedmiaru i objęty nimi zakres robót są zgodne z "Katalogiem robót mostowych" wprowadzonym do stosowania zarządzeniem nr 8 Generalnego Dyrektora Dróg Publicznych z dnia 21 września 1998 r., stanowiące załączniki do zarządzenia:</t>
  </si>
  <si>
    <t>D-01.00.00</t>
  </si>
  <si>
    <t>D-01.02.02</t>
  </si>
  <si>
    <t>D-02.00.00</t>
  </si>
  <si>
    <t>D-02.01.01</t>
  </si>
  <si>
    <t>D-02.03.01</t>
  </si>
  <si>
    <t>D-04.00.00</t>
  </si>
  <si>
    <t>D-06.00.00</t>
  </si>
  <si>
    <t>M-20.00.00</t>
  </si>
  <si>
    <t>M-20.01.00</t>
  </si>
  <si>
    <t>M-21.00.00</t>
  </si>
  <si>
    <t>M-23.00.00</t>
  </si>
  <si>
    <t>M-23.25.00</t>
  </si>
  <si>
    <t>M-29.00.00</t>
  </si>
  <si>
    <t>M 28.00.00</t>
  </si>
  <si>
    <t>WYPOSAŻENIE</t>
  </si>
  <si>
    <t>PUNKTY POMIAROWE</t>
  </si>
  <si>
    <t>M-20.01.01</t>
  </si>
  <si>
    <t>M-30.00.00</t>
  </si>
  <si>
    <t>HYDROIZOLACJA</t>
  </si>
  <si>
    <t>WYTYCZENIE GEODEZYJNE OBIEKTU DROGOWEGO</t>
  </si>
  <si>
    <t>M 28.03.00</t>
  </si>
  <si>
    <t>M 28.03.01</t>
  </si>
  <si>
    <t xml:space="preserve">BALUSTRADY STALOWE NA OBIEKTACH MOSTOWYCH  </t>
  </si>
  <si>
    <t>M 29.25.00</t>
  </si>
  <si>
    <t>M 29.25.01</t>
  </si>
  <si>
    <t xml:space="preserve">Osadzenie w konstrukcji obiektu punktów pomiarowych </t>
  </si>
  <si>
    <t>ROBOTY NAWIERZCHNIOWE I ZABEZPIECZAJĄCE</t>
  </si>
  <si>
    <t>M 30.20.00</t>
  </si>
  <si>
    <t>M-30.20.05</t>
  </si>
  <si>
    <t>ZABEZPIECZENIE ANTYKOROZYJNE POW. BETONOWYCH - ZAMKNIĘCIE POWIERZCHNI O GRUBOŚCI POWŁOKI 0,05&lt;d&lt;0,3 mm</t>
  </si>
  <si>
    <t>Wykonanie zabezpieczenia pow. betonowej powłoką o grub.&lt;0,05d&lt;0,3 mm dyspersją polimerową</t>
  </si>
  <si>
    <t>M 27.00.00</t>
  </si>
  <si>
    <t>M 29.10.00</t>
  </si>
  <si>
    <t>M 29.10.01</t>
  </si>
  <si>
    <t>M 30.21.00</t>
  </si>
  <si>
    <t>M-30.21.05</t>
  </si>
  <si>
    <t>ZABEZPIECZENIE POWIERZCHNI PRZED GRAFFITI</t>
  </si>
  <si>
    <t>Wykonanie zabezpieczenia pow. betonowej przed graffiti - zabezpieczenie trwałe transparentne</t>
  </si>
  <si>
    <t>D-08.00.00</t>
  </si>
  <si>
    <t>ELEMENTY ULIC</t>
  </si>
  <si>
    <t>D-08.02.02</t>
  </si>
  <si>
    <t>Wykonanie wykopu z transportem na odkład</t>
  </si>
  <si>
    <t>szt</t>
  </si>
  <si>
    <t>D-10.00.00</t>
  </si>
  <si>
    <t>INNE ROBOTY</t>
  </si>
  <si>
    <t>D-10.05.01</t>
  </si>
  <si>
    <t>PRACE POMIAROWE</t>
  </si>
  <si>
    <t>USTROJE TUNELOWE</t>
  </si>
  <si>
    <t>M-23.25.01</t>
  </si>
  <si>
    <t>USTRÓJ TUNELOWY RAMOWY - "NA MOKRO" - MET. OTWARTA</t>
  </si>
  <si>
    <t>M 27.02.00</t>
  </si>
  <si>
    <t>IZOLACJE ARKUSZOWE</t>
  </si>
  <si>
    <t>M 27.01.07</t>
  </si>
  <si>
    <t>M 27.02.07</t>
  </si>
  <si>
    <t xml:space="preserve">BALUSTRADY </t>
  </si>
  <si>
    <t>M 28.16.00</t>
  </si>
  <si>
    <t xml:space="preserve">ŚCIEKI PRZYKRAWĘŻNIKOWE </t>
  </si>
  <si>
    <t>M 28.16.01</t>
  </si>
  <si>
    <t>ŚCIEKI PRZY KRAWĘŻNIKOWE Z PREFABRYKOWANYCH ELEMENTÓW Z BETONU POLIMEROWEGO</t>
  </si>
  <si>
    <t>M 29.01.00</t>
  </si>
  <si>
    <t xml:space="preserve">ODWODNIENIE ZASYPKI PRZYCZÓŁKA </t>
  </si>
  <si>
    <t>M 29.01.01</t>
  </si>
  <si>
    <t>M 29.03.00</t>
  </si>
  <si>
    <t>ROBOTY ZIEMNE W REJONIE PRZYCZÓŁKÓW</t>
  </si>
  <si>
    <t>M 29.03.01</t>
  </si>
  <si>
    <t>ODCINKI PRZEJŚCIOWE POD TORAMI</t>
  </si>
  <si>
    <t>Wykonanie odcinków przejściowych (progowych) pod torami z geosyntetyków i kruszywa</t>
  </si>
  <si>
    <t>SCHODY</t>
  </si>
  <si>
    <t>SCHODY NA SKARPIE DLA OBSŁUGI</t>
  </si>
  <si>
    <t>M 30.05.00</t>
  </si>
  <si>
    <t>NAWIERZCHNIE "CHODNIKÓW" OBIEKTÓW MOSTOWYCH</t>
  </si>
  <si>
    <t>M-30.05.02</t>
  </si>
  <si>
    <t>NAWIERZCHNIA CHODNIKA Z ŻYWIC SYNTETYCZNYCH</t>
  </si>
  <si>
    <t xml:space="preserve">Wykonanie nawierzchni na chodniku i ścieżce rowerowej z żywic syntetycznych o grub. 6 mm </t>
  </si>
  <si>
    <t>ZABEZPIECZENIE ANTYKOROZYJNE POWIERZCHNI BETONU</t>
  </si>
  <si>
    <t>km</t>
  </si>
  <si>
    <t>ZDJĘCIE WARSTWY HUMUSU LUB/I DARNINY</t>
  </si>
  <si>
    <t>WYKONANIE WYKOPÓW W GRUNTACH I -V KAT.</t>
  </si>
  <si>
    <t>WYKONANIE NASYPÓW</t>
  </si>
  <si>
    <t>KORYTO WRAZ Z PROFILOWANIEM I ZAGĘSZCZENIEM PODŁOŻA</t>
  </si>
  <si>
    <t>CHODNIKI Z KOSTKI BRUKOWEJ BETONOWEJ</t>
  </si>
  <si>
    <t>ŚCIEŻKI ROWEROWE</t>
  </si>
  <si>
    <t>Wykonanie podbudowy zasadniczej pod nawierzchnię chodnika i ścieżki rowerowej z mieszanki kruszyw niezwiązanych 0/31,5 mm gr. 15 cm</t>
  </si>
  <si>
    <t>D-05.01.04a</t>
  </si>
  <si>
    <t>NAWIERZCHNIA Z MIESZANKI KRUSZYWA NIEZWIĄZANEGO</t>
  </si>
  <si>
    <t>ROBOTY  DROGOWE - CHODNIK I ŚCIEŻKA ROWEROWA</t>
  </si>
  <si>
    <t>KANALIZACJA DESZCZOWA</t>
  </si>
  <si>
    <t>D-03.02.01</t>
  </si>
  <si>
    <t>kpl</t>
  </si>
  <si>
    <t>Roboty kolejowe</t>
  </si>
  <si>
    <t>D-08.05.01</t>
  </si>
  <si>
    <t>ŚCIEKI</t>
  </si>
  <si>
    <t>Oświetlenie i zasilanie przepompowni</t>
  </si>
  <si>
    <t>ROBOTY  KOLEJOWE</t>
  </si>
  <si>
    <t>Ilość</t>
  </si>
  <si>
    <t>K-11.00.00</t>
  </si>
  <si>
    <t>ROBOTY  TOROWE</t>
  </si>
  <si>
    <t>K-11.01.00</t>
  </si>
  <si>
    <t xml:space="preserve">Rozbiórka nawierzchni torowej wraz z demontażem i segregacją materiałów                                                                                                              </t>
  </si>
  <si>
    <t xml:space="preserve">Ręczna rozbiórka nawierzchni toru na linii nr 996 z szyn S49 na podkładach drewnianych z przytwierdzeniem K                                                                                                             </t>
  </si>
  <si>
    <t xml:space="preserve">Ręczna rozbiórka nawierzchni 2 torów na linii nr 401 z szyn S60 na podkładach betonowych PS-94 z przytwierdzeniem SB - tor bezstykowy                                                                                                              </t>
  </si>
  <si>
    <t>Ułożenie nawierzchni kolejowej wraz z mechanicznym oczyszczeniem i uzupełnieniem podsypki tłuczniowej</t>
  </si>
  <si>
    <t>Ręczne układanie toru kolejowego na linii 996 z szyn S49 na podkładach drewnianych z przytwierdzeniem K</t>
  </si>
  <si>
    <t xml:space="preserve">Ułożenie nawierzchni 2 torów na linii 401 z szyn S60 na podkładach betonowych PS-94 z przytwierdzeniem SB - tor bezstykowy   </t>
  </si>
  <si>
    <t xml:space="preserve">Wybranie i oczyszczenie podsypki (grubość warstwy 0,20 – 0,35 m)                    </t>
  </si>
  <si>
    <t xml:space="preserve">Dowóz podsypki dla uzupełnienia pryzmy                                                               </t>
  </si>
  <si>
    <t>m³</t>
  </si>
  <si>
    <t>Zabudowa złącz  izolowanych oraz styków zgrzewanych lub spawanych</t>
  </si>
  <si>
    <t xml:space="preserve">Spawanie szyn metodą termitową                                                  </t>
  </si>
  <si>
    <t xml:space="preserve">Regulacje torów                                                     </t>
  </si>
  <si>
    <t>Zabezpieczenie rozebranych odcinków toru na linii nr 401 kozłami oporowymi, zasypka 10 m</t>
  </si>
  <si>
    <t xml:space="preserve">TOROWE KONSTRUKCJE ODCIĄŻAJĄCE </t>
  </si>
  <si>
    <t>Transport, montaż i demontaż przęsła konstrukcji odciążającej dźwigarowej o długości min. 14 m łącznie z podporami</t>
  </si>
  <si>
    <t>PRZEDMIAR ROBÓT</t>
  </si>
  <si>
    <t xml:space="preserve">Wytyczenie geodezyjne ciągu pieszo-rowerowego i przejść podziemnych pod torami  </t>
  </si>
  <si>
    <t>rycz.</t>
  </si>
  <si>
    <t>Nazwa</t>
  </si>
  <si>
    <t>Suma</t>
  </si>
  <si>
    <t>1,00=</t>
  </si>
  <si>
    <t>Przejście podziemne pod linią kolejową nr 401</t>
  </si>
  <si>
    <t>Przejście podziemne pod linią kolejową nr 996</t>
  </si>
  <si>
    <t xml:space="preserve">Pochylnie nr "I" i "II" </t>
  </si>
  <si>
    <t>Przygotowanie i montaż zbrojenia pochylni ze stali klasy A IIIN</t>
  </si>
  <si>
    <t>M-25.00.00</t>
  </si>
  <si>
    <t xml:space="preserve">URZĄDZENIA DYLATACYJN E </t>
  </si>
  <si>
    <t>M-25.01.00</t>
  </si>
  <si>
    <t>M-25.01.14</t>
  </si>
  <si>
    <t>M 28.02.00</t>
  </si>
  <si>
    <t>KAPY CHODNIKOWE</t>
  </si>
  <si>
    <t>M 28.02.03</t>
  </si>
  <si>
    <t>KAPY CHODNIKOWE Z PREFABRYKOWANĄ DESKĄ GZYMSOWĄ</t>
  </si>
  <si>
    <t>Wytworzenie i montaż balustrady stalowej wg rozwiązania indywidualnego o wys. h=1100 mm, z zabezpieczeniem antykorozyjnym</t>
  </si>
  <si>
    <t xml:space="preserve">59 
71
82
83 </t>
  </si>
  <si>
    <t>01
51</t>
  </si>
  <si>
    <t>2*2=</t>
  </si>
  <si>
    <t>2*1=</t>
  </si>
  <si>
    <t xml:space="preserve">Uszynienie konstrukcji odciążających pod torami linii nr 401 - montaż i podłączenie ogranicznika niskonapięciowego oraz jego demontaż </t>
  </si>
  <si>
    <t xml:space="preserve">Uszynienie konstrukcji balustrad przy torach linii nr 401 - montaż i podłączenie ogranicznika niskonapięciowego </t>
  </si>
  <si>
    <t>D-01.02.01</t>
  </si>
  <si>
    <t xml:space="preserve">Usunięcie drzew o średnicy pnia do 30 cm wraz z karczowaniem </t>
  </si>
  <si>
    <t>Usunięcie warstwy ziemi urodzajnej (humusu) z wywozem na odkład</t>
  </si>
  <si>
    <t>Ułożenie ścieków z elementów prefabrykowanych betonowych typu trójkątnego wg KPED 01.05; 01.06 na podsypce cem. piaskowej 1:4 gr. 9 cm</t>
  </si>
  <si>
    <t>Nawierzchnia chodnika i opaska separacyjna z kostki betonowej  gr.8 cm na podsypce cem. piaskowej 1:4 gr. 4 cm</t>
  </si>
  <si>
    <t>181,00=</t>
  </si>
  <si>
    <t>2,00=</t>
  </si>
  <si>
    <t>393,94=</t>
  </si>
  <si>
    <t xml:space="preserve">PODBUDOWA Z KRUSZYWA </t>
  </si>
  <si>
    <t>K-15.00.00</t>
  </si>
  <si>
    <t>K-15.02.00</t>
  </si>
  <si>
    <t>K-16.00.00</t>
  </si>
  <si>
    <t>K-16.01.00</t>
  </si>
  <si>
    <t>ROBOTY NAWIERZCHNIOWE</t>
  </si>
  <si>
    <t>KONSTRUKCJE ODCIĄŻAJĄCE DŹWIGAROWE</t>
  </si>
  <si>
    <t>USZYNIENIE KONSTRUKCJI STALOWYCH</t>
  </si>
  <si>
    <t>0,045=</t>
  </si>
  <si>
    <t>2*0,045=</t>
  </si>
  <si>
    <t>342,00=</t>
  </si>
  <si>
    <t>93,67=</t>
  </si>
  <si>
    <t>11 426,00=</t>
  </si>
  <si>
    <t xml:space="preserve">Wykonanie 2 pochylni "na mokro" z betonu klasy C30/37 [B-35] </t>
  </si>
  <si>
    <t>28 090,00=</t>
  </si>
  <si>
    <t>4,70=</t>
  </si>
  <si>
    <t>M-23.51.00</t>
  </si>
  <si>
    <t>PRZĘSŁA BETONOWE</t>
  </si>
  <si>
    <t>M-23.51.20</t>
  </si>
  <si>
    <t>WYRÓWNANIE I WYPROFILOWANIE POWIERZCHNI BETONU ZAPRAWAMI TYPU PCC NAKŁADANYMI RĘCZNIE</t>
  </si>
  <si>
    <t>Wyrównanie i wyprofilowanie powierzchni betonu na płycie dennej pochylni i przejść pod torami - zaprawami typu PCC nakładanymi ręcznie na głębokość 2 cm</t>
  </si>
  <si>
    <t>M-21.53.00</t>
  </si>
  <si>
    <t>ROBOTY ZIEMNE PRZY FUNDAMENTACH</t>
  </si>
  <si>
    <t>M-21.53.01</t>
  </si>
  <si>
    <t xml:space="preserve">WYKOPY OTWARTE BEZ ZABEZPIECZEŃ </t>
  </si>
  <si>
    <t>M-21.53.02</t>
  </si>
  <si>
    <t>WYKOPY W ŚCIANCE SZCZELNEJ</t>
  </si>
  <si>
    <t>Koszt elementów ścieku o szerokości 280 mm, wysokości 60 mm, dł. 1000 mm i ułożenie ścieku na podlewce z mieszanek niskoskurczowych</t>
  </si>
  <si>
    <t xml:space="preserve">Koszt desek  gzymsowych z "polimerobetonu" o wysokości 290 mm, grubości 40 mm, długości 990 mm wraz z montażem desek </t>
  </si>
  <si>
    <t>USZCZELNIENIE SZCZELIN DYLATACYJNYCH I PRZERW ROBOCZYCH</t>
  </si>
  <si>
    <t xml:space="preserve">MEMBRANA HYDROIZOLACYJNA </t>
  </si>
  <si>
    <t xml:space="preserve">Wykonanie na ścianach pochylni i przejścia pod torami linii nr 401 hydroizolacji na osnowie z elastycznych poliolefin i warstwą polipropylenowej włókniny </t>
  </si>
  <si>
    <t>1 098,30=</t>
  </si>
  <si>
    <t>M 27.01.00</t>
  </si>
  <si>
    <t>IZOLACJE POWŁOKOWE</t>
  </si>
  <si>
    <t>M 27.01.01</t>
  </si>
  <si>
    <t>POWŁOKOWA IZOLACJA BITUMICZA - "NA ZIMNO"</t>
  </si>
  <si>
    <t>Wykonanie powłokowej izolacji bitumicznej układanej " na zimno" na ścianch pionowych przejścia i skrzydeł pod linią kolejową nr 996</t>
  </si>
  <si>
    <t>URZĄDZENIA DYLATACYJNE "SZCZELNE"</t>
  </si>
  <si>
    <t>85,60=</t>
  </si>
  <si>
    <t>1 577,11=</t>
  </si>
  <si>
    <t>274,96=</t>
  </si>
  <si>
    <r>
      <t>Wykonanie ustroju tunelowego "na mokro" z betonu klasy C30/37 [B-35] o powierzchni otworu powyżej 10 m</t>
    </r>
    <r>
      <rPr>
        <vertAlign val="superscript"/>
        <sz val="10"/>
        <rFont val="Arial"/>
        <family val="2"/>
      </rPr>
      <t xml:space="preserve">2 </t>
    </r>
  </si>
  <si>
    <t>Wykonanie uszczelnienia szczeliny dylatacyjnej zewnętrzątrz i wewnątrz konstrukcji taśmą dylatacyjną odporną na ciśnienie wody do 0,5 bar</t>
  </si>
  <si>
    <t xml:space="preserve">ODWODNIENIE ZASYPKI ŚCIAN POCHYLNI I PRZEJŚĆ POD TORAMI </t>
  </si>
  <si>
    <t>ZASYPKA ŚCIAN POCHYLNI I PRZEJŚĆ POD TORAMI</t>
  </si>
  <si>
    <t>UMOCNIENIA POWIERZCHNIOWE SKARP</t>
  </si>
  <si>
    <t>USUNIĘCIE DRZEW LUB KRZEWÓW</t>
  </si>
  <si>
    <t>M-21.53.05</t>
  </si>
  <si>
    <t>ŚCIANKA SZCZELNA Z GRODZIC STALOWYCH</t>
  </si>
  <si>
    <t>M-21.53.50</t>
  </si>
  <si>
    <t>USUNIĘCIE ŚCIANKI SZCZELNEJ Z GRODZIC STALOWYCH</t>
  </si>
  <si>
    <t>71,81=</t>
  </si>
  <si>
    <t>8 109,00=</t>
  </si>
  <si>
    <t>HYDROIZOLACYJNY SYSTEM NATRYSKOWY NA BAZIE METAKRYLU METYLU</t>
  </si>
  <si>
    <t>Wykonanie na górnych betonowych powierzchniach  przejść pod torami hydroizolacji na bazie metakrylu metylu gr. 3 mm</t>
  </si>
  <si>
    <t>Nawierzchnia ścieżki rowerowej z kostki betonowej niefazowanej o gr. 8 cm na podsypce cem. piaskowej 1:4 gr. 4 cm wraz z oznakowaniem poziomym i pionowym drogi rowerowej</t>
  </si>
  <si>
    <t>K-11.01.01</t>
  </si>
  <si>
    <t>K-11.01.02</t>
  </si>
  <si>
    <t>KOLEJOWA SIEĆ TRAKCYJNA</t>
  </si>
  <si>
    <t>K-14.00.00</t>
  </si>
  <si>
    <t>K-14.00.01</t>
  </si>
  <si>
    <t>D-01.03.04</t>
  </si>
  <si>
    <t>ZABEZPIECZENIE SIECI TECHNICZNYCH</t>
  </si>
  <si>
    <t>Zabezpieczenie kabli telekomunikacyjnych, srk i elektroenergetyczntch</t>
  </si>
  <si>
    <t>D-01.02.00</t>
  </si>
  <si>
    <t>m3</t>
  </si>
  <si>
    <t>359,33=</t>
  </si>
  <si>
    <t>1,84=</t>
  </si>
  <si>
    <t>Demontaż ogrodzenia z siatki leśnej przy zbiorniku na czas prowadzenia robót odmulenia zbiornika i  ponowny montaż siatki</t>
  </si>
  <si>
    <t>mb</t>
  </si>
  <si>
    <t>155,00=</t>
  </si>
  <si>
    <t>4,00=</t>
  </si>
  <si>
    <t>PRZEPOMPOWNIA ŚCIEKÓW</t>
  </si>
  <si>
    <t xml:space="preserve">Przepompownia - montaż, uruchomienie, autoryzacja, przeszkolenie obsługi oraz podłączenie do systemu monitoringu i wizualizacji GPRS, wraz z wyposażeniem </t>
  </si>
  <si>
    <t xml:space="preserve">Zabetonowanie korka betonowego metodą betonowania pod wodą i betonowego pierścienia balastowego z betonu C12/15 </t>
  </si>
  <si>
    <t>17,10=</t>
  </si>
  <si>
    <t>D-03.02.04</t>
  </si>
  <si>
    <t>D-03.02.02</t>
  </si>
  <si>
    <t>D-03.02.03</t>
  </si>
  <si>
    <t xml:space="preserve">Wykonanie ogrodzenia przepompowni z prefabrykowanych elementów panelowych, zgrzewanych z pionowych i poziomych prętów o średnicy 5 mm o oczkach 50  x 200 mm, o wysokości 200 cm oraz bramy dwuskrzydłowej o szerokośći 4,00 m.   </t>
  </si>
  <si>
    <t>Nr strony</t>
  </si>
  <si>
    <t xml:space="preserve">PRZEDMIAR ROBÓT - ZESTAWIENIE </t>
  </si>
  <si>
    <t>231,00=</t>
  </si>
  <si>
    <t>Wykonanie ścianki szczelnej z grodzic stalowych z usunięciem "wyrwaniem" ścianki</t>
  </si>
  <si>
    <t>OŚWIETLENIE I ZASILANIE PRZEPOMPOWNI</t>
  </si>
  <si>
    <t xml:space="preserve">Budowa linii kablowej oświetleniowej YKY3x2,5 w rurze PE w tunelu pod torami </t>
  </si>
  <si>
    <t>Montaż szafki oświetlenia ulicznego wraz z wykonaniem i zasypaniem wykopu</t>
  </si>
  <si>
    <t>Montaż szafki kablowej 3-polowej 400A</t>
  </si>
  <si>
    <t>Montaż instalacji uziemiającej - uziom poziomy FeZn30x4 240m, uziom prętowy h=3m - 3 szt.</t>
  </si>
  <si>
    <t xml:space="preserve">Wykonanie pomiarów powykonawczych </t>
  </si>
  <si>
    <t>8,00=</t>
  </si>
  <si>
    <t>239,00=</t>
  </si>
  <si>
    <t>65,00=</t>
  </si>
  <si>
    <t>10,00=</t>
  </si>
  <si>
    <t>Odmulenie zbiornika do rzędnej docelowej -0,45 mnom - +0,30 m npm z transportem i rozplantowaniem urobku oraz plantowaniem skarp zbiornika</t>
  </si>
  <si>
    <t xml:space="preserve">Umocnienie wylotu kanalizacji materacem gabionowym o wym. 4,00x2,00 x0,23 m ułożonym na warstwie geowłókniny i wykonanie palisady </t>
  </si>
  <si>
    <t>90,00=</t>
  </si>
  <si>
    <t>144,00=</t>
  </si>
  <si>
    <t>17,00=</t>
  </si>
  <si>
    <t>54,00=</t>
  </si>
  <si>
    <t>16,00=</t>
  </si>
  <si>
    <t>17,50=</t>
  </si>
  <si>
    <t>0,50=</t>
  </si>
  <si>
    <t>22,39=</t>
  </si>
  <si>
    <t>174,24=</t>
  </si>
  <si>
    <r>
      <t>Budowa linii kablowej kablem w gruncie, z wykonaniem i zasypaniem wykopu - kabel typu YAKY 4x25 mm</t>
    </r>
    <r>
      <rPr>
        <vertAlign val="superscript"/>
        <sz val="10"/>
        <rFont val="Arial"/>
        <family val="2"/>
      </rPr>
      <t xml:space="preserve">2 </t>
    </r>
  </si>
  <si>
    <r>
      <t>Budowa linii kablowej kablem w gruncie, z wykonaniem i zasypaniem wykopu - kabel  zasilający pompownię typu YAKY 4x10 mm</t>
    </r>
    <r>
      <rPr>
        <vertAlign val="superscript"/>
        <sz val="10"/>
        <rFont val="Arial"/>
        <family val="2"/>
      </rPr>
      <t xml:space="preserve">2 </t>
    </r>
  </si>
  <si>
    <t>Zabezpieczenie sieci technicznych</t>
  </si>
  <si>
    <t>Stawianie słupów oświetleniowych aluminiowych, anodowanych na kolor szampański, na fundamentach betonowych o wysokości 7m, bez wysięgnika z wykonaniem i zasypaniem wykopu w gruncie kat. III wraz z oprawą oświetleniową ze źródłem światła LED, o strumieniu świetlnym minimum 4850lumenów i mocy max. 42W  (sprawność minimum114 Im/W, IP 66 dla części optycznej i układu zasilającego, II kl. ochronności oraz złączami bezpiecznikowymi</t>
  </si>
  <si>
    <t>SIECI TECHNICZNE</t>
  </si>
  <si>
    <t>M-26.00.00</t>
  </si>
  <si>
    <t xml:space="preserve">ODWODNIENIE </t>
  </si>
  <si>
    <t>M-26.01.00</t>
  </si>
  <si>
    <t>ODWODNIENIE PŁYTY POMOSTU</t>
  </si>
  <si>
    <t>M-26.01.01</t>
  </si>
  <si>
    <t>WPUSTY MOSTOWE</t>
  </si>
  <si>
    <t>Koszt i montaż wpustu mostowego żeliwnego bez osadnika z odpływem pionowym o średnicy wylotu 160 mm, z kratą żeliwną mocowaną na zawiasie wraz podbudową z betonu C12/15</t>
  </si>
  <si>
    <t>M-26.02.00</t>
  </si>
  <si>
    <t>M-26.02.02</t>
  </si>
  <si>
    <t>1; 51</t>
  </si>
  <si>
    <t>Wykonanie kanału z rur HD-PE o średnicy d=315 mm metodą przewiertu sterowanego</t>
  </si>
  <si>
    <t xml:space="preserve">Wykonanie instalacji z rur HD-PE o średnicy d=200 mm w wykopie otwartym wraz z robotami ziemnymi i odwodnieniem wykopu </t>
  </si>
  <si>
    <t>Wykonanie instalacji z rur HD-PE o średnicy d=160 mm w wykopie otwartym wraz z robotami ziemnymi i odwodnieniem wykopu</t>
  </si>
  <si>
    <t>M-26.02.08</t>
  </si>
  <si>
    <t>KOLEKTOR OBIEKTOWY Z RURY STALOWEJ - ANALOGIA STALOWA RURA OSŁONOWA</t>
  </si>
  <si>
    <t>Wykonanie rurociągu tłocznego z rur HD-PE o średnicy d=160 mm w wykopie otwartym wraz z robotami ziemnymi i odwodnieniem wykopu</t>
  </si>
  <si>
    <t>D-03.00.00</t>
  </si>
  <si>
    <t>ODWODNIENIE DROGOWE</t>
  </si>
  <si>
    <t>D-03.05.01a</t>
  </si>
  <si>
    <t>ZBIORNIKI INFILTRACYJNE</t>
  </si>
  <si>
    <t>D-07.00.00</t>
  </si>
  <si>
    <t xml:space="preserve">URZĄDZENIA BEZPIECZEŃSTWA </t>
  </si>
  <si>
    <t>D-07.06.01a</t>
  </si>
  <si>
    <t>OGRODZENIA Z SIATKI METALOWEJ</t>
  </si>
  <si>
    <t>7</t>
  </si>
  <si>
    <t>9</t>
  </si>
  <si>
    <t>10</t>
  </si>
  <si>
    <t xml:space="preserve">Wykonanie instalacji z rur HD-PE o średnicy d=250 mm wraz z rewizjami d=200 mm w wykopie otwartym wraz z robotami ziemnymi i odwodnieniem wykopu </t>
  </si>
  <si>
    <t>22,90=</t>
  </si>
  <si>
    <t>Ułożenie rury osłonowej stalowej Ø 406,4*10 pod przejściem pod torami linii nr 401 w wykopie otwartym wraz z robotami ziemnymi i odwodnieniem wykopu</t>
  </si>
  <si>
    <t>Zamontowanie rury osłonowej stalowej Ø 457,0*10,0 mm przez ściankę szczelną przy przepompowni w wykopie otwartym wraz z robotami ziemnymi i odwodnieniem wykopu</t>
  </si>
  <si>
    <t>ODPROWADZENIE ŚCIEKÓW</t>
  </si>
  <si>
    <t>INSTALACJA ODROWADZAJĄCA ŚCIEKI Z WPUSTÓW RURAMI HD-PE</t>
  </si>
  <si>
    <t>ODWODNIENIE WYKOPU PRZEZ POMPOWANIE WODY</t>
  </si>
  <si>
    <t xml:space="preserve">Pompowanie wody z wykopu </t>
  </si>
  <si>
    <t xml:space="preserve">rycz. </t>
  </si>
  <si>
    <t>Wykonanie zasypki przyczółka - zasypanie przestrzeni za ścianami pochylni i przejść pod torami gruntem niespoistym z odkładu</t>
  </si>
  <si>
    <t xml:space="preserve">KOSZTY I OPŁATY NA RZECZ PKP   </t>
  </si>
  <si>
    <t xml:space="preserve">Koszty zmiany organizacji przewozów kolejowych, wyłączenia i zabezpieczenia sieci trakcyjnej, opracowania tymczasowego regulaminu prowadzenia ruchu, nadzoru kolejowego, opłaty za czasowe użytkowanie terenu kolejowego i pozostałe opłaty na rzecz PKP  </t>
  </si>
  <si>
    <t>250,36=</t>
  </si>
  <si>
    <t>2*2,00=</t>
  </si>
  <si>
    <t>2*0,100=</t>
  </si>
  <si>
    <t xml:space="preserve">Jednorazowa naprawa nowoułożonych torów - 2 torów na linii 401                                                         </t>
  </si>
  <si>
    <t>Dzierżawa 2 przęseł konstrukcji odciążającej o długości min. 14 m z utrzymaniem i konserwacją konstrukcji</t>
  </si>
  <si>
    <t>Wykonanie wykopu w ściance szczelnej z transportem gruntu na odkład</t>
  </si>
  <si>
    <t>Wykonanie wykopu otwartego bez zabezpieczeń z transportem gruntu na odkład</t>
  </si>
  <si>
    <t>Wykonanie ścianki szczelnej z grodzic stalowych przy przejściu pod torami i pochylniach z pozostawieniem ścianki w gruncie "traconej" wraz z wykonaniem i demontażem rozparcia ścianki</t>
  </si>
  <si>
    <t xml:space="preserve">Zabicie ścianki szczelnej traconej wokół przepompowni wraz z rozparciem ścianki </t>
  </si>
  <si>
    <t>Przygotowanie i montaż zbrojenia ustroju tunelowego ze stali klasy A IIIN</t>
  </si>
  <si>
    <t>Wykonanie odwodnienia zasypki przyczółka z użyciem folii kubełkowej HDPE</t>
  </si>
  <si>
    <t>Wykonanie schodów na skarpie dla obsługi, jednobiegowe, prostopadłe do toru, z elem. prefabrykowanych, z wykonaniem jednostronnej balustrady, wytworzeniem elementów prefabrykowanych i zabezpieczeniem antykorozyjnym konstrukcji  balustrad poprzez malowanie</t>
  </si>
  <si>
    <t xml:space="preserve">Umieszczenie w pobliżu obiektu znaków wysokościowych z dowiązaniem ich do niwelacji państwowej </t>
  </si>
  <si>
    <t>Wykonanie nasypu, grunt z transportem z odkładu</t>
  </si>
  <si>
    <t xml:space="preserve">Wykonanie studni D3 o śr. 1200 mm  wlotowej z rowu odwadniającego torowisko z montażem osadnika prefabrykowanego wg KPED 01.14 wraz z robotami ziemnymi </t>
  </si>
  <si>
    <t xml:space="preserve">Wykonanie studni rewizyjnej D1 i D2 z kręgów betonowych o śr. 1200 mm wraz z włazem żeliwnym  B125 z pokrywą wypełnioną betonem, wysokość studni 2,00 m wraz z robotami ziemnymi i odwodnieniem wykopu </t>
  </si>
  <si>
    <t xml:space="preserve">Wykonanie studni rewizyjnej D5 z kręgów betonowych o śr. 1200 mm z osadnikiem, włazem żeliwnym  B125 z pokrywą wypełnioną betonem, wysokość studni 5,20 m wraz z robotami ziemnymi i odwodnieniem wykopu </t>
  </si>
  <si>
    <t>Wpust deszczowy uliczny D4 o wys. 2,00 m  z kręgów betonowych d= 45 cm z częścią osadnikową z odejściem Ø 200 mm oraz z wpustem żeliwnym kołnierzowym klasy D400 o wymiarach 620x 420 mm mocowanym na zawiasie wraz z robotami ziemnymi i odwodnieniem wykopu</t>
  </si>
  <si>
    <t>Odmulenie zbiornika do rzędnej docelowej -0,45 m npm z transportem i rozplantowaniem urobku oraz plantowaniem skarp zbiornika</t>
  </si>
  <si>
    <t xml:space="preserve">Wykonanie nawierzchni chodnika i ścieżki rowerowej z kruszywa niezwiązanego (łamanego) o grubości 21 cm na odcinku za torem nr 996 </t>
  </si>
  <si>
    <t>Wykonanie studni rewizyjnych z rur HD-PE o średnicy d=315 mm z pokrywą betonową i rewizją HD-PE o średnicy d=200 mm</t>
  </si>
  <si>
    <t>7,00=</t>
  </si>
  <si>
    <t>41,78=</t>
  </si>
  <si>
    <t>110,55=</t>
  </si>
  <si>
    <t>192,94=</t>
  </si>
  <si>
    <t>169,98=</t>
  </si>
  <si>
    <t>103,80=</t>
  </si>
  <si>
    <t>537,56=</t>
  </si>
  <si>
    <t>22,00=</t>
  </si>
  <si>
    <t>392,20=</t>
  </si>
  <si>
    <t>366,64=</t>
  </si>
  <si>
    <t>308,71=</t>
  </si>
  <si>
    <t>1 168,68=</t>
  </si>
  <si>
    <t>1,18=</t>
  </si>
  <si>
    <t>22,48=</t>
  </si>
  <si>
    <t>31,84=</t>
  </si>
  <si>
    <t>28,15=</t>
  </si>
  <si>
    <t>9,40=</t>
  </si>
  <si>
    <t>307,65=</t>
  </si>
  <si>
    <t>982,02=</t>
  </si>
  <si>
    <t>13,00=</t>
  </si>
  <si>
    <t>59,20=</t>
  </si>
  <si>
    <t>99,87=</t>
  </si>
  <si>
    <t>95,64=</t>
  </si>
  <si>
    <t>10=</t>
  </si>
  <si>
    <t>195,97=</t>
  </si>
  <si>
    <t>473,50=</t>
  </si>
  <si>
    <t>25,50=</t>
  </si>
  <si>
    <t>500,41=</t>
  </si>
  <si>
    <t>1 448,44=</t>
  </si>
  <si>
    <t>386,00=</t>
  </si>
  <si>
    <t>82,48=</t>
  </si>
  <si>
    <t>3,85=</t>
  </si>
  <si>
    <t>110,38=</t>
  </si>
  <si>
    <t>288,68=</t>
  </si>
  <si>
    <t>2*4=</t>
  </si>
  <si>
    <t>79,20*4=</t>
  </si>
  <si>
    <t>79,20*2=</t>
  </si>
  <si>
    <t>95,00=</t>
  </si>
  <si>
    <t>Budowa przejścia podziemnego pod linią kolejową nr 401 w Świnoujściu – Łunowie 
wraz z ciągiem pieszo-rowerowym</t>
  </si>
  <si>
    <t>Budowa przejścia podziemnego pod linią kolejową nr 996 w Świnoujściu – Łunowie 
wraz z ciągiem pieszo-rowerowym</t>
  </si>
  <si>
    <t>57</t>
  </si>
  <si>
    <t>Montaż opraw oświetleniowych tunelowych: wandaloodporna, akredytowane badania &gt;IK10 (IK10+), typ źródła światła: moduły LED,  o strumieniu świetlnym minimum 4060 lumenów i mocy max. 36W IP 66, II kl. ochronności, temperatura barwowa ok. 4000K;  dopuszczenie PKP PLK</t>
  </si>
  <si>
    <t>7,85=</t>
  </si>
  <si>
    <t>500,56=</t>
  </si>
  <si>
    <t>29,00=</t>
  </si>
  <si>
    <t>106,47=</t>
  </si>
  <si>
    <t>Budowa przejść podziemnych pod linią kolejową nr 401 w Świnoujściu – Łunowie wraz z ciągiem pieszo-rowerowym</t>
  </si>
  <si>
    <t xml:space="preserve">Wykonanie kanału z rur HD-PE o średnicy d=315 mm w wykopie otwartym wraz z robotami ziemnymi i odwodnieniem wykopu    </t>
  </si>
  <si>
    <t>6</t>
  </si>
  <si>
    <t>8</t>
  </si>
  <si>
    <t>Cena (netto)</t>
  </si>
  <si>
    <t>85,6=</t>
  </si>
  <si>
    <t>Budowa przejść podziemnych pod linią kolejową nr 996 w Świnoujściu – Łunowie wraz z ciągiem pieszo-rowerowym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</si>
</sst>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#,##0.000"/>
    <numFmt numFmtId="170" formatCode="_-* #,##0.000\ _z_ł_-;\-* #,##0.000\ _z_ł_-;_-* &quot;-&quot;??\ _z_ł_-;_-@_-"/>
    <numFmt numFmtId="171" formatCode="#,##0.00;[Red]#,##0.00"/>
    <numFmt numFmtId="172" formatCode="[$€-2]\ #,##0.00_);[Red]\([$€-2]\ #,##0.00\)"/>
    <numFmt numFmtId="173" formatCode="0.0000"/>
    <numFmt numFmtId="174" formatCode="00\-000"/>
    <numFmt numFmtId="175" formatCode="0.00000"/>
    <numFmt numFmtId="176" formatCode="0.00\="/>
    <numFmt numFmtId="177" formatCode="#,##0.0"/>
    <numFmt numFmtId="178" formatCode="#,##0.00_);[Red]\(#,##0.00\)"/>
    <numFmt numFmtId="179" formatCode="#,##0_);[Red]\(#,##0\)"/>
    <numFmt numFmtId="180" formatCode="#,##0.00&quot; zł&quot;_);[Red]\(#,##0.00&quot; zł&quot;\)"/>
    <numFmt numFmtId="181" formatCode="#,##0&quot; zł&quot;_);[Red]\(#,##0&quot; zł&quot;\)"/>
  </numFmts>
  <fonts count="61">
    <font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1"/>
      <name val="Times New Roman"/>
      <family val="1"/>
    </font>
    <font>
      <sz val="10"/>
      <color indexed="57"/>
      <name val="Arial CE"/>
      <family val="0"/>
    </font>
    <font>
      <sz val="11"/>
      <color indexed="17"/>
      <name val="Times New Roman"/>
      <family val="1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sz val="10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8" fontId="1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4" fillId="0" borderId="23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5" xfId="0" applyNumberFormat="1" applyFont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2" fontId="1" fillId="0" borderId="22" xfId="0" applyNumberFormat="1" applyFont="1" applyBorder="1" applyAlignment="1">
      <alignment horizontal="right" wrapText="1"/>
    </xf>
    <xf numFmtId="169" fontId="1" fillId="0" borderId="12" xfId="0" applyNumberFormat="1" applyFont="1" applyBorder="1" applyAlignment="1">
      <alignment horizontal="right" wrapText="1"/>
    </xf>
    <xf numFmtId="169" fontId="1" fillId="0" borderId="14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168" fontId="1" fillId="0" borderId="17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2" fontId="1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1" fillId="0" borderId="12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wrapText="1"/>
    </xf>
    <xf numFmtId="0" fontId="17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7" fillId="0" borderId="0" xfId="0" applyNumberFormat="1" applyFont="1" applyFill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7" fillId="0" borderId="0" xfId="0" applyNumberFormat="1" applyFont="1" applyAlignment="1">
      <alignment/>
    </xf>
    <xf numFmtId="4" fontId="11" fillId="32" borderId="0" xfId="0" applyNumberFormat="1" applyFont="1" applyFill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0" fontId="1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4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0" fontId="14" fillId="0" borderId="21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5" fillId="0" borderId="18" xfId="0" applyFont="1" applyBorder="1" applyAlignment="1">
      <alignment/>
    </xf>
    <xf numFmtId="0" fontId="15" fillId="0" borderId="13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2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9.00390625" style="1" customWidth="1"/>
    <col min="2" max="2" width="16.125" style="1" customWidth="1"/>
    <col min="4" max="4" width="9.50390625" style="0" bestFit="1" customWidth="1"/>
  </cols>
  <sheetData>
    <row r="1" spans="1:2" s="2" customFormat="1" ht="17.25">
      <c r="A1" s="268" t="s">
        <v>261</v>
      </c>
      <c r="B1" s="268"/>
    </row>
    <row r="2" spans="1:2" s="2" customFormat="1" ht="51.75" customHeight="1">
      <c r="A2" s="269" t="s">
        <v>396</v>
      </c>
      <c r="B2" s="270"/>
    </row>
    <row r="3" spans="1:2" s="2" customFormat="1" ht="15">
      <c r="A3" s="62"/>
      <c r="B3" s="62"/>
    </row>
    <row r="4" spans="1:2" s="8" customFormat="1" ht="19.5" customHeight="1">
      <c r="A4" s="124" t="s">
        <v>14</v>
      </c>
      <c r="B4" s="124" t="s">
        <v>260</v>
      </c>
    </row>
    <row r="5" spans="1:2" s="8" customFormat="1" ht="19.5" customHeight="1">
      <c r="A5" s="57" t="s">
        <v>15</v>
      </c>
      <c r="B5" s="125">
        <v>3</v>
      </c>
    </row>
    <row r="6" spans="1:2" s="8" customFormat="1" ht="19.5" customHeight="1">
      <c r="A6" s="57" t="s">
        <v>16</v>
      </c>
      <c r="B6" s="125" t="s">
        <v>314</v>
      </c>
    </row>
    <row r="7" spans="1:2" s="8" customFormat="1" ht="19.5" customHeight="1">
      <c r="A7" s="57" t="s">
        <v>122</v>
      </c>
      <c r="B7" s="125" t="s">
        <v>315</v>
      </c>
    </row>
    <row r="8" spans="1:2" s="8" customFormat="1" ht="19.5" customHeight="1">
      <c r="A8" s="57" t="s">
        <v>287</v>
      </c>
      <c r="B8" s="125" t="s">
        <v>316</v>
      </c>
    </row>
    <row r="9" spans="1:2" s="8" customFormat="1" ht="19.5" customHeight="1">
      <c r="A9" s="57" t="s">
        <v>125</v>
      </c>
      <c r="B9" s="125" t="s">
        <v>316</v>
      </c>
    </row>
  </sheetData>
  <sheetProtection/>
  <mergeCells count="2">
    <mergeCell ref="A1:B1"/>
    <mergeCell ref="A2:B2"/>
  </mergeCells>
  <printOptions/>
  <pageMargins left="1.03" right="0.44" top="1" bottom="1" header="0.5" footer="0.5"/>
  <pageSetup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B1" sqref="B1:H6"/>
    </sheetView>
  </sheetViews>
  <sheetFormatPr defaultColWidth="9.00390625" defaultRowHeight="12.75"/>
  <cols>
    <col min="1" max="1" width="3.375" style="0" customWidth="1"/>
    <col min="2" max="2" width="5.875" style="52" customWidth="1"/>
    <col min="3" max="3" width="11.125" style="52" customWidth="1"/>
    <col min="4" max="4" width="4.00390625" style="52" customWidth="1"/>
    <col min="5" max="5" width="48.625" style="52" customWidth="1"/>
    <col min="6" max="6" width="8.50390625" style="52" customWidth="1"/>
    <col min="7" max="7" width="11.375" style="52" customWidth="1"/>
    <col min="8" max="8" width="9.625" style="52" customWidth="1"/>
  </cols>
  <sheetData>
    <row r="1" spans="2:8" s="2" customFormat="1" ht="18.75" customHeight="1">
      <c r="B1" s="313" t="s">
        <v>289</v>
      </c>
      <c r="C1" s="313"/>
      <c r="D1" s="313"/>
      <c r="E1" s="313"/>
      <c r="F1" s="313"/>
      <c r="G1" s="313"/>
      <c r="H1" s="314"/>
    </row>
    <row r="2" spans="2:8" s="2" customFormat="1" ht="12.75" customHeight="1">
      <c r="B2" s="306" t="s">
        <v>0</v>
      </c>
      <c r="C2" s="319" t="s">
        <v>2</v>
      </c>
      <c r="D2" s="306"/>
      <c r="E2" s="306" t="s">
        <v>3</v>
      </c>
      <c r="F2" s="315" t="s">
        <v>1</v>
      </c>
      <c r="G2" s="316"/>
      <c r="H2" s="317" t="s">
        <v>150</v>
      </c>
    </row>
    <row r="3" spans="2:8" s="2" customFormat="1" ht="27" customHeight="1">
      <c r="B3" s="307"/>
      <c r="C3" s="320"/>
      <c r="D3" s="307"/>
      <c r="E3" s="307"/>
      <c r="F3" s="4" t="s">
        <v>149</v>
      </c>
      <c r="G3" s="4" t="s">
        <v>127</v>
      </c>
      <c r="H3" s="318"/>
    </row>
    <row r="4" spans="2:8" s="2" customFormat="1" ht="12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04">
        <v>7</v>
      </c>
    </row>
    <row r="5" spans="1:8" s="8" customFormat="1" ht="18" customHeight="1">
      <c r="A5" s="2"/>
      <c r="B5" s="40"/>
      <c r="C5" s="10" t="s">
        <v>241</v>
      </c>
      <c r="D5" s="26"/>
      <c r="E5" s="294" t="s">
        <v>242</v>
      </c>
      <c r="F5" s="310"/>
      <c r="G5" s="310"/>
      <c r="H5" s="296"/>
    </row>
    <row r="6" spans="2:10" s="2" customFormat="1" ht="27.75" customHeight="1">
      <c r="B6" s="104">
        <f>'Przedmiar K2'!B16+1</f>
        <v>31</v>
      </c>
      <c r="C6" s="6"/>
      <c r="D6" s="36"/>
      <c r="E6" s="126" t="s">
        <v>243</v>
      </c>
      <c r="F6" s="31" t="s">
        <v>6</v>
      </c>
      <c r="G6" s="25" t="s">
        <v>273</v>
      </c>
      <c r="H6" s="54">
        <v>10</v>
      </c>
      <c r="I6" s="13"/>
      <c r="J6" s="189"/>
    </row>
    <row r="7" s="2" customFormat="1" ht="12.75"/>
  </sheetData>
  <sheetProtection/>
  <mergeCells count="8">
    <mergeCell ref="E5:H5"/>
    <mergeCell ref="B1:H1"/>
    <mergeCell ref="B2:B3"/>
    <mergeCell ref="H2:H3"/>
    <mergeCell ref="C2:C3"/>
    <mergeCell ref="D2:D3"/>
    <mergeCell ref="E2:E3"/>
    <mergeCell ref="F2:G2"/>
  </mergeCells>
  <printOptions/>
  <pageMargins left="0.8661417322834646" right="0.2362204724409449" top="0.7086614173228347" bottom="0.3937007874015748" header="0.5118110236220472" footer="0.5118110236220472"/>
  <pageSetup firstPageNumber="8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88">
      <selection activeCell="A2" sqref="A2:D95"/>
    </sheetView>
  </sheetViews>
  <sheetFormatPr defaultColWidth="9.00390625" defaultRowHeight="12.75"/>
  <cols>
    <col min="1" max="2" width="8.875" style="251" customWidth="1"/>
    <col min="3" max="3" width="39.00390625" style="251" bestFit="1" customWidth="1"/>
    <col min="4" max="16384" width="8.875" style="251" customWidth="1"/>
  </cols>
  <sheetData>
    <row r="1" spans="2:4" ht="21">
      <c r="B1" s="226"/>
      <c r="C1" s="226" t="s">
        <v>146</v>
      </c>
      <c r="D1" s="227"/>
    </row>
    <row r="2" spans="1:4" ht="88.5" customHeight="1">
      <c r="A2" s="230"/>
      <c r="B2" s="230"/>
      <c r="C2" s="230" t="s">
        <v>388</v>
      </c>
      <c r="D2" s="231"/>
    </row>
    <row r="3" spans="2:4" ht="15">
      <c r="B3" s="228"/>
      <c r="C3" s="228" t="s">
        <v>12</v>
      </c>
      <c r="D3" s="229"/>
    </row>
    <row r="4" spans="1:4" ht="66">
      <c r="A4" s="134" t="s">
        <v>0</v>
      </c>
      <c r="B4" s="134" t="s">
        <v>2</v>
      </c>
      <c r="C4" s="134" t="s">
        <v>3</v>
      </c>
      <c r="D4" s="134" t="s">
        <v>400</v>
      </c>
    </row>
    <row r="5" spans="1:4" ht="12.75">
      <c r="A5" s="134"/>
      <c r="B5" s="134"/>
      <c r="C5" s="134"/>
      <c r="D5" s="134"/>
    </row>
    <row r="6" spans="1:4" ht="12.75">
      <c r="A6" s="98">
        <v>1</v>
      </c>
      <c r="B6" s="98">
        <v>2</v>
      </c>
      <c r="C6" s="98">
        <v>4</v>
      </c>
      <c r="D6" s="98">
        <v>7</v>
      </c>
    </row>
    <row r="7" spans="1:4" ht="26.25">
      <c r="A7" s="141"/>
      <c r="B7" s="152" t="s">
        <v>40</v>
      </c>
      <c r="C7" s="219" t="s">
        <v>20</v>
      </c>
      <c r="D7" s="232"/>
    </row>
    <row r="8" spans="1:4" ht="26.25">
      <c r="A8" s="141"/>
      <c r="B8" s="152" t="s">
        <v>41</v>
      </c>
      <c r="C8" s="220" t="s">
        <v>79</v>
      </c>
      <c r="D8" s="221"/>
    </row>
    <row r="9" spans="1:4" ht="26.25">
      <c r="A9" s="129"/>
      <c r="B9" s="98" t="s">
        <v>49</v>
      </c>
      <c r="C9" s="140" t="s">
        <v>52</v>
      </c>
      <c r="D9" s="221"/>
    </row>
    <row r="10" spans="1:4" ht="39">
      <c r="A10" s="135">
        <f>1</f>
        <v>1</v>
      </c>
      <c r="B10" s="98"/>
      <c r="C10" s="132" t="s">
        <v>147</v>
      </c>
      <c r="D10" s="121">
        <v>1</v>
      </c>
    </row>
    <row r="11" spans="1:4" ht="26.25">
      <c r="A11" s="137"/>
      <c r="B11" s="152" t="s">
        <v>42</v>
      </c>
      <c r="C11" s="219" t="s">
        <v>7</v>
      </c>
      <c r="D11" s="219"/>
    </row>
    <row r="12" spans="1:4" ht="26.25">
      <c r="A12" s="137"/>
      <c r="B12" s="152" t="s">
        <v>200</v>
      </c>
      <c r="C12" s="220" t="s">
        <v>201</v>
      </c>
      <c r="D12" s="220"/>
    </row>
    <row r="13" spans="1:4" ht="26.25">
      <c r="A13" s="129"/>
      <c r="B13" s="98" t="s">
        <v>202</v>
      </c>
      <c r="C13" s="140" t="s">
        <v>205</v>
      </c>
      <c r="D13" s="221" t="s">
        <v>8</v>
      </c>
    </row>
    <row r="14" spans="1:4" ht="26.25">
      <c r="A14" s="135">
        <f>A10+1</f>
        <v>2</v>
      </c>
      <c r="B14" s="132"/>
      <c r="C14" s="140" t="s">
        <v>334</v>
      </c>
      <c r="D14" s="121">
        <v>1577.11</v>
      </c>
    </row>
    <row r="15" spans="1:4" ht="26.25">
      <c r="A15" s="129"/>
      <c r="B15" s="98" t="s">
        <v>204</v>
      </c>
      <c r="C15" s="140" t="s">
        <v>203</v>
      </c>
      <c r="D15" s="221" t="s">
        <v>8</v>
      </c>
    </row>
    <row r="16" spans="1:4" ht="26.25">
      <c r="A16" s="135">
        <f>A14+1</f>
        <v>3</v>
      </c>
      <c r="B16" s="132"/>
      <c r="C16" s="132" t="s">
        <v>335</v>
      </c>
      <c r="D16" s="121">
        <v>1168.68</v>
      </c>
    </row>
    <row r="17" spans="1:4" ht="26.25">
      <c r="A17" s="129"/>
      <c r="B17" s="98" t="s">
        <v>227</v>
      </c>
      <c r="C17" s="140" t="s">
        <v>228</v>
      </c>
      <c r="D17" s="221" t="s">
        <v>8</v>
      </c>
    </row>
    <row r="18" spans="1:4" ht="66">
      <c r="A18" s="135">
        <f>A16+1</f>
        <v>4</v>
      </c>
      <c r="B18" s="132"/>
      <c r="C18" s="132" t="s">
        <v>336</v>
      </c>
      <c r="D18" s="121">
        <v>231</v>
      </c>
    </row>
    <row r="19" spans="1:4" ht="26.25">
      <c r="A19" s="135">
        <f>A18+1</f>
        <v>5</v>
      </c>
      <c r="B19" s="134"/>
      <c r="C19" s="140" t="s">
        <v>337</v>
      </c>
      <c r="D19" s="121">
        <v>174.24</v>
      </c>
    </row>
    <row r="20" spans="1:4" ht="26.25">
      <c r="A20" s="135"/>
      <c r="B20" s="98" t="s">
        <v>204</v>
      </c>
      <c r="C20" s="140" t="s">
        <v>323</v>
      </c>
      <c r="D20" s="221" t="s">
        <v>8</v>
      </c>
    </row>
    <row r="21" spans="1:4" ht="12.75">
      <c r="A21" s="135">
        <v>6</v>
      </c>
      <c r="B21" s="132"/>
      <c r="C21" s="132" t="s">
        <v>324</v>
      </c>
      <c r="D21" s="121">
        <v>1</v>
      </c>
    </row>
    <row r="22" spans="1:4" ht="26.25">
      <c r="A22" s="135"/>
      <c r="B22" s="98" t="s">
        <v>229</v>
      </c>
      <c r="C22" s="140" t="s">
        <v>230</v>
      </c>
      <c r="D22" s="221" t="s">
        <v>8</v>
      </c>
    </row>
    <row r="23" spans="1:4" ht="26.25">
      <c r="A23" s="135">
        <f>A21+1</f>
        <v>7</v>
      </c>
      <c r="B23" s="132"/>
      <c r="C23" s="132" t="s">
        <v>263</v>
      </c>
      <c r="D23" s="121">
        <v>342</v>
      </c>
    </row>
    <row r="24" spans="1:4" ht="26.25">
      <c r="A24" s="135"/>
      <c r="B24" s="152" t="s">
        <v>43</v>
      </c>
      <c r="C24" s="219" t="s">
        <v>4</v>
      </c>
      <c r="D24" s="219"/>
    </row>
    <row r="25" spans="1:4" ht="26.25">
      <c r="A25" s="135"/>
      <c r="B25" s="152" t="s">
        <v>44</v>
      </c>
      <c r="C25" s="220" t="s">
        <v>80</v>
      </c>
      <c r="D25" s="220"/>
    </row>
    <row r="26" spans="1:4" ht="26.25">
      <c r="A26" s="135"/>
      <c r="B26" s="98" t="s">
        <v>81</v>
      </c>
      <c r="C26" s="132" t="s">
        <v>82</v>
      </c>
      <c r="D26" s="132"/>
    </row>
    <row r="27" spans="1:4" ht="12.75">
      <c r="A27" s="135"/>
      <c r="B27" s="98"/>
      <c r="C27" s="132" t="s">
        <v>152</v>
      </c>
      <c r="D27" s="132"/>
    </row>
    <row r="28" spans="1:4" ht="42">
      <c r="A28" s="135">
        <f>A23+1</f>
        <v>8</v>
      </c>
      <c r="B28" s="132"/>
      <c r="C28" s="132" t="s">
        <v>221</v>
      </c>
      <c r="D28" s="121">
        <v>93.67</v>
      </c>
    </row>
    <row r="29" spans="1:4" ht="26.25">
      <c r="A29" s="135">
        <f>A28+1</f>
        <v>9</v>
      </c>
      <c r="B29" s="132"/>
      <c r="C29" s="132" t="s">
        <v>338</v>
      </c>
      <c r="D29" s="121">
        <v>11426</v>
      </c>
    </row>
    <row r="30" spans="1:4" ht="12.75">
      <c r="A30" s="135"/>
      <c r="B30" s="98"/>
      <c r="C30" s="132" t="s">
        <v>154</v>
      </c>
      <c r="D30" s="132"/>
    </row>
    <row r="31" spans="1:4" ht="26.25">
      <c r="A31" s="135">
        <f>A29+1</f>
        <v>10</v>
      </c>
      <c r="B31" s="132"/>
      <c r="C31" s="132" t="s">
        <v>192</v>
      </c>
      <c r="D31" s="121">
        <v>274.96</v>
      </c>
    </row>
    <row r="32" spans="1:4" ht="26.25">
      <c r="A32" s="135">
        <f>A31+1</f>
        <v>11</v>
      </c>
      <c r="B32" s="132"/>
      <c r="C32" s="132" t="s">
        <v>155</v>
      </c>
      <c r="D32" s="121">
        <v>28090</v>
      </c>
    </row>
    <row r="33" spans="1:4" ht="26.25">
      <c r="A33" s="141"/>
      <c r="B33" s="152" t="s">
        <v>195</v>
      </c>
      <c r="C33" s="220" t="s">
        <v>196</v>
      </c>
      <c r="D33" s="220"/>
    </row>
    <row r="34" spans="1:4" ht="39">
      <c r="A34" s="129"/>
      <c r="B34" s="98" t="s">
        <v>197</v>
      </c>
      <c r="C34" s="132" t="s">
        <v>198</v>
      </c>
      <c r="D34" s="132"/>
    </row>
    <row r="35" spans="1:4" ht="52.5">
      <c r="A35" s="135">
        <f>A32+1</f>
        <v>12</v>
      </c>
      <c r="B35" s="132"/>
      <c r="C35" s="132" t="s">
        <v>199</v>
      </c>
      <c r="D35" s="121">
        <v>7.85</v>
      </c>
    </row>
    <row r="36" spans="1:4" ht="26.25">
      <c r="A36" s="141"/>
      <c r="B36" s="152" t="s">
        <v>156</v>
      </c>
      <c r="C36" s="219" t="s">
        <v>157</v>
      </c>
      <c r="D36" s="219"/>
    </row>
    <row r="37" spans="1:4" ht="26.25">
      <c r="A37" s="141"/>
      <c r="B37" s="152" t="s">
        <v>158</v>
      </c>
      <c r="C37" s="220" t="s">
        <v>217</v>
      </c>
      <c r="D37" s="220"/>
    </row>
    <row r="38" spans="1:4" ht="26.25">
      <c r="A38" s="129"/>
      <c r="B38" s="98" t="s">
        <v>159</v>
      </c>
      <c r="C38" s="132" t="s">
        <v>208</v>
      </c>
      <c r="D38" s="132"/>
    </row>
    <row r="39" spans="1:4" ht="52.5">
      <c r="A39" s="135">
        <f>A35+1</f>
        <v>13</v>
      </c>
      <c r="B39" s="132"/>
      <c r="C39" s="132" t="s">
        <v>222</v>
      </c>
      <c r="D39" s="121">
        <v>41.78</v>
      </c>
    </row>
    <row r="40" spans="1:4" ht="26.25">
      <c r="A40" s="141"/>
      <c r="B40" s="152" t="s">
        <v>290</v>
      </c>
      <c r="C40" s="219" t="s">
        <v>291</v>
      </c>
      <c r="D40" s="219"/>
    </row>
    <row r="41" spans="1:4" ht="26.25">
      <c r="A41" s="141"/>
      <c r="B41" s="152" t="s">
        <v>292</v>
      </c>
      <c r="C41" s="220" t="s">
        <v>293</v>
      </c>
      <c r="D41" s="220"/>
    </row>
    <row r="42" spans="1:4" ht="26.25">
      <c r="A42" s="129"/>
      <c r="B42" s="98" t="s">
        <v>294</v>
      </c>
      <c r="C42" s="132" t="s">
        <v>295</v>
      </c>
      <c r="D42" s="132"/>
    </row>
    <row r="43" spans="1:4" ht="66">
      <c r="A43" s="135">
        <f>A39+1</f>
        <v>14</v>
      </c>
      <c r="B43" s="132"/>
      <c r="C43" s="132" t="s">
        <v>296</v>
      </c>
      <c r="D43" s="121">
        <v>16</v>
      </c>
    </row>
    <row r="44" spans="1:4" ht="26.25">
      <c r="A44" s="141"/>
      <c r="B44" s="152" t="s">
        <v>297</v>
      </c>
      <c r="C44" s="220" t="s">
        <v>321</v>
      </c>
      <c r="D44" s="220"/>
    </row>
    <row r="45" spans="1:4" ht="26.25">
      <c r="A45" s="129"/>
      <c r="B45" s="98" t="s">
        <v>298</v>
      </c>
      <c r="C45" s="132" t="s">
        <v>322</v>
      </c>
      <c r="D45" s="132"/>
    </row>
    <row r="46" spans="1:4" ht="52.5">
      <c r="A46" s="135">
        <f>A43+1</f>
        <v>15</v>
      </c>
      <c r="B46" s="132"/>
      <c r="C46" s="132" t="s">
        <v>305</v>
      </c>
      <c r="D46" s="121">
        <v>4</v>
      </c>
    </row>
    <row r="47" spans="1:4" ht="39">
      <c r="A47" s="135">
        <f aca="true" t="shared" si="0" ref="A47:A52">A46+1</f>
        <v>16</v>
      </c>
      <c r="B47" s="132"/>
      <c r="C47" s="132" t="s">
        <v>302</v>
      </c>
      <c r="D47" s="121">
        <v>54</v>
      </c>
    </row>
    <row r="48" spans="1:4" ht="39">
      <c r="A48" s="135">
        <f t="shared" si="0"/>
        <v>17</v>
      </c>
      <c r="B48" s="132"/>
      <c r="C48" s="132" t="s">
        <v>301</v>
      </c>
      <c r="D48" s="121">
        <v>17</v>
      </c>
    </row>
    <row r="49" spans="1:4" ht="52.5">
      <c r="A49" s="135">
        <f t="shared" si="0"/>
        <v>18</v>
      </c>
      <c r="B49" s="132"/>
      <c r="C49" s="132" t="s">
        <v>317</v>
      </c>
      <c r="D49" s="121">
        <v>144</v>
      </c>
    </row>
    <row r="50" spans="1:4" ht="39">
      <c r="A50" s="135">
        <f t="shared" si="0"/>
        <v>19</v>
      </c>
      <c r="B50" s="132"/>
      <c r="C50" s="132" t="s">
        <v>397</v>
      </c>
      <c r="D50" s="121">
        <v>22.9</v>
      </c>
    </row>
    <row r="51" spans="1:4" ht="26.25">
      <c r="A51" s="135">
        <f t="shared" si="0"/>
        <v>20</v>
      </c>
      <c r="B51" s="132"/>
      <c r="C51" s="132" t="s">
        <v>300</v>
      </c>
      <c r="D51" s="121">
        <v>90</v>
      </c>
    </row>
    <row r="52" spans="1:4" ht="39">
      <c r="A52" s="135">
        <f t="shared" si="0"/>
        <v>21</v>
      </c>
      <c r="B52" s="132"/>
      <c r="C52" s="132" t="s">
        <v>349</v>
      </c>
      <c r="D52" s="121">
        <v>7</v>
      </c>
    </row>
    <row r="53" spans="1:4" ht="39">
      <c r="A53" s="129"/>
      <c r="B53" s="98" t="s">
        <v>303</v>
      </c>
      <c r="C53" s="132" t="s">
        <v>304</v>
      </c>
      <c r="D53" s="132"/>
    </row>
    <row r="54" spans="1:4" ht="52.5">
      <c r="A54" s="135">
        <f>A52+1</f>
        <v>22</v>
      </c>
      <c r="B54" s="132"/>
      <c r="C54" s="132" t="s">
        <v>319</v>
      </c>
      <c r="D54" s="121">
        <v>17.5</v>
      </c>
    </row>
    <row r="55" spans="1:4" ht="52.5">
      <c r="A55" s="135">
        <f>A54+1</f>
        <v>23</v>
      </c>
      <c r="B55" s="132"/>
      <c r="C55" s="132" t="s">
        <v>320</v>
      </c>
      <c r="D55" s="121">
        <v>0.5</v>
      </c>
    </row>
    <row r="56" spans="1:4" ht="26.25">
      <c r="A56" s="141"/>
      <c r="B56" s="152" t="s">
        <v>64</v>
      </c>
      <c r="C56" s="219" t="s">
        <v>51</v>
      </c>
      <c r="D56" s="225"/>
    </row>
    <row r="57" spans="1:4" ht="26.25">
      <c r="A57" s="142"/>
      <c r="B57" s="152" t="s">
        <v>212</v>
      </c>
      <c r="C57" s="220" t="s">
        <v>213</v>
      </c>
      <c r="D57" s="224"/>
    </row>
    <row r="58" spans="1:4" ht="26.25">
      <c r="A58" s="129"/>
      <c r="B58" s="98" t="s">
        <v>214</v>
      </c>
      <c r="C58" s="222" t="s">
        <v>215</v>
      </c>
      <c r="D58" s="223" t="s">
        <v>8</v>
      </c>
    </row>
    <row r="59" spans="1:4" ht="39">
      <c r="A59" s="135">
        <f>A55+1</f>
        <v>24</v>
      </c>
      <c r="B59" s="98"/>
      <c r="C59" s="140" t="s">
        <v>216</v>
      </c>
      <c r="D59" s="121">
        <v>53.76</v>
      </c>
    </row>
    <row r="60" spans="1:4" ht="39">
      <c r="A60" s="129"/>
      <c r="B60" s="98" t="s">
        <v>85</v>
      </c>
      <c r="C60" s="222" t="s">
        <v>233</v>
      </c>
      <c r="D60" s="223" t="s">
        <v>8</v>
      </c>
    </row>
    <row r="61" spans="1:4" ht="52.5">
      <c r="A61" s="135">
        <f>A59+1</f>
        <v>25</v>
      </c>
      <c r="B61" s="98"/>
      <c r="C61" s="140" t="s">
        <v>234</v>
      </c>
      <c r="D61" s="121">
        <v>110.55</v>
      </c>
    </row>
    <row r="62" spans="1:4" ht="26.25">
      <c r="A62" s="142"/>
      <c r="B62" s="152" t="s">
        <v>83</v>
      </c>
      <c r="C62" s="220" t="s">
        <v>84</v>
      </c>
      <c r="D62" s="224"/>
    </row>
    <row r="63" spans="1:4" ht="26.25">
      <c r="A63" s="129"/>
      <c r="B63" s="98" t="s">
        <v>86</v>
      </c>
      <c r="C63" s="132" t="s">
        <v>209</v>
      </c>
      <c r="D63" s="223" t="s">
        <v>8</v>
      </c>
    </row>
    <row r="64" spans="1:4" ht="52.5">
      <c r="A64" s="135">
        <f>A61+1</f>
        <v>26</v>
      </c>
      <c r="B64" s="98"/>
      <c r="C64" s="140" t="s">
        <v>210</v>
      </c>
      <c r="D64" s="121">
        <v>1098.3</v>
      </c>
    </row>
    <row r="65" spans="1:4" ht="26.25">
      <c r="A65" s="141"/>
      <c r="B65" s="152" t="s">
        <v>46</v>
      </c>
      <c r="C65" s="219" t="s">
        <v>47</v>
      </c>
      <c r="D65" s="225"/>
    </row>
    <row r="66" spans="1:4" ht="26.25">
      <c r="A66" s="142"/>
      <c r="B66" s="152" t="s">
        <v>160</v>
      </c>
      <c r="C66" s="220" t="s">
        <v>161</v>
      </c>
      <c r="D66" s="224"/>
    </row>
    <row r="67" spans="1:4" ht="26.25">
      <c r="A67" s="129"/>
      <c r="B67" s="98" t="s">
        <v>162</v>
      </c>
      <c r="C67" s="132" t="s">
        <v>163</v>
      </c>
      <c r="D67" s="223" t="s">
        <v>8</v>
      </c>
    </row>
    <row r="68" spans="1:4" ht="39">
      <c r="A68" s="135">
        <f>A64+1</f>
        <v>27</v>
      </c>
      <c r="B68" s="98"/>
      <c r="C68" s="140" t="s">
        <v>207</v>
      </c>
      <c r="D68" s="121">
        <v>192.94</v>
      </c>
    </row>
    <row r="69" spans="1:4" ht="26.25">
      <c r="A69" s="142"/>
      <c r="B69" s="152" t="s">
        <v>53</v>
      </c>
      <c r="C69" s="220" t="s">
        <v>87</v>
      </c>
      <c r="D69" s="224"/>
    </row>
    <row r="70" spans="1:4" ht="26.25">
      <c r="A70" s="129"/>
      <c r="B70" s="98" t="s">
        <v>54</v>
      </c>
      <c r="C70" s="132" t="s">
        <v>55</v>
      </c>
      <c r="D70" s="223" t="s">
        <v>8</v>
      </c>
    </row>
    <row r="71" spans="1:4" ht="39">
      <c r="A71" s="135">
        <f>A68+1</f>
        <v>28</v>
      </c>
      <c r="B71" s="98"/>
      <c r="C71" s="140" t="s">
        <v>164</v>
      </c>
      <c r="D71" s="121">
        <v>169.98</v>
      </c>
    </row>
    <row r="72" spans="1:4" ht="26.25">
      <c r="A72" s="142"/>
      <c r="B72" s="152" t="s">
        <v>88</v>
      </c>
      <c r="C72" s="220" t="s">
        <v>89</v>
      </c>
      <c r="D72" s="224"/>
    </row>
    <row r="73" spans="1:4" ht="39">
      <c r="A73" s="129"/>
      <c r="B73" s="98" t="s">
        <v>90</v>
      </c>
      <c r="C73" s="132" t="s">
        <v>91</v>
      </c>
      <c r="D73" s="223" t="s">
        <v>8</v>
      </c>
    </row>
    <row r="74" spans="1:4" ht="52.5">
      <c r="A74" s="135">
        <f>A71+1</f>
        <v>29</v>
      </c>
      <c r="B74" s="98"/>
      <c r="C74" s="140" t="s">
        <v>206</v>
      </c>
      <c r="D74" s="121">
        <v>103.8</v>
      </c>
    </row>
    <row r="75" spans="1:4" ht="26.25">
      <c r="A75" s="141"/>
      <c r="B75" s="152" t="s">
        <v>45</v>
      </c>
      <c r="C75" s="219" t="s">
        <v>13</v>
      </c>
      <c r="D75" s="232"/>
    </row>
    <row r="76" spans="1:4" ht="26.25">
      <c r="A76" s="142"/>
      <c r="B76" s="152" t="s">
        <v>92</v>
      </c>
      <c r="C76" s="220" t="s">
        <v>93</v>
      </c>
      <c r="D76" s="224"/>
    </row>
    <row r="77" spans="1:4" ht="26.25">
      <c r="A77" s="154"/>
      <c r="B77" s="98" t="s">
        <v>94</v>
      </c>
      <c r="C77" s="140" t="s">
        <v>223</v>
      </c>
      <c r="D77" s="221" t="s">
        <v>8</v>
      </c>
    </row>
    <row r="78" spans="1:4" ht="26.25">
      <c r="A78" s="135">
        <f>A74+1</f>
        <v>30</v>
      </c>
      <c r="B78" s="132"/>
      <c r="C78" s="132" t="s">
        <v>339</v>
      </c>
      <c r="D78" s="121">
        <v>537.56</v>
      </c>
    </row>
    <row r="79" spans="1:4" ht="26.25">
      <c r="A79" s="142"/>
      <c r="B79" s="152" t="s">
        <v>95</v>
      </c>
      <c r="C79" s="220" t="s">
        <v>96</v>
      </c>
      <c r="D79" s="224"/>
    </row>
    <row r="80" spans="1:4" ht="26.25">
      <c r="A80" s="154"/>
      <c r="B80" s="98" t="s">
        <v>97</v>
      </c>
      <c r="C80" s="140" t="s">
        <v>224</v>
      </c>
      <c r="D80" s="221" t="s">
        <v>8</v>
      </c>
    </row>
    <row r="81" spans="1:4" ht="39">
      <c r="A81" s="135">
        <f>A78+1</f>
        <v>31</v>
      </c>
      <c r="B81" s="132"/>
      <c r="C81" s="132" t="s">
        <v>326</v>
      </c>
      <c r="D81" s="121">
        <v>982.02</v>
      </c>
    </row>
    <row r="82" spans="1:4" ht="26.25">
      <c r="A82" s="142"/>
      <c r="B82" s="152" t="s">
        <v>56</v>
      </c>
      <c r="C82" s="220" t="s">
        <v>48</v>
      </c>
      <c r="D82" s="224"/>
    </row>
    <row r="83" spans="1:4" ht="26.25">
      <c r="A83" s="154"/>
      <c r="B83" s="98" t="s">
        <v>57</v>
      </c>
      <c r="C83" s="140" t="s">
        <v>48</v>
      </c>
      <c r="D83" s="221" t="s">
        <v>8</v>
      </c>
    </row>
    <row r="84" spans="1:4" ht="26.25">
      <c r="A84" s="135">
        <f>A81+1</f>
        <v>32</v>
      </c>
      <c r="B84" s="132"/>
      <c r="C84" s="132" t="s">
        <v>58</v>
      </c>
      <c r="D84" s="121">
        <v>22</v>
      </c>
    </row>
    <row r="85" spans="1:4" ht="39">
      <c r="A85" s="135">
        <f>A84+1</f>
        <v>33</v>
      </c>
      <c r="B85" s="132"/>
      <c r="C85" s="132" t="s">
        <v>341</v>
      </c>
      <c r="D85" s="121">
        <v>2</v>
      </c>
    </row>
    <row r="86" spans="1:4" ht="27">
      <c r="A86" s="141"/>
      <c r="B86" s="152" t="s">
        <v>50</v>
      </c>
      <c r="C86" s="219" t="s">
        <v>59</v>
      </c>
      <c r="D86" s="232"/>
    </row>
    <row r="87" spans="1:4" ht="26.25">
      <c r="A87" s="142"/>
      <c r="B87" s="152" t="s">
        <v>102</v>
      </c>
      <c r="C87" s="220" t="s">
        <v>103</v>
      </c>
      <c r="D87" s="224"/>
    </row>
    <row r="88" spans="1:4" ht="26.25">
      <c r="A88" s="129"/>
      <c r="B88" s="98" t="s">
        <v>104</v>
      </c>
      <c r="C88" s="132" t="s">
        <v>105</v>
      </c>
      <c r="D88" s="223" t="s">
        <v>8</v>
      </c>
    </row>
    <row r="89" spans="1:4" ht="39">
      <c r="A89" s="135">
        <f>A85+1</f>
        <v>34</v>
      </c>
      <c r="B89" s="98"/>
      <c r="C89" s="132" t="s">
        <v>106</v>
      </c>
      <c r="D89" s="121">
        <v>392.2</v>
      </c>
    </row>
    <row r="90" spans="1:4" ht="26.25">
      <c r="A90" s="142"/>
      <c r="B90" s="152" t="s">
        <v>60</v>
      </c>
      <c r="C90" s="220" t="s">
        <v>107</v>
      </c>
      <c r="D90" s="224"/>
    </row>
    <row r="91" spans="1:4" ht="52.5">
      <c r="A91" s="129"/>
      <c r="B91" s="98" t="s">
        <v>61</v>
      </c>
      <c r="C91" s="132" t="s">
        <v>62</v>
      </c>
      <c r="D91" s="223" t="s">
        <v>8</v>
      </c>
    </row>
    <row r="92" spans="1:4" ht="39">
      <c r="A92" s="135">
        <f>A89+1</f>
        <v>35</v>
      </c>
      <c r="B92" s="98"/>
      <c r="C92" s="132" t="s">
        <v>63</v>
      </c>
      <c r="D92" s="121">
        <v>366.64</v>
      </c>
    </row>
    <row r="93" spans="1:4" ht="26.25">
      <c r="A93" s="142"/>
      <c r="B93" s="152" t="s">
        <v>67</v>
      </c>
      <c r="C93" s="220" t="s">
        <v>69</v>
      </c>
      <c r="D93" s="224"/>
    </row>
    <row r="94" spans="1:4" ht="26.25">
      <c r="A94" s="129"/>
      <c r="B94" s="98" t="s">
        <v>68</v>
      </c>
      <c r="C94" s="132" t="s">
        <v>69</v>
      </c>
      <c r="D94" s="223" t="s">
        <v>8</v>
      </c>
    </row>
    <row r="95" spans="1:4" ht="39">
      <c r="A95" s="135">
        <f>A92+1</f>
        <v>36</v>
      </c>
      <c r="B95" s="98"/>
      <c r="C95" s="132" t="s">
        <v>70</v>
      </c>
      <c r="D95" s="121">
        <v>308.71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47"/>
    </sheetView>
  </sheetViews>
  <sheetFormatPr defaultColWidth="9.00390625" defaultRowHeight="12.75"/>
  <cols>
    <col min="1" max="2" width="8.875" style="251" customWidth="1"/>
    <col min="3" max="3" width="39.00390625" style="251" bestFit="1" customWidth="1"/>
    <col min="4" max="16384" width="8.875" style="251" customWidth="1"/>
  </cols>
  <sheetData>
    <row r="1" spans="2:4" ht="15">
      <c r="B1" s="235"/>
      <c r="C1" s="235" t="s">
        <v>118</v>
      </c>
      <c r="D1" s="236"/>
    </row>
    <row r="2" spans="1:4" ht="12.75" customHeight="1">
      <c r="A2" s="56" t="s">
        <v>0</v>
      </c>
      <c r="B2" s="56" t="s">
        <v>2</v>
      </c>
      <c r="C2" s="56" t="s">
        <v>3</v>
      </c>
      <c r="D2" s="254" t="s">
        <v>400</v>
      </c>
    </row>
    <row r="3" spans="1:4" ht="12.75">
      <c r="A3" s="56"/>
      <c r="B3" s="56"/>
      <c r="C3" s="56"/>
      <c r="D3" s="254"/>
    </row>
    <row r="4" spans="1:4" ht="12.75">
      <c r="A4" s="6">
        <v>1</v>
      </c>
      <c r="B4" s="6">
        <v>2</v>
      </c>
      <c r="C4" s="6">
        <v>4</v>
      </c>
      <c r="D4" s="104">
        <v>7</v>
      </c>
    </row>
    <row r="5" spans="1:4" ht="26.25">
      <c r="A5" s="30"/>
      <c r="B5" s="44" t="s">
        <v>33</v>
      </c>
      <c r="C5" s="255" t="s">
        <v>9</v>
      </c>
      <c r="D5" s="256"/>
    </row>
    <row r="6" spans="1:4" ht="26.25">
      <c r="A6" s="6"/>
      <c r="B6" s="44" t="s">
        <v>171</v>
      </c>
      <c r="C6" s="257" t="s">
        <v>226</v>
      </c>
      <c r="D6" s="258"/>
    </row>
    <row r="7" spans="1:4" ht="26.25">
      <c r="A7" s="104">
        <f>'Przedmiar M1'!A94+1</f>
        <v>1</v>
      </c>
      <c r="B7" s="6"/>
      <c r="C7" s="123" t="s">
        <v>172</v>
      </c>
      <c r="D7" s="54">
        <v>10</v>
      </c>
    </row>
    <row r="8" spans="1:4" ht="26.25">
      <c r="A8" s="6"/>
      <c r="B8" s="44" t="s">
        <v>34</v>
      </c>
      <c r="C8" s="257" t="s">
        <v>109</v>
      </c>
      <c r="D8" s="258"/>
    </row>
    <row r="9" spans="1:4" ht="26.25">
      <c r="A9" s="6">
        <f>A7+1</f>
        <v>2</v>
      </c>
      <c r="B9" s="6"/>
      <c r="C9" s="123" t="s">
        <v>173</v>
      </c>
      <c r="D9" s="54">
        <v>195.97</v>
      </c>
    </row>
    <row r="10" spans="1:4" ht="26.25">
      <c r="A10" s="30"/>
      <c r="B10" s="44" t="s">
        <v>35</v>
      </c>
      <c r="C10" s="255" t="s">
        <v>11</v>
      </c>
      <c r="D10" s="256"/>
    </row>
    <row r="11" spans="1:4" ht="26.25">
      <c r="A11" s="39"/>
      <c r="B11" s="44" t="s">
        <v>36</v>
      </c>
      <c r="C11" s="257" t="s">
        <v>110</v>
      </c>
      <c r="D11" s="258"/>
    </row>
    <row r="12" spans="1:4" ht="12.75">
      <c r="A12" s="6">
        <f>A9+1</f>
        <v>3</v>
      </c>
      <c r="B12" s="6"/>
      <c r="C12" s="123" t="s">
        <v>74</v>
      </c>
      <c r="D12" s="54">
        <v>473.5</v>
      </c>
    </row>
    <row r="13" spans="1:4" ht="26.25">
      <c r="A13" s="39"/>
      <c r="B13" s="44" t="s">
        <v>37</v>
      </c>
      <c r="C13" s="257" t="s">
        <v>111</v>
      </c>
      <c r="D13" s="258"/>
    </row>
    <row r="14" spans="1:4" ht="26.25">
      <c r="A14" s="6">
        <f>A12+1</f>
        <v>4</v>
      </c>
      <c r="B14" s="44"/>
      <c r="C14" s="123" t="s">
        <v>342</v>
      </c>
      <c r="D14" s="54">
        <v>25.5</v>
      </c>
    </row>
    <row r="15" spans="1:4" ht="26.25">
      <c r="A15" s="141"/>
      <c r="B15" s="152" t="s">
        <v>306</v>
      </c>
      <c r="C15" s="219" t="s">
        <v>307</v>
      </c>
      <c r="D15" s="259"/>
    </row>
    <row r="16" spans="1:4" ht="26.25">
      <c r="A16" s="129"/>
      <c r="B16" s="152" t="s">
        <v>120</v>
      </c>
      <c r="C16" s="220" t="s">
        <v>119</v>
      </c>
      <c r="D16" s="220"/>
    </row>
    <row r="17" spans="1:4" ht="78.75">
      <c r="A17" s="98">
        <f>A14+1</f>
        <v>5</v>
      </c>
      <c r="B17" s="98"/>
      <c r="C17" s="140" t="s">
        <v>345</v>
      </c>
      <c r="D17" s="121">
        <v>1</v>
      </c>
    </row>
    <row r="18" spans="1:4" ht="52.5">
      <c r="A18" s="98">
        <f>'Przedmiar D1'!A17+1</f>
        <v>1</v>
      </c>
      <c r="B18" s="98"/>
      <c r="C18" s="140" t="s">
        <v>343</v>
      </c>
      <c r="D18" s="121">
        <v>1</v>
      </c>
    </row>
    <row r="19" spans="1:4" ht="78.75">
      <c r="A19" s="98">
        <f>'Przedmiar D1'!A18+1</f>
        <v>1</v>
      </c>
      <c r="B19" s="98"/>
      <c r="C19" s="140" t="s">
        <v>344</v>
      </c>
      <c r="D19" s="121">
        <v>2</v>
      </c>
    </row>
    <row r="20" spans="1:4" ht="92.25">
      <c r="A20" s="98">
        <f>'Przedmiar D1'!A19+1</f>
        <v>1</v>
      </c>
      <c r="B20" s="98"/>
      <c r="C20" s="140" t="s">
        <v>346</v>
      </c>
      <c r="D20" s="121">
        <v>1</v>
      </c>
    </row>
    <row r="21" spans="1:4" ht="26.25">
      <c r="A21" s="142"/>
      <c r="B21" s="152" t="s">
        <v>257</v>
      </c>
      <c r="C21" s="220" t="s">
        <v>252</v>
      </c>
      <c r="D21" s="223"/>
    </row>
    <row r="22" spans="1:4" ht="52.5">
      <c r="A22" s="98">
        <f>'Przedmiar D1'!A20+1</f>
        <v>1</v>
      </c>
      <c r="B22" s="134"/>
      <c r="C22" s="140" t="s">
        <v>253</v>
      </c>
      <c r="D22" s="121">
        <v>1</v>
      </c>
    </row>
    <row r="23" spans="1:4" ht="39">
      <c r="A23" s="98">
        <f>A22+1</f>
        <v>2</v>
      </c>
      <c r="B23" s="134"/>
      <c r="C23" s="140" t="s">
        <v>254</v>
      </c>
      <c r="D23" s="121">
        <v>22.39</v>
      </c>
    </row>
    <row r="24" spans="1:4" ht="39">
      <c r="A24" s="168"/>
      <c r="B24" s="152" t="s">
        <v>308</v>
      </c>
      <c r="C24" s="220" t="s">
        <v>309</v>
      </c>
      <c r="D24" s="220"/>
    </row>
    <row r="25" spans="1:4" ht="52.5">
      <c r="A25" s="98">
        <f>A23+1</f>
        <v>3</v>
      </c>
      <c r="B25" s="98"/>
      <c r="C25" s="132" t="s">
        <v>274</v>
      </c>
      <c r="D25" s="121">
        <v>359.33</v>
      </c>
    </row>
    <row r="26" spans="1:4" ht="39">
      <c r="A26" s="98">
        <f>A23+1</f>
        <v>3</v>
      </c>
      <c r="B26" s="6" t="s">
        <v>256</v>
      </c>
      <c r="C26" s="126" t="s">
        <v>347</v>
      </c>
      <c r="D26" s="54">
        <v>359.33</v>
      </c>
    </row>
    <row r="27" spans="1:4" ht="52.5">
      <c r="A27" s="98">
        <f>A26+1</f>
        <v>4</v>
      </c>
      <c r="B27" s="98"/>
      <c r="C27" s="140" t="s">
        <v>275</v>
      </c>
      <c r="D27" s="121">
        <v>1.84</v>
      </c>
    </row>
    <row r="28" spans="1:4" ht="26.25">
      <c r="A28" s="141"/>
      <c r="B28" s="152" t="s">
        <v>38</v>
      </c>
      <c r="C28" s="219" t="s">
        <v>21</v>
      </c>
      <c r="D28" s="259"/>
    </row>
    <row r="29" spans="1:4" ht="26.25">
      <c r="A29" s="129"/>
      <c r="B29" s="152" t="s">
        <v>26</v>
      </c>
      <c r="C29" s="220" t="s">
        <v>112</v>
      </c>
      <c r="D29" s="220"/>
    </row>
    <row r="30" spans="1:4" ht="26.25">
      <c r="A30" s="98">
        <f>A27+1</f>
        <v>5</v>
      </c>
      <c r="B30" s="152"/>
      <c r="C30" s="132" t="s">
        <v>27</v>
      </c>
      <c r="D30" s="121">
        <v>500.41</v>
      </c>
    </row>
    <row r="31" spans="1:4" ht="26.25">
      <c r="A31" s="168"/>
      <c r="B31" s="152" t="s">
        <v>28</v>
      </c>
      <c r="C31" s="220" t="s">
        <v>179</v>
      </c>
      <c r="D31" s="220"/>
    </row>
    <row r="32" spans="1:4" ht="52.5">
      <c r="A32" s="98">
        <f>A30+1</f>
        <v>6</v>
      </c>
      <c r="B32" s="98"/>
      <c r="C32" s="132" t="s">
        <v>115</v>
      </c>
      <c r="D32" s="121">
        <v>393.94</v>
      </c>
    </row>
    <row r="33" spans="1:4" ht="26.25">
      <c r="A33" s="14"/>
      <c r="B33" s="44" t="s">
        <v>39</v>
      </c>
      <c r="C33" s="255" t="s">
        <v>10</v>
      </c>
      <c r="D33" s="260"/>
    </row>
    <row r="34" spans="1:4" ht="26.25">
      <c r="A34" s="39"/>
      <c r="B34" s="44" t="s">
        <v>30</v>
      </c>
      <c r="C34" s="257" t="s">
        <v>225</v>
      </c>
      <c r="D34" s="257"/>
    </row>
    <row r="35" spans="1:4" ht="26.25">
      <c r="A35" s="6">
        <f>A32+1</f>
        <v>7</v>
      </c>
      <c r="B35" s="6"/>
      <c r="C35" s="123" t="s">
        <v>31</v>
      </c>
      <c r="D35" s="54">
        <v>1448.44</v>
      </c>
    </row>
    <row r="36" spans="1:4" ht="26.25">
      <c r="A36" s="141"/>
      <c r="B36" s="152" t="s">
        <v>310</v>
      </c>
      <c r="C36" s="219" t="s">
        <v>311</v>
      </c>
      <c r="D36" s="232"/>
    </row>
    <row r="37" spans="1:4" ht="39">
      <c r="A37" s="129"/>
      <c r="B37" s="152" t="s">
        <v>312</v>
      </c>
      <c r="C37" s="220" t="s">
        <v>313</v>
      </c>
      <c r="D37" s="220"/>
    </row>
    <row r="38" spans="1:4" ht="39">
      <c r="A38" s="98">
        <f>A35+1</f>
        <v>8</v>
      </c>
      <c r="B38" s="98" t="s">
        <v>256</v>
      </c>
      <c r="C38" s="140" t="s">
        <v>248</v>
      </c>
      <c r="D38" s="121">
        <v>155</v>
      </c>
    </row>
    <row r="39" spans="1:4" ht="78.75">
      <c r="A39" s="98">
        <f>A38+1</f>
        <v>9</v>
      </c>
      <c r="B39" s="134" t="s">
        <v>258</v>
      </c>
      <c r="C39" s="140" t="s">
        <v>259</v>
      </c>
      <c r="D39" s="121">
        <v>17.1</v>
      </c>
    </row>
    <row r="40" spans="1:4" ht="26.25">
      <c r="A40" s="39"/>
      <c r="B40" s="44" t="s">
        <v>71</v>
      </c>
      <c r="C40" s="255" t="s">
        <v>72</v>
      </c>
      <c r="D40" s="256"/>
    </row>
    <row r="41" spans="1:4" ht="26.25">
      <c r="A41" s="39"/>
      <c r="B41" s="44" t="s">
        <v>73</v>
      </c>
      <c r="C41" s="257" t="s">
        <v>113</v>
      </c>
      <c r="D41" s="258"/>
    </row>
    <row r="42" spans="1:4" ht="39">
      <c r="A42" s="6">
        <f>A39+1</f>
        <v>10</v>
      </c>
      <c r="B42" s="6"/>
      <c r="C42" s="123" t="s">
        <v>175</v>
      </c>
      <c r="D42" s="54">
        <v>181</v>
      </c>
    </row>
    <row r="43" spans="1:4" ht="26.25">
      <c r="A43" s="39"/>
      <c r="B43" s="44" t="s">
        <v>123</v>
      </c>
      <c r="C43" s="257" t="s">
        <v>124</v>
      </c>
      <c r="D43" s="258"/>
    </row>
    <row r="44" spans="1:4" ht="52.5">
      <c r="A44" s="6">
        <f>A42+1</f>
        <v>11</v>
      </c>
      <c r="B44" s="6"/>
      <c r="C44" s="123" t="s">
        <v>174</v>
      </c>
      <c r="D44" s="54">
        <v>386</v>
      </c>
    </row>
    <row r="45" spans="1:4" ht="26.25">
      <c r="A45" s="39"/>
      <c r="B45" s="44" t="s">
        <v>76</v>
      </c>
      <c r="C45" s="255" t="s">
        <v>77</v>
      </c>
      <c r="D45" s="256"/>
    </row>
    <row r="46" spans="1:4" ht="26.25">
      <c r="A46" s="39"/>
      <c r="B46" s="44" t="s">
        <v>78</v>
      </c>
      <c r="C46" s="257" t="s">
        <v>114</v>
      </c>
      <c r="D46" s="258"/>
    </row>
    <row r="47" spans="1:4" ht="66">
      <c r="A47" s="6">
        <f>A44+1</f>
        <v>12</v>
      </c>
      <c r="B47" s="6"/>
      <c r="C47" s="123" t="s">
        <v>235</v>
      </c>
      <c r="D47" s="54">
        <v>106.47</v>
      </c>
    </row>
    <row r="48" spans="1:4" ht="12.75">
      <c r="A48" s="204"/>
      <c r="B48" s="204"/>
      <c r="C48" s="204"/>
      <c r="D48" s="10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30"/>
    </sheetView>
  </sheetViews>
  <sheetFormatPr defaultColWidth="9.00390625" defaultRowHeight="12.75"/>
  <cols>
    <col min="1" max="2" width="8.875" style="251" customWidth="1"/>
    <col min="3" max="3" width="39.00390625" style="251" bestFit="1" customWidth="1"/>
    <col min="4" max="16384" width="8.875" style="251" customWidth="1"/>
  </cols>
  <sheetData>
    <row r="1" spans="2:4" ht="17.25">
      <c r="B1" s="241"/>
      <c r="C1" s="241" t="s">
        <v>126</v>
      </c>
      <c r="D1" s="241"/>
    </row>
    <row r="2" spans="1:4" ht="66">
      <c r="A2" s="237" t="s">
        <v>0</v>
      </c>
      <c r="B2" s="239" t="s">
        <v>2</v>
      </c>
      <c r="C2" s="237" t="s">
        <v>3</v>
      </c>
      <c r="D2" s="237" t="s">
        <v>150</v>
      </c>
    </row>
    <row r="3" spans="1:4" ht="12.75">
      <c r="A3" s="238"/>
      <c r="B3" s="66"/>
      <c r="C3" s="238"/>
      <c r="D3" s="238"/>
    </row>
    <row r="4" spans="1:4" ht="12.75">
      <c r="A4" s="6">
        <v>1</v>
      </c>
      <c r="B4" s="6">
        <v>2</v>
      </c>
      <c r="C4" s="6">
        <v>4</v>
      </c>
      <c r="D4" s="6">
        <v>7</v>
      </c>
    </row>
    <row r="5" spans="1:4" ht="26.25">
      <c r="A5" s="68"/>
      <c r="B5" s="44" t="s">
        <v>128</v>
      </c>
      <c r="C5" s="101" t="s">
        <v>129</v>
      </c>
      <c r="D5" s="94"/>
    </row>
    <row r="6" spans="1:4" ht="26.25">
      <c r="A6" s="14"/>
      <c r="B6" s="44" t="s">
        <v>130</v>
      </c>
      <c r="C6" s="233" t="s">
        <v>184</v>
      </c>
      <c r="D6" s="240"/>
    </row>
    <row r="7" spans="1:4" ht="26.25">
      <c r="A7" s="45"/>
      <c r="B7" s="56" t="s">
        <v>236</v>
      </c>
      <c r="C7" s="233" t="s">
        <v>131</v>
      </c>
      <c r="D7" s="244"/>
    </row>
    <row r="8" spans="1:4" ht="52.5">
      <c r="A8" s="159" t="s">
        <v>390</v>
      </c>
      <c r="B8" s="65"/>
      <c r="C8" s="70" t="s">
        <v>133</v>
      </c>
      <c r="D8" s="117">
        <v>0.09</v>
      </c>
    </row>
    <row r="9" spans="1:4" ht="39">
      <c r="A9" s="159"/>
      <c r="B9" s="65" t="s">
        <v>237</v>
      </c>
      <c r="C9" s="233" t="s">
        <v>134</v>
      </c>
      <c r="D9" s="244"/>
    </row>
    <row r="10" spans="1:4" ht="39">
      <c r="A10" s="159">
        <f>A8+1</f>
        <v>58</v>
      </c>
      <c r="B10" s="156"/>
      <c r="C10" s="63" t="s">
        <v>136</v>
      </c>
      <c r="D10" s="116">
        <v>0.09</v>
      </c>
    </row>
    <row r="11" spans="1:4" ht="26.25">
      <c r="A11" s="160">
        <f>A10+1</f>
        <v>59</v>
      </c>
      <c r="B11" s="156"/>
      <c r="C11" s="63" t="s">
        <v>137</v>
      </c>
      <c r="D11" s="116">
        <v>0.09</v>
      </c>
    </row>
    <row r="12" spans="1:4" ht="12.75">
      <c r="A12" s="160">
        <f>A11+1</f>
        <v>60</v>
      </c>
      <c r="B12" s="157"/>
      <c r="C12" s="75" t="s">
        <v>138</v>
      </c>
      <c r="D12" s="54">
        <v>4</v>
      </c>
    </row>
    <row r="13" spans="1:4" ht="26.25">
      <c r="A13" s="161"/>
      <c r="B13" s="4"/>
      <c r="C13" s="233" t="s">
        <v>140</v>
      </c>
      <c r="D13" s="242"/>
    </row>
    <row r="14" spans="1:4" ht="12.75">
      <c r="A14" s="160">
        <f>A12+1</f>
        <v>61</v>
      </c>
      <c r="B14" s="65"/>
      <c r="C14" s="70" t="s">
        <v>141</v>
      </c>
      <c r="D14" s="54">
        <v>8</v>
      </c>
    </row>
    <row r="15" spans="1:4" ht="12.75">
      <c r="A15" s="161"/>
      <c r="B15" s="158"/>
      <c r="C15" s="233" t="s">
        <v>142</v>
      </c>
      <c r="D15" s="242"/>
    </row>
    <row r="16" spans="1:4" ht="26.25">
      <c r="A16" s="160">
        <f>A14+1</f>
        <v>62</v>
      </c>
      <c r="B16" s="156"/>
      <c r="C16" s="63" t="s">
        <v>332</v>
      </c>
      <c r="D16" s="116">
        <v>0.2</v>
      </c>
    </row>
    <row r="17" spans="1:4" ht="39">
      <c r="A17" s="160">
        <f>A16+1</f>
        <v>63</v>
      </c>
      <c r="B17" s="157"/>
      <c r="C17" s="75" t="s">
        <v>143</v>
      </c>
      <c r="D17" s="53">
        <v>4</v>
      </c>
    </row>
    <row r="18" spans="1:4" ht="26.25">
      <c r="A18" s="162"/>
      <c r="B18" s="15" t="s">
        <v>239</v>
      </c>
      <c r="C18" s="233" t="s">
        <v>98</v>
      </c>
      <c r="D18" s="250"/>
    </row>
    <row r="19" spans="1:4" ht="26.25">
      <c r="A19" s="163"/>
      <c r="B19" s="7" t="s">
        <v>240</v>
      </c>
      <c r="C19" s="63" t="s">
        <v>98</v>
      </c>
      <c r="D19" s="249" t="s">
        <v>8</v>
      </c>
    </row>
    <row r="20" spans="1:4" ht="39">
      <c r="A20" s="160">
        <f>A17+1</f>
        <v>64</v>
      </c>
      <c r="B20" s="118"/>
      <c r="C20" s="118" t="s">
        <v>99</v>
      </c>
      <c r="D20" s="53">
        <v>316.8</v>
      </c>
    </row>
    <row r="21" spans="1:4" ht="27">
      <c r="A21" s="162"/>
      <c r="B21" s="10" t="s">
        <v>180</v>
      </c>
      <c r="C21" s="234" t="s">
        <v>144</v>
      </c>
      <c r="D21" s="243"/>
    </row>
    <row r="22" spans="1:4" ht="26.25">
      <c r="A22" s="162"/>
      <c r="B22" s="79" t="s">
        <v>181</v>
      </c>
      <c r="C22" s="233" t="s">
        <v>185</v>
      </c>
      <c r="D22" s="240"/>
    </row>
    <row r="23" spans="1:4" ht="39">
      <c r="A23" s="160">
        <f>A20+1</f>
        <v>65</v>
      </c>
      <c r="B23" s="43"/>
      <c r="C23" s="43" t="s">
        <v>145</v>
      </c>
      <c r="D23" s="54">
        <v>2</v>
      </c>
    </row>
    <row r="24" spans="1:4" ht="39">
      <c r="A24" s="160">
        <f>A23+1</f>
        <v>66</v>
      </c>
      <c r="B24" s="112"/>
      <c r="C24" s="81" t="s">
        <v>333</v>
      </c>
      <c r="D24" s="53">
        <v>2</v>
      </c>
    </row>
    <row r="25" spans="1:4" ht="26.25">
      <c r="A25" s="188"/>
      <c r="B25" s="15" t="s">
        <v>182</v>
      </c>
      <c r="C25" s="245" t="s">
        <v>238</v>
      </c>
      <c r="D25" s="247"/>
    </row>
    <row r="26" spans="1:4" ht="26.25">
      <c r="A26" s="162"/>
      <c r="B26" s="79" t="s">
        <v>183</v>
      </c>
      <c r="C26" s="233" t="s">
        <v>186</v>
      </c>
      <c r="D26" s="248"/>
    </row>
    <row r="27" spans="1:4" ht="52.5">
      <c r="A27" s="160">
        <f>A24+1</f>
        <v>67</v>
      </c>
      <c r="B27" s="156"/>
      <c r="C27" s="75" t="s">
        <v>169</v>
      </c>
      <c r="D27" s="54">
        <v>2</v>
      </c>
    </row>
    <row r="28" spans="1:4" ht="39">
      <c r="A28" s="160">
        <f>A27+1</f>
        <v>68</v>
      </c>
      <c r="B28" s="156"/>
      <c r="C28" s="75" t="s">
        <v>170</v>
      </c>
      <c r="D28" s="54">
        <v>2</v>
      </c>
    </row>
    <row r="29" spans="1:4" ht="13.5">
      <c r="A29" s="188"/>
      <c r="B29" s="44"/>
      <c r="C29" s="245" t="s">
        <v>327</v>
      </c>
      <c r="D29" s="246"/>
    </row>
    <row r="30" spans="1:4" ht="92.25">
      <c r="A30" s="160">
        <f>A28+1</f>
        <v>69</v>
      </c>
      <c r="B30" s="64"/>
      <c r="C30" s="75" t="s">
        <v>328</v>
      </c>
      <c r="D30" s="5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C10" sqref="C10"/>
    </sheetView>
  </sheetViews>
  <sheetFormatPr defaultColWidth="9.00390625" defaultRowHeight="12.75"/>
  <cols>
    <col min="3" max="3" width="39.00390625" style="0" bestFit="1" customWidth="1"/>
  </cols>
  <sheetData>
    <row r="1" spans="2:4" ht="15">
      <c r="B1" s="252"/>
      <c r="C1" s="252" t="s">
        <v>289</v>
      </c>
      <c r="D1" s="253"/>
    </row>
    <row r="2" spans="1:4" ht="66">
      <c r="A2" s="56" t="s">
        <v>0</v>
      </c>
      <c r="B2" s="56" t="s">
        <v>2</v>
      </c>
      <c r="C2" s="56" t="s">
        <v>3</v>
      </c>
      <c r="D2" s="254" t="s">
        <v>400</v>
      </c>
    </row>
    <row r="3" spans="1:4" ht="12.75">
      <c r="A3" s="56"/>
      <c r="B3" s="56"/>
      <c r="C3" s="56"/>
      <c r="D3" s="254"/>
    </row>
    <row r="4" spans="1:4" ht="12.75">
      <c r="A4" s="6">
        <v>1</v>
      </c>
      <c r="B4" s="6">
        <v>2</v>
      </c>
      <c r="C4" s="6">
        <v>4</v>
      </c>
      <c r="D4" s="104">
        <v>7</v>
      </c>
    </row>
    <row r="5" spans="1:4" ht="26.25">
      <c r="A5" s="30"/>
      <c r="B5" s="44" t="s">
        <v>241</v>
      </c>
      <c r="C5" s="257" t="s">
        <v>242</v>
      </c>
      <c r="D5" s="258"/>
    </row>
    <row r="6" spans="1:4" ht="26.25">
      <c r="A6" s="6">
        <f>'Przedmiar K1'!A30+1</f>
        <v>1</v>
      </c>
      <c r="B6" s="6"/>
      <c r="C6" s="126" t="s">
        <v>243</v>
      </c>
      <c r="D6" s="54">
        <v>95</v>
      </c>
    </row>
    <row r="7" spans="1:4" ht="12.75">
      <c r="A7" s="261"/>
      <c r="B7" s="262"/>
      <c r="C7" s="262"/>
      <c r="D7" s="262"/>
    </row>
    <row r="8" spans="1:4" ht="26.25">
      <c r="A8" s="30"/>
      <c r="B8" s="44" t="s">
        <v>244</v>
      </c>
      <c r="C8" s="257" t="s">
        <v>264</v>
      </c>
      <c r="D8" s="258"/>
    </row>
    <row r="9" spans="1:4" ht="144.75">
      <c r="A9" s="6">
        <f>A6+1</f>
        <v>2</v>
      </c>
      <c r="B9" s="6"/>
      <c r="C9" s="123" t="s">
        <v>288</v>
      </c>
      <c r="D9" s="54">
        <v>8</v>
      </c>
    </row>
    <row r="10" spans="1:4" ht="42">
      <c r="A10" s="6">
        <f>A9+1</f>
        <v>3</v>
      </c>
      <c r="B10" s="6"/>
      <c r="C10" s="123" t="s">
        <v>285</v>
      </c>
      <c r="D10" s="54">
        <v>239</v>
      </c>
    </row>
    <row r="11" spans="1:4" ht="92.25">
      <c r="A11" s="6">
        <f>A10+1</f>
        <v>4</v>
      </c>
      <c r="B11" s="6"/>
      <c r="C11" s="123" t="s">
        <v>391</v>
      </c>
      <c r="D11" s="54">
        <v>4</v>
      </c>
    </row>
    <row r="12" spans="1:4" ht="26.25">
      <c r="A12" s="6">
        <f aca="true" t="shared" si="0" ref="A12:A17">A11+1</f>
        <v>5</v>
      </c>
      <c r="B12" s="6"/>
      <c r="C12" s="123" t="s">
        <v>265</v>
      </c>
      <c r="D12" s="54">
        <v>65</v>
      </c>
    </row>
    <row r="13" spans="1:4" ht="42">
      <c r="A13" s="6">
        <f t="shared" si="0"/>
        <v>6</v>
      </c>
      <c r="B13" s="6"/>
      <c r="C13" s="123" t="s">
        <v>286</v>
      </c>
      <c r="D13" s="54">
        <v>10</v>
      </c>
    </row>
    <row r="14" spans="1:4" ht="12.75">
      <c r="A14" s="6">
        <f t="shared" si="0"/>
        <v>7</v>
      </c>
      <c r="B14" s="6"/>
      <c r="C14" s="123" t="s">
        <v>267</v>
      </c>
      <c r="D14" s="54">
        <v>1</v>
      </c>
    </row>
    <row r="15" spans="1:4" ht="26.25">
      <c r="A15" s="6">
        <f t="shared" si="0"/>
        <v>8</v>
      </c>
      <c r="B15" s="6"/>
      <c r="C15" s="123" t="s">
        <v>266</v>
      </c>
      <c r="D15" s="54">
        <v>1</v>
      </c>
    </row>
    <row r="16" spans="1:4" ht="39">
      <c r="A16" s="6">
        <f t="shared" si="0"/>
        <v>9</v>
      </c>
      <c r="B16" s="6"/>
      <c r="C16" s="123" t="s">
        <v>268</v>
      </c>
      <c r="D16" s="54">
        <v>1</v>
      </c>
    </row>
    <row r="17" spans="1:4" ht="12.75">
      <c r="A17" s="6">
        <f t="shared" si="0"/>
        <v>10</v>
      </c>
      <c r="B17" s="6"/>
      <c r="C17" s="123" t="s">
        <v>269</v>
      </c>
      <c r="D17" s="5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85">
      <selection activeCell="J87" sqref="J87"/>
    </sheetView>
  </sheetViews>
  <sheetFormatPr defaultColWidth="9.00390625" defaultRowHeight="12.75"/>
  <cols>
    <col min="1" max="2" width="8.875" style="251" customWidth="1"/>
    <col min="3" max="3" width="39.00390625" style="251" bestFit="1" customWidth="1"/>
    <col min="4" max="16384" width="8.875" style="251" customWidth="1"/>
  </cols>
  <sheetData>
    <row r="1" spans="2:4" ht="62.25">
      <c r="B1" s="230"/>
      <c r="C1" s="230" t="s">
        <v>388</v>
      </c>
      <c r="D1" s="231"/>
    </row>
    <row r="2" spans="2:4" ht="15">
      <c r="B2" s="230"/>
      <c r="C2" s="230"/>
      <c r="D2" s="231"/>
    </row>
    <row r="3" spans="2:4" ht="15">
      <c r="B3" s="228"/>
      <c r="C3" s="228" t="s">
        <v>12</v>
      </c>
      <c r="D3" s="229"/>
    </row>
    <row r="4" spans="1:4" ht="66">
      <c r="A4" s="134" t="s">
        <v>0</v>
      </c>
      <c r="B4" s="134" t="s">
        <v>2</v>
      </c>
      <c r="C4" s="134" t="s">
        <v>3</v>
      </c>
      <c r="D4" s="134" t="s">
        <v>400</v>
      </c>
    </row>
    <row r="5" spans="1:4" ht="12.75">
      <c r="A5" s="134"/>
      <c r="B5" s="134"/>
      <c r="C5" s="134"/>
      <c r="D5" s="134"/>
    </row>
    <row r="6" spans="1:4" ht="12.75">
      <c r="A6" s="98">
        <v>1</v>
      </c>
      <c r="B6" s="98">
        <v>2</v>
      </c>
      <c r="C6" s="98">
        <v>4</v>
      </c>
      <c r="D6" s="98">
        <v>7</v>
      </c>
    </row>
    <row r="7" spans="1:4" ht="26.25">
      <c r="A7" s="141"/>
      <c r="B7" s="152" t="s">
        <v>40</v>
      </c>
      <c r="C7" s="219" t="s">
        <v>20</v>
      </c>
      <c r="D7" s="232"/>
    </row>
    <row r="8" spans="1:4" ht="26.25">
      <c r="A8" s="141"/>
      <c r="B8" s="152" t="s">
        <v>41</v>
      </c>
      <c r="C8" s="220" t="s">
        <v>79</v>
      </c>
      <c r="D8" s="221"/>
    </row>
    <row r="9" spans="1:4" ht="26.25">
      <c r="A9" s="129"/>
      <c r="B9" s="98" t="s">
        <v>49</v>
      </c>
      <c r="C9" s="140" t="s">
        <v>52</v>
      </c>
      <c r="D9" s="221"/>
    </row>
    <row r="10" spans="1:4" ht="39">
      <c r="A10" s="135">
        <f>1</f>
        <v>1</v>
      </c>
      <c r="B10" s="98"/>
      <c r="C10" s="132" t="s">
        <v>147</v>
      </c>
      <c r="D10" s="121">
        <v>1</v>
      </c>
    </row>
    <row r="11" spans="1:4" ht="26.25">
      <c r="A11" s="137"/>
      <c r="B11" s="152" t="s">
        <v>42</v>
      </c>
      <c r="C11" s="219" t="s">
        <v>7</v>
      </c>
      <c r="D11" s="219"/>
    </row>
    <row r="12" spans="1:4" ht="26.25">
      <c r="A12" s="137"/>
      <c r="B12" s="152" t="s">
        <v>200</v>
      </c>
      <c r="C12" s="220" t="s">
        <v>201</v>
      </c>
      <c r="D12" s="220"/>
    </row>
    <row r="13" spans="1:4" ht="26.25">
      <c r="A13" s="129"/>
      <c r="B13" s="98" t="s">
        <v>202</v>
      </c>
      <c r="C13" s="140" t="s">
        <v>205</v>
      </c>
      <c r="D13" s="221" t="s">
        <v>8</v>
      </c>
    </row>
    <row r="14" spans="1:4" ht="26.25">
      <c r="A14" s="135">
        <f>A10+1</f>
        <v>2</v>
      </c>
      <c r="B14" s="132"/>
      <c r="C14" s="140" t="s">
        <v>334</v>
      </c>
      <c r="D14" s="121">
        <v>1577.11</v>
      </c>
    </row>
    <row r="15" spans="1:4" ht="26.25">
      <c r="A15" s="129"/>
      <c r="B15" s="98" t="s">
        <v>204</v>
      </c>
      <c r="C15" s="140" t="s">
        <v>203</v>
      </c>
      <c r="D15" s="221" t="s">
        <v>8</v>
      </c>
    </row>
    <row r="16" spans="1:4" ht="26.25">
      <c r="A16" s="135">
        <f>A14+1</f>
        <v>3</v>
      </c>
      <c r="B16" s="132"/>
      <c r="C16" s="132" t="s">
        <v>335</v>
      </c>
      <c r="D16" s="121">
        <v>1168.68</v>
      </c>
    </row>
    <row r="17" spans="1:4" ht="26.25">
      <c r="A17" s="129"/>
      <c r="B17" s="98" t="s">
        <v>227</v>
      </c>
      <c r="C17" s="140" t="s">
        <v>228</v>
      </c>
      <c r="D17" s="221" t="s">
        <v>8</v>
      </c>
    </row>
    <row r="18" spans="1:4" ht="66">
      <c r="A18" s="135">
        <f>A16+1</f>
        <v>4</v>
      </c>
      <c r="B18" s="132"/>
      <c r="C18" s="132" t="s">
        <v>336</v>
      </c>
      <c r="D18" s="121">
        <v>231</v>
      </c>
    </row>
    <row r="19" spans="1:4" ht="26.25">
      <c r="A19" s="135">
        <f>A18+1</f>
        <v>5</v>
      </c>
      <c r="B19" s="134"/>
      <c r="C19" s="140" t="s">
        <v>337</v>
      </c>
      <c r="D19" s="121">
        <v>174.24</v>
      </c>
    </row>
    <row r="20" spans="1:4" ht="26.25">
      <c r="A20" s="135"/>
      <c r="B20" s="98" t="s">
        <v>204</v>
      </c>
      <c r="C20" s="140" t="s">
        <v>323</v>
      </c>
      <c r="D20" s="221" t="s">
        <v>8</v>
      </c>
    </row>
    <row r="21" spans="1:4" ht="12.75">
      <c r="A21" s="135">
        <v>6</v>
      </c>
      <c r="B21" s="132"/>
      <c r="C21" s="132" t="s">
        <v>324</v>
      </c>
      <c r="D21" s="121">
        <v>1</v>
      </c>
    </row>
    <row r="22" spans="1:4" ht="26.25">
      <c r="A22" s="135"/>
      <c r="B22" s="98" t="s">
        <v>229</v>
      </c>
      <c r="C22" s="140" t="s">
        <v>230</v>
      </c>
      <c r="D22" s="221" t="s">
        <v>8</v>
      </c>
    </row>
    <row r="23" spans="1:4" ht="26.25">
      <c r="A23" s="135">
        <f>A21+1</f>
        <v>7</v>
      </c>
      <c r="B23" s="132"/>
      <c r="C23" s="132" t="s">
        <v>263</v>
      </c>
      <c r="D23" s="121">
        <v>342</v>
      </c>
    </row>
    <row r="24" spans="1:4" ht="26.25">
      <c r="A24" s="135"/>
      <c r="B24" s="152" t="s">
        <v>43</v>
      </c>
      <c r="C24" s="219" t="s">
        <v>4</v>
      </c>
      <c r="D24" s="219"/>
    </row>
    <row r="25" spans="1:4" ht="26.25">
      <c r="A25" s="135"/>
      <c r="B25" s="152" t="s">
        <v>44</v>
      </c>
      <c r="C25" s="220" t="s">
        <v>80</v>
      </c>
      <c r="D25" s="220"/>
    </row>
    <row r="26" spans="1:4" ht="26.25">
      <c r="A26" s="135"/>
      <c r="B26" s="98" t="s">
        <v>81</v>
      </c>
      <c r="C26" s="132" t="s">
        <v>82</v>
      </c>
      <c r="D26" s="132"/>
    </row>
    <row r="27" spans="1:4" ht="12.75">
      <c r="A27" s="135"/>
      <c r="B27" s="98"/>
      <c r="C27" s="132" t="s">
        <v>152</v>
      </c>
      <c r="D27" s="132"/>
    </row>
    <row r="28" spans="1:4" ht="42">
      <c r="A28" s="135">
        <f>A23+1</f>
        <v>8</v>
      </c>
      <c r="B28" s="132"/>
      <c r="C28" s="132" t="s">
        <v>221</v>
      </c>
      <c r="D28" s="121">
        <v>93.67</v>
      </c>
    </row>
    <row r="29" spans="1:4" ht="26.25">
      <c r="A29" s="135">
        <f>A28+1</f>
        <v>9</v>
      </c>
      <c r="B29" s="132"/>
      <c r="C29" s="132" t="s">
        <v>338</v>
      </c>
      <c r="D29" s="121">
        <v>11426</v>
      </c>
    </row>
    <row r="30" spans="1:4" ht="12.75">
      <c r="A30" s="135"/>
      <c r="B30" s="98"/>
      <c r="C30" s="132" t="s">
        <v>154</v>
      </c>
      <c r="D30" s="132"/>
    </row>
    <row r="31" spans="1:4" ht="26.25">
      <c r="A31" s="135">
        <f>A29+1</f>
        <v>10</v>
      </c>
      <c r="B31" s="132"/>
      <c r="C31" s="132" t="s">
        <v>192</v>
      </c>
      <c r="D31" s="121">
        <v>274.96</v>
      </c>
    </row>
    <row r="32" spans="1:4" ht="26.25">
      <c r="A32" s="135">
        <f>A31+1</f>
        <v>11</v>
      </c>
      <c r="B32" s="132"/>
      <c r="C32" s="132" t="s">
        <v>155</v>
      </c>
      <c r="D32" s="121">
        <v>28090</v>
      </c>
    </row>
    <row r="33" spans="1:4" ht="26.25">
      <c r="A33" s="141"/>
      <c r="B33" s="152" t="s">
        <v>195</v>
      </c>
      <c r="C33" s="220" t="s">
        <v>196</v>
      </c>
      <c r="D33" s="220"/>
    </row>
    <row r="34" spans="1:4" ht="39">
      <c r="A34" s="129"/>
      <c r="B34" s="98" t="s">
        <v>197</v>
      </c>
      <c r="C34" s="132" t="s">
        <v>198</v>
      </c>
      <c r="D34" s="132"/>
    </row>
    <row r="35" spans="1:4" ht="52.5">
      <c r="A35" s="135">
        <f>A32+1</f>
        <v>12</v>
      </c>
      <c r="B35" s="132"/>
      <c r="C35" s="132" t="s">
        <v>199</v>
      </c>
      <c r="D35" s="121">
        <v>7.85</v>
      </c>
    </row>
    <row r="36" spans="1:4" ht="26.25">
      <c r="A36" s="141"/>
      <c r="B36" s="152" t="s">
        <v>156</v>
      </c>
      <c r="C36" s="219" t="s">
        <v>157</v>
      </c>
      <c r="D36" s="219"/>
    </row>
    <row r="37" spans="1:4" ht="26.25">
      <c r="A37" s="141"/>
      <c r="B37" s="152" t="s">
        <v>158</v>
      </c>
      <c r="C37" s="220" t="s">
        <v>217</v>
      </c>
      <c r="D37" s="220"/>
    </row>
    <row r="38" spans="1:4" ht="26.25">
      <c r="A38" s="129"/>
      <c r="B38" s="98" t="s">
        <v>159</v>
      </c>
      <c r="C38" s="132" t="s">
        <v>208</v>
      </c>
      <c r="D38" s="132"/>
    </row>
    <row r="39" spans="1:4" ht="52.5">
      <c r="A39" s="135">
        <f>A35+1</f>
        <v>13</v>
      </c>
      <c r="B39" s="132"/>
      <c r="C39" s="132" t="s">
        <v>222</v>
      </c>
      <c r="D39" s="121">
        <v>41.78</v>
      </c>
    </row>
    <row r="40" spans="1:4" ht="26.25">
      <c r="A40" s="141"/>
      <c r="B40" s="152" t="s">
        <v>290</v>
      </c>
      <c r="C40" s="219" t="s">
        <v>291</v>
      </c>
      <c r="D40" s="219"/>
    </row>
    <row r="41" spans="1:4" ht="26.25">
      <c r="A41" s="141"/>
      <c r="B41" s="152" t="s">
        <v>292</v>
      </c>
      <c r="C41" s="220" t="s">
        <v>293</v>
      </c>
      <c r="D41" s="220"/>
    </row>
    <row r="42" spans="1:4" ht="26.25">
      <c r="A42" s="129"/>
      <c r="B42" s="98" t="s">
        <v>294</v>
      </c>
      <c r="C42" s="132" t="s">
        <v>295</v>
      </c>
      <c r="D42" s="132"/>
    </row>
    <row r="43" spans="1:4" ht="66">
      <c r="A43" s="135">
        <f>A39+1</f>
        <v>14</v>
      </c>
      <c r="B43" s="132"/>
      <c r="C43" s="132" t="s">
        <v>296</v>
      </c>
      <c r="D43" s="121">
        <v>16</v>
      </c>
    </row>
    <row r="44" spans="1:4" ht="26.25">
      <c r="A44" s="141"/>
      <c r="B44" s="152" t="s">
        <v>297</v>
      </c>
      <c r="C44" s="220" t="s">
        <v>321</v>
      </c>
      <c r="D44" s="220"/>
    </row>
    <row r="45" spans="1:4" ht="26.25">
      <c r="A45" s="129"/>
      <c r="B45" s="98" t="s">
        <v>298</v>
      </c>
      <c r="C45" s="132" t="s">
        <v>322</v>
      </c>
      <c r="D45" s="132"/>
    </row>
    <row r="46" spans="1:4" ht="52.5">
      <c r="A46" s="135">
        <f>A43+1</f>
        <v>15</v>
      </c>
      <c r="B46" s="132"/>
      <c r="C46" s="132" t="s">
        <v>305</v>
      </c>
      <c r="D46" s="121">
        <v>4</v>
      </c>
    </row>
    <row r="47" spans="1:4" ht="39">
      <c r="A47" s="135">
        <f aca="true" t="shared" si="0" ref="A47:A52">A46+1</f>
        <v>16</v>
      </c>
      <c r="B47" s="132"/>
      <c r="C47" s="132" t="s">
        <v>302</v>
      </c>
      <c r="D47" s="121">
        <v>54</v>
      </c>
    </row>
    <row r="48" spans="1:4" ht="39">
      <c r="A48" s="135">
        <f t="shared" si="0"/>
        <v>17</v>
      </c>
      <c r="B48" s="132"/>
      <c r="C48" s="132" t="s">
        <v>301</v>
      </c>
      <c r="D48" s="121">
        <v>17</v>
      </c>
    </row>
    <row r="49" spans="1:4" ht="52.5">
      <c r="A49" s="135">
        <f t="shared" si="0"/>
        <v>18</v>
      </c>
      <c r="B49" s="132"/>
      <c r="C49" s="132" t="s">
        <v>317</v>
      </c>
      <c r="D49" s="121">
        <v>144</v>
      </c>
    </row>
    <row r="50" spans="1:4" ht="39">
      <c r="A50" s="135">
        <f t="shared" si="0"/>
        <v>19</v>
      </c>
      <c r="B50" s="132"/>
      <c r="C50" s="132" t="s">
        <v>397</v>
      </c>
      <c r="D50" s="121">
        <v>22.9</v>
      </c>
    </row>
    <row r="51" spans="1:4" ht="26.25">
      <c r="A51" s="135">
        <f t="shared" si="0"/>
        <v>20</v>
      </c>
      <c r="B51" s="132"/>
      <c r="C51" s="132" t="s">
        <v>300</v>
      </c>
      <c r="D51" s="121">
        <v>90</v>
      </c>
    </row>
    <row r="52" spans="1:4" ht="39">
      <c r="A52" s="135">
        <f t="shared" si="0"/>
        <v>21</v>
      </c>
      <c r="B52" s="132"/>
      <c r="C52" s="132" t="s">
        <v>349</v>
      </c>
      <c r="D52" s="121">
        <v>7</v>
      </c>
    </row>
    <row r="53" spans="1:4" ht="39">
      <c r="A53" s="129"/>
      <c r="B53" s="98" t="s">
        <v>303</v>
      </c>
      <c r="C53" s="132" t="s">
        <v>304</v>
      </c>
      <c r="D53" s="132"/>
    </row>
    <row r="54" spans="1:4" ht="52.5">
      <c r="A54" s="135">
        <f>A52+1</f>
        <v>22</v>
      </c>
      <c r="B54" s="132"/>
      <c r="C54" s="132" t="s">
        <v>319</v>
      </c>
      <c r="D54" s="121">
        <v>17.5</v>
      </c>
    </row>
    <row r="55" spans="1:4" ht="52.5">
      <c r="A55" s="135">
        <f>A54+1</f>
        <v>23</v>
      </c>
      <c r="B55" s="132"/>
      <c r="C55" s="132" t="s">
        <v>320</v>
      </c>
      <c r="D55" s="121">
        <v>0.5</v>
      </c>
    </row>
    <row r="56" spans="1:4" ht="26.25">
      <c r="A56" s="141"/>
      <c r="B56" s="152" t="s">
        <v>64</v>
      </c>
      <c r="C56" s="219" t="s">
        <v>51</v>
      </c>
      <c r="D56" s="225"/>
    </row>
    <row r="57" spans="1:4" ht="26.25">
      <c r="A57" s="142"/>
      <c r="B57" s="152" t="s">
        <v>212</v>
      </c>
      <c r="C57" s="220" t="s">
        <v>213</v>
      </c>
      <c r="D57" s="224"/>
    </row>
    <row r="58" spans="1:4" ht="26.25">
      <c r="A58" s="129"/>
      <c r="B58" s="98" t="s">
        <v>214</v>
      </c>
      <c r="C58" s="222" t="s">
        <v>215</v>
      </c>
      <c r="D58" s="223" t="s">
        <v>8</v>
      </c>
    </row>
    <row r="59" spans="1:4" ht="39">
      <c r="A59" s="135">
        <f>A55+1</f>
        <v>24</v>
      </c>
      <c r="B59" s="98"/>
      <c r="C59" s="140" t="s">
        <v>216</v>
      </c>
      <c r="D59" s="121">
        <v>53.76</v>
      </c>
    </row>
    <row r="60" spans="1:4" ht="39">
      <c r="A60" s="129"/>
      <c r="B60" s="98" t="s">
        <v>85</v>
      </c>
      <c r="C60" s="222" t="s">
        <v>233</v>
      </c>
      <c r="D60" s="223" t="s">
        <v>8</v>
      </c>
    </row>
    <row r="61" spans="1:4" ht="52.5">
      <c r="A61" s="135">
        <f>A59+1</f>
        <v>25</v>
      </c>
      <c r="B61" s="98"/>
      <c r="C61" s="140" t="s">
        <v>234</v>
      </c>
      <c r="D61" s="121">
        <v>110.55</v>
      </c>
    </row>
    <row r="62" spans="1:4" ht="26.25">
      <c r="A62" s="142"/>
      <c r="B62" s="152" t="s">
        <v>83</v>
      </c>
      <c r="C62" s="220" t="s">
        <v>84</v>
      </c>
      <c r="D62" s="224"/>
    </row>
    <row r="63" spans="1:4" ht="26.25">
      <c r="A63" s="129"/>
      <c r="B63" s="98" t="s">
        <v>86</v>
      </c>
      <c r="C63" s="132" t="s">
        <v>209</v>
      </c>
      <c r="D63" s="223" t="s">
        <v>8</v>
      </c>
    </row>
    <row r="64" spans="1:4" ht="52.5">
      <c r="A64" s="135">
        <f>A61+1</f>
        <v>26</v>
      </c>
      <c r="B64" s="98"/>
      <c r="C64" s="140" t="s">
        <v>210</v>
      </c>
      <c r="D64" s="121">
        <v>1098.3</v>
      </c>
    </row>
    <row r="65" spans="1:4" ht="26.25">
      <c r="A65" s="141"/>
      <c r="B65" s="152" t="s">
        <v>46</v>
      </c>
      <c r="C65" s="219" t="s">
        <v>47</v>
      </c>
      <c r="D65" s="225"/>
    </row>
    <row r="66" spans="1:4" ht="26.25">
      <c r="A66" s="142"/>
      <c r="B66" s="152" t="s">
        <v>160</v>
      </c>
      <c r="C66" s="220" t="s">
        <v>161</v>
      </c>
      <c r="D66" s="224"/>
    </row>
    <row r="67" spans="1:4" ht="26.25">
      <c r="A67" s="129"/>
      <c r="B67" s="98" t="s">
        <v>162</v>
      </c>
      <c r="C67" s="132" t="s">
        <v>163</v>
      </c>
      <c r="D67" s="223" t="s">
        <v>8</v>
      </c>
    </row>
    <row r="68" spans="1:4" ht="39">
      <c r="A68" s="135">
        <f>A64+1</f>
        <v>27</v>
      </c>
      <c r="B68" s="98"/>
      <c r="C68" s="140" t="s">
        <v>207</v>
      </c>
      <c r="D68" s="121">
        <v>192.94</v>
      </c>
    </row>
    <row r="69" spans="1:4" ht="26.25">
      <c r="A69" s="142"/>
      <c r="B69" s="152" t="s">
        <v>53</v>
      </c>
      <c r="C69" s="220" t="s">
        <v>87</v>
      </c>
      <c r="D69" s="224"/>
    </row>
    <row r="70" spans="1:4" ht="26.25">
      <c r="A70" s="129"/>
      <c r="B70" s="98" t="s">
        <v>54</v>
      </c>
      <c r="C70" s="132" t="s">
        <v>55</v>
      </c>
      <c r="D70" s="223" t="s">
        <v>8</v>
      </c>
    </row>
    <row r="71" spans="1:4" ht="39">
      <c r="A71" s="135">
        <f>A68+1</f>
        <v>28</v>
      </c>
      <c r="B71" s="98"/>
      <c r="C71" s="140" t="s">
        <v>164</v>
      </c>
      <c r="D71" s="121">
        <v>169.98</v>
      </c>
    </row>
    <row r="72" spans="1:4" ht="26.25">
      <c r="A72" s="142"/>
      <c r="B72" s="152" t="s">
        <v>88</v>
      </c>
      <c r="C72" s="220" t="s">
        <v>89</v>
      </c>
      <c r="D72" s="224"/>
    </row>
    <row r="73" spans="1:4" ht="39">
      <c r="A73" s="129"/>
      <c r="B73" s="98" t="s">
        <v>90</v>
      </c>
      <c r="C73" s="132" t="s">
        <v>91</v>
      </c>
      <c r="D73" s="223" t="s">
        <v>8</v>
      </c>
    </row>
    <row r="74" spans="1:4" ht="52.5">
      <c r="A74" s="135">
        <f>A71+1</f>
        <v>29</v>
      </c>
      <c r="B74" s="98"/>
      <c r="C74" s="140" t="s">
        <v>206</v>
      </c>
      <c r="D74" s="121">
        <v>103.8</v>
      </c>
    </row>
    <row r="75" spans="1:4" ht="26.25">
      <c r="A75" s="141"/>
      <c r="B75" s="152" t="s">
        <v>45</v>
      </c>
      <c r="C75" s="219" t="s">
        <v>13</v>
      </c>
      <c r="D75" s="232"/>
    </row>
    <row r="76" spans="1:4" ht="26.25">
      <c r="A76" s="142"/>
      <c r="B76" s="152" t="s">
        <v>92</v>
      </c>
      <c r="C76" s="220" t="s">
        <v>93</v>
      </c>
      <c r="D76" s="224"/>
    </row>
    <row r="77" spans="1:4" ht="26.25">
      <c r="A77" s="154"/>
      <c r="B77" s="98" t="s">
        <v>94</v>
      </c>
      <c r="C77" s="140" t="s">
        <v>223</v>
      </c>
      <c r="D77" s="221" t="s">
        <v>8</v>
      </c>
    </row>
    <row r="78" spans="1:4" ht="26.25">
      <c r="A78" s="135">
        <f>A74+1</f>
        <v>30</v>
      </c>
      <c r="B78" s="132"/>
      <c r="C78" s="132" t="s">
        <v>339</v>
      </c>
      <c r="D78" s="121">
        <v>537.56</v>
      </c>
    </row>
    <row r="79" spans="1:4" ht="26.25">
      <c r="A79" s="142"/>
      <c r="B79" s="152" t="s">
        <v>95</v>
      </c>
      <c r="C79" s="220" t="s">
        <v>96</v>
      </c>
      <c r="D79" s="224"/>
    </row>
    <row r="80" spans="1:4" ht="26.25">
      <c r="A80" s="154"/>
      <c r="B80" s="98" t="s">
        <v>97</v>
      </c>
      <c r="C80" s="140" t="s">
        <v>224</v>
      </c>
      <c r="D80" s="221" t="s">
        <v>8</v>
      </c>
    </row>
    <row r="81" spans="1:4" ht="39">
      <c r="A81" s="135">
        <f>A78+1</f>
        <v>31</v>
      </c>
      <c r="B81" s="132"/>
      <c r="C81" s="109" t="s">
        <v>326</v>
      </c>
      <c r="D81" s="121">
        <v>982.02</v>
      </c>
    </row>
    <row r="82" spans="1:4" ht="26.25">
      <c r="A82" s="142"/>
      <c r="B82" s="152" t="s">
        <v>56</v>
      </c>
      <c r="C82" s="220" t="s">
        <v>48</v>
      </c>
      <c r="D82" s="224"/>
    </row>
    <row r="83" spans="1:4" ht="26.25">
      <c r="A83" s="154"/>
      <c r="B83" s="98" t="s">
        <v>57</v>
      </c>
      <c r="C83" s="140" t="s">
        <v>48</v>
      </c>
      <c r="D83" s="221" t="s">
        <v>8</v>
      </c>
    </row>
    <row r="84" spans="1:4" ht="26.25">
      <c r="A84" s="135">
        <f>A81+1</f>
        <v>32</v>
      </c>
      <c r="B84" s="132"/>
      <c r="C84" s="132" t="s">
        <v>58</v>
      </c>
      <c r="D84" s="121">
        <v>22</v>
      </c>
    </row>
    <row r="85" spans="1:4" ht="39">
      <c r="A85" s="135">
        <f>A84+1</f>
        <v>33</v>
      </c>
      <c r="B85" s="132"/>
      <c r="C85" s="132" t="s">
        <v>341</v>
      </c>
      <c r="D85" s="121">
        <v>2</v>
      </c>
    </row>
    <row r="86" spans="1:4" ht="27">
      <c r="A86" s="141"/>
      <c r="B86" s="152" t="s">
        <v>50</v>
      </c>
      <c r="C86" s="219" t="s">
        <v>59</v>
      </c>
      <c r="D86" s="232"/>
    </row>
    <row r="87" spans="1:4" ht="26.25">
      <c r="A87" s="142"/>
      <c r="B87" s="152" t="s">
        <v>102</v>
      </c>
      <c r="C87" s="220" t="s">
        <v>103</v>
      </c>
      <c r="D87" s="224"/>
    </row>
    <row r="88" spans="1:4" ht="26.25">
      <c r="A88" s="129"/>
      <c r="B88" s="98" t="s">
        <v>104</v>
      </c>
      <c r="C88" s="132" t="s">
        <v>105</v>
      </c>
      <c r="D88" s="223" t="s">
        <v>8</v>
      </c>
    </row>
    <row r="89" spans="1:4" ht="39">
      <c r="A89" s="135">
        <f>A85+1</f>
        <v>34</v>
      </c>
      <c r="B89" s="98"/>
      <c r="C89" s="132" t="s">
        <v>106</v>
      </c>
      <c r="D89" s="121">
        <v>392.2</v>
      </c>
    </row>
    <row r="90" spans="1:4" ht="26.25">
      <c r="A90" s="142"/>
      <c r="B90" s="152" t="s">
        <v>60</v>
      </c>
      <c r="C90" s="220" t="s">
        <v>107</v>
      </c>
      <c r="D90" s="224"/>
    </row>
    <row r="91" spans="1:4" ht="52.5">
      <c r="A91" s="129"/>
      <c r="B91" s="98" t="s">
        <v>61</v>
      </c>
      <c r="C91" s="132" t="s">
        <v>62</v>
      </c>
      <c r="D91" s="223" t="s">
        <v>8</v>
      </c>
    </row>
    <row r="92" spans="1:4" ht="39">
      <c r="A92" s="135">
        <f>A89+1</f>
        <v>35</v>
      </c>
      <c r="B92" s="98"/>
      <c r="C92" s="132" t="s">
        <v>63</v>
      </c>
      <c r="D92" s="121">
        <v>366.64</v>
      </c>
    </row>
    <row r="93" spans="1:4" ht="26.25">
      <c r="A93" s="142"/>
      <c r="B93" s="152" t="s">
        <v>67</v>
      </c>
      <c r="C93" s="220" t="s">
        <v>69</v>
      </c>
      <c r="D93" s="224"/>
    </row>
    <row r="94" spans="1:4" ht="26.25">
      <c r="A94" s="129"/>
      <c r="B94" s="98" t="s">
        <v>68</v>
      </c>
      <c r="C94" s="132" t="s">
        <v>69</v>
      </c>
      <c r="D94" s="223" t="s">
        <v>8</v>
      </c>
    </row>
    <row r="95" spans="1:4" ht="39">
      <c r="A95" s="135">
        <f>A92+1</f>
        <v>36</v>
      </c>
      <c r="B95" s="98"/>
      <c r="C95" s="132" t="s">
        <v>70</v>
      </c>
      <c r="D95" s="121">
        <v>308.71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50390625" style="251" bestFit="1" customWidth="1"/>
    <col min="2" max="2" width="8.375" style="251" bestFit="1" customWidth="1"/>
    <col min="3" max="3" width="55.75390625" style="251" customWidth="1"/>
    <col min="4" max="4" width="6.50390625" style="251" bestFit="1" customWidth="1"/>
    <col min="5" max="16384" width="8.875" style="251" customWidth="1"/>
  </cols>
  <sheetData>
    <row r="1" spans="2:4" ht="15">
      <c r="B1" s="235"/>
      <c r="C1" s="235" t="s">
        <v>118</v>
      </c>
      <c r="D1" s="236"/>
    </row>
    <row r="2" spans="1:4" ht="66">
      <c r="A2" s="56" t="s">
        <v>0</v>
      </c>
      <c r="B2" s="56" t="s">
        <v>2</v>
      </c>
      <c r="C2" s="56" t="s">
        <v>3</v>
      </c>
      <c r="D2" s="254" t="s">
        <v>400</v>
      </c>
    </row>
    <row r="3" spans="1:4" ht="12.75">
      <c r="A3" s="56"/>
      <c r="B3" s="56"/>
      <c r="C3" s="56"/>
      <c r="D3" s="254"/>
    </row>
    <row r="4" spans="1:4" ht="12.75">
      <c r="A4" s="6">
        <v>1</v>
      </c>
      <c r="B4" s="6">
        <v>2</v>
      </c>
      <c r="C4" s="6">
        <v>4</v>
      </c>
      <c r="D4" s="104">
        <v>7</v>
      </c>
    </row>
    <row r="5" spans="1:4" ht="26.25">
      <c r="A5" s="30"/>
      <c r="B5" s="44" t="s">
        <v>33</v>
      </c>
      <c r="C5" s="255" t="s">
        <v>9</v>
      </c>
      <c r="D5" s="256"/>
    </row>
    <row r="6" spans="1:4" ht="26.25">
      <c r="A6" s="6"/>
      <c r="B6" s="44" t="s">
        <v>171</v>
      </c>
      <c r="C6" s="257" t="s">
        <v>226</v>
      </c>
      <c r="D6" s="258"/>
    </row>
    <row r="7" spans="1:4" ht="12.75">
      <c r="A7" s="104">
        <f>'Przedmiar M2'!A66+1</f>
        <v>1</v>
      </c>
      <c r="B7" s="6"/>
      <c r="C7" s="123" t="s">
        <v>172</v>
      </c>
      <c r="D7" s="54">
        <v>10</v>
      </c>
    </row>
    <row r="8" spans="1:4" ht="26.25">
      <c r="A8" s="6"/>
      <c r="B8" s="44" t="s">
        <v>34</v>
      </c>
      <c r="C8" s="257" t="s">
        <v>109</v>
      </c>
      <c r="D8" s="258"/>
    </row>
    <row r="9" spans="1:4" ht="26.25">
      <c r="A9" s="6">
        <f>A7+1</f>
        <v>2</v>
      </c>
      <c r="B9" s="6"/>
      <c r="C9" s="123" t="s">
        <v>173</v>
      </c>
      <c r="D9" s="54">
        <v>82.48</v>
      </c>
    </row>
    <row r="10" spans="1:4" ht="26.25">
      <c r="A10" s="30"/>
      <c r="B10" s="44" t="s">
        <v>35</v>
      </c>
      <c r="C10" s="255" t="s">
        <v>11</v>
      </c>
      <c r="D10" s="256"/>
    </row>
    <row r="11" spans="1:4" ht="26.25">
      <c r="A11" s="39"/>
      <c r="B11" s="44" t="s">
        <v>36</v>
      </c>
      <c r="C11" s="257" t="s">
        <v>110</v>
      </c>
      <c r="D11" s="258"/>
    </row>
    <row r="12" spans="1:4" ht="12.75">
      <c r="A12" s="6">
        <f>A9+1</f>
        <v>3</v>
      </c>
      <c r="B12" s="6"/>
      <c r="C12" s="123" t="s">
        <v>74</v>
      </c>
      <c r="D12" s="54">
        <v>3.85</v>
      </c>
    </row>
    <row r="13" spans="1:4" ht="26.25">
      <c r="A13" s="39"/>
      <c r="B13" s="44" t="s">
        <v>37</v>
      </c>
      <c r="C13" s="257" t="s">
        <v>111</v>
      </c>
      <c r="D13" s="258"/>
    </row>
    <row r="14" spans="1:4" ht="12.75">
      <c r="A14" s="6">
        <f>A12+1</f>
        <v>4</v>
      </c>
      <c r="B14" s="44"/>
      <c r="C14" s="123" t="s">
        <v>342</v>
      </c>
      <c r="D14" s="54">
        <v>110.38</v>
      </c>
    </row>
    <row r="15" spans="1:4" ht="26.25">
      <c r="A15" s="141"/>
      <c r="B15" s="152" t="s">
        <v>38</v>
      </c>
      <c r="C15" s="219" t="s">
        <v>21</v>
      </c>
      <c r="D15" s="259"/>
    </row>
    <row r="16" spans="1:4" ht="26.25">
      <c r="A16" s="129"/>
      <c r="B16" s="152" t="s">
        <v>26</v>
      </c>
      <c r="C16" s="220" t="s">
        <v>112</v>
      </c>
      <c r="D16" s="220"/>
    </row>
    <row r="17" spans="1:4" ht="26.25">
      <c r="A17" s="98">
        <f>A14+1</f>
        <v>5</v>
      </c>
      <c r="B17" s="152"/>
      <c r="C17" s="132" t="s">
        <v>27</v>
      </c>
      <c r="D17" s="121">
        <v>288.68</v>
      </c>
    </row>
    <row r="18" spans="1:4" ht="26.25">
      <c r="A18" s="49"/>
      <c r="B18" s="44" t="s">
        <v>29</v>
      </c>
      <c r="C18" s="255" t="s">
        <v>22</v>
      </c>
      <c r="D18" s="255"/>
    </row>
    <row r="19" spans="1:4" ht="39">
      <c r="A19" s="39"/>
      <c r="B19" s="44" t="s">
        <v>116</v>
      </c>
      <c r="C19" s="257" t="s">
        <v>117</v>
      </c>
      <c r="D19" s="257"/>
    </row>
    <row r="20" spans="1:4" ht="39">
      <c r="A20" s="6">
        <f>A17+1</f>
        <v>6</v>
      </c>
      <c r="B20" s="6"/>
      <c r="C20" s="123" t="s">
        <v>348</v>
      </c>
      <c r="D20" s="54">
        <v>250.36</v>
      </c>
    </row>
    <row r="21" spans="1:4" ht="26.25">
      <c r="A21" s="14"/>
      <c r="B21" s="44" t="s">
        <v>39</v>
      </c>
      <c r="C21" s="255" t="s">
        <v>10</v>
      </c>
      <c r="D21" s="260"/>
    </row>
    <row r="22" spans="1:4" ht="26.25">
      <c r="A22" s="39"/>
      <c r="B22" s="44" t="s">
        <v>30</v>
      </c>
      <c r="C22" s="257" t="s">
        <v>225</v>
      </c>
      <c r="D22" s="257"/>
    </row>
    <row r="23" spans="1:4" ht="26.25">
      <c r="A23" s="6">
        <f>A20+1</f>
        <v>7</v>
      </c>
      <c r="B23" s="6"/>
      <c r="C23" s="123" t="s">
        <v>31</v>
      </c>
      <c r="D23" s="54">
        <v>500.56</v>
      </c>
    </row>
    <row r="24" spans="1:4" ht="26.25">
      <c r="A24" s="39"/>
      <c r="B24" s="44" t="s">
        <v>71</v>
      </c>
      <c r="C24" s="255" t="s">
        <v>72</v>
      </c>
      <c r="D24" s="256"/>
    </row>
    <row r="25" spans="1:4" ht="26.25">
      <c r="A25" s="39"/>
      <c r="B25" s="44" t="s">
        <v>123</v>
      </c>
      <c r="C25" s="257" t="s">
        <v>124</v>
      </c>
      <c r="D25" s="258"/>
    </row>
    <row r="26" spans="1:4" ht="39">
      <c r="A26" s="6">
        <f>A23+1</f>
        <v>8</v>
      </c>
      <c r="B26" s="6"/>
      <c r="C26" s="123" t="s">
        <v>174</v>
      </c>
      <c r="D26" s="54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3" sqref="D3"/>
    </sheetView>
  </sheetViews>
  <sheetFormatPr defaultColWidth="9.00390625" defaultRowHeight="12.75"/>
  <cols>
    <col min="3" max="3" width="39.00390625" style="0" bestFit="1" customWidth="1"/>
  </cols>
  <sheetData>
    <row r="1" spans="2:4" ht="17.25">
      <c r="B1" s="263"/>
      <c r="C1" s="263" t="s">
        <v>126</v>
      </c>
      <c r="D1" s="263"/>
    </row>
    <row r="2" spans="1:4" ht="66">
      <c r="A2" s="56" t="s">
        <v>0</v>
      </c>
      <c r="B2" s="56" t="s">
        <v>2</v>
      </c>
      <c r="C2" s="56" t="s">
        <v>3</v>
      </c>
      <c r="D2" s="56" t="s">
        <v>400</v>
      </c>
    </row>
    <row r="3" spans="1:4" ht="12.75">
      <c r="A3" s="56"/>
      <c r="B3" s="56"/>
      <c r="C3" s="56"/>
      <c r="D3" s="56"/>
    </row>
    <row r="4" spans="1:4" ht="12.75">
      <c r="A4" s="6">
        <v>1</v>
      </c>
      <c r="B4" s="6">
        <v>2</v>
      </c>
      <c r="C4" s="6">
        <v>4</v>
      </c>
      <c r="D4" s="6">
        <v>7</v>
      </c>
    </row>
    <row r="5" spans="1:4" ht="26.25">
      <c r="A5" s="68"/>
      <c r="B5" s="44" t="s">
        <v>128</v>
      </c>
      <c r="C5" s="264" t="s">
        <v>129</v>
      </c>
      <c r="D5" s="265"/>
    </row>
    <row r="6" spans="1:4" ht="26.25">
      <c r="A6" s="14"/>
      <c r="B6" s="44" t="s">
        <v>130</v>
      </c>
      <c r="C6" s="257" t="s">
        <v>184</v>
      </c>
      <c r="D6" s="257"/>
    </row>
    <row r="7" spans="1:4" ht="26.25">
      <c r="A7" s="45"/>
      <c r="B7" s="56" t="s">
        <v>236</v>
      </c>
      <c r="C7" s="257" t="s">
        <v>131</v>
      </c>
      <c r="D7" s="266"/>
    </row>
    <row r="8" spans="1:4" ht="39">
      <c r="A8" s="217">
        <f>'Przedmiar D2'!A26+1</f>
        <v>1</v>
      </c>
      <c r="B8" s="56"/>
      <c r="C8" s="126" t="s">
        <v>132</v>
      </c>
      <c r="D8" s="116">
        <v>0.045</v>
      </c>
    </row>
    <row r="9" spans="1:4" ht="39">
      <c r="A9" s="218"/>
      <c r="B9" s="56" t="s">
        <v>237</v>
      </c>
      <c r="C9" s="257" t="s">
        <v>134</v>
      </c>
      <c r="D9" s="266"/>
    </row>
    <row r="10" spans="1:4" ht="39">
      <c r="A10" s="217">
        <f>A8+1</f>
        <v>2</v>
      </c>
      <c r="B10" s="56"/>
      <c r="C10" s="126" t="s">
        <v>135</v>
      </c>
      <c r="D10" s="116">
        <v>0.045</v>
      </c>
    </row>
    <row r="11" spans="1:4" ht="26.25">
      <c r="A11" s="161"/>
      <c r="B11" s="56"/>
      <c r="C11" s="257" t="s">
        <v>140</v>
      </c>
      <c r="D11" s="266"/>
    </row>
    <row r="12" spans="1:4" ht="12.75">
      <c r="A12" s="217">
        <f>A10+1</f>
        <v>3</v>
      </c>
      <c r="B12" s="56"/>
      <c r="C12" s="126" t="s">
        <v>141</v>
      </c>
      <c r="D12" s="54">
        <v>4</v>
      </c>
    </row>
    <row r="13" spans="1:4" ht="12.75">
      <c r="A13" s="161"/>
      <c r="B13" s="56"/>
      <c r="C13" s="257" t="s">
        <v>142</v>
      </c>
      <c r="D13" s="266"/>
    </row>
    <row r="14" spans="1:4" ht="26.25">
      <c r="A14" s="162"/>
      <c r="B14" s="44" t="s">
        <v>239</v>
      </c>
      <c r="C14" s="257" t="s">
        <v>98</v>
      </c>
      <c r="D14" s="49"/>
    </row>
    <row r="15" spans="1:4" ht="26.25">
      <c r="A15" s="163"/>
      <c r="B15" s="6" t="s">
        <v>240</v>
      </c>
      <c r="C15" s="126" t="s">
        <v>98</v>
      </c>
      <c r="D15" s="267" t="s">
        <v>8</v>
      </c>
    </row>
    <row r="16" spans="1:4" ht="39">
      <c r="A16" s="217">
        <f>A12+1</f>
        <v>4</v>
      </c>
      <c r="B16" s="123"/>
      <c r="C16" s="123" t="s">
        <v>99</v>
      </c>
      <c r="D16" s="54">
        <v>158.4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6" sqref="F6"/>
    </sheetView>
  </sheetViews>
  <sheetFormatPr defaultColWidth="9.00390625" defaultRowHeight="12.75"/>
  <cols>
    <col min="3" max="3" width="39.00390625" style="0" bestFit="1" customWidth="1"/>
  </cols>
  <sheetData>
    <row r="1" spans="2:4" ht="15">
      <c r="B1" s="252"/>
      <c r="C1" s="252" t="s">
        <v>289</v>
      </c>
      <c r="D1" s="253"/>
    </row>
    <row r="2" spans="1:4" ht="12.75" customHeight="1">
      <c r="A2" s="56" t="s">
        <v>0</v>
      </c>
      <c r="B2" s="56"/>
      <c r="C2" s="56" t="s">
        <v>3</v>
      </c>
      <c r="D2" s="254" t="s">
        <v>150</v>
      </c>
    </row>
    <row r="3" spans="1:4" ht="12.75">
      <c r="A3" s="56"/>
      <c r="B3" s="56"/>
      <c r="C3" s="56"/>
      <c r="D3" s="254"/>
    </row>
    <row r="4" spans="1:4" ht="12.75">
      <c r="A4" s="6">
        <v>1</v>
      </c>
      <c r="B4" s="6">
        <v>3</v>
      </c>
      <c r="C4" s="6">
        <v>4</v>
      </c>
      <c r="D4" s="104">
        <v>7</v>
      </c>
    </row>
    <row r="5" spans="1:4" ht="15">
      <c r="A5" s="30"/>
      <c r="B5" s="30"/>
      <c r="C5" s="257" t="s">
        <v>242</v>
      </c>
      <c r="D5" s="258"/>
    </row>
    <row r="6" spans="1:4" ht="26.25">
      <c r="A6" s="104">
        <f>'Przedmiar K2'!A16+1</f>
        <v>1</v>
      </c>
      <c r="B6" s="36"/>
      <c r="C6" s="126" t="s">
        <v>243</v>
      </c>
      <c r="D6" s="54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69.00390625" style="1" customWidth="1"/>
    <col min="2" max="2" width="16.125" style="1" customWidth="1"/>
    <col min="4" max="4" width="9.50390625" style="0" bestFit="1" customWidth="1"/>
  </cols>
  <sheetData>
    <row r="1" spans="1:2" s="2" customFormat="1" ht="17.25">
      <c r="A1" s="268" t="s">
        <v>261</v>
      </c>
      <c r="B1" s="268"/>
    </row>
    <row r="2" spans="1:2" s="2" customFormat="1" ht="51.75" customHeight="1">
      <c r="A2" s="269" t="s">
        <v>402</v>
      </c>
      <c r="B2" s="270"/>
    </row>
    <row r="3" spans="1:2" s="2" customFormat="1" ht="15">
      <c r="A3" s="62"/>
      <c r="B3" s="62"/>
    </row>
    <row r="4" spans="1:2" s="8" customFormat="1" ht="19.5" customHeight="1">
      <c r="A4" s="124" t="s">
        <v>14</v>
      </c>
      <c r="B4" s="124" t="s">
        <v>260</v>
      </c>
    </row>
    <row r="5" spans="1:2" s="8" customFormat="1" ht="19.5" customHeight="1">
      <c r="A5" s="57" t="s">
        <v>15</v>
      </c>
      <c r="B5" s="125">
        <v>3</v>
      </c>
    </row>
    <row r="6" spans="1:2" s="8" customFormat="1" ht="19.5" customHeight="1">
      <c r="A6" s="57" t="s">
        <v>16</v>
      </c>
      <c r="B6" s="125" t="s">
        <v>398</v>
      </c>
    </row>
    <row r="7" spans="1:2" s="8" customFormat="1" ht="19.5" customHeight="1">
      <c r="A7" s="57" t="s">
        <v>122</v>
      </c>
      <c r="B7" s="125" t="s">
        <v>314</v>
      </c>
    </row>
    <row r="8" spans="1:2" s="8" customFormat="1" ht="19.5" customHeight="1">
      <c r="A8" s="57" t="s">
        <v>287</v>
      </c>
      <c r="B8" s="125" t="s">
        <v>399</v>
      </c>
    </row>
  </sheetData>
  <sheetProtection/>
  <mergeCells count="2">
    <mergeCell ref="A1:B1"/>
    <mergeCell ref="A2:B2"/>
  </mergeCells>
  <printOptions/>
  <pageMargins left="1.03" right="0.44" top="1" bottom="1" header="0.5" footer="0.5"/>
  <pageSetup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5.875" style="0" customWidth="1"/>
    <col min="2" max="2" width="5.00390625" style="146" customWidth="1"/>
    <col min="3" max="3" width="10.875" style="146" customWidth="1"/>
    <col min="4" max="4" width="5.375" style="146" customWidth="1"/>
    <col min="5" max="5" width="36.875" style="146" customWidth="1"/>
    <col min="6" max="6" width="8.625" style="146" customWidth="1"/>
    <col min="7" max="7" width="22.00390625" style="146" customWidth="1"/>
    <col min="8" max="8" width="11.125" style="146" customWidth="1"/>
    <col min="9" max="9" width="9.50390625" style="0" hidden="1" customWidth="1"/>
    <col min="10" max="14" width="0" style="0" hidden="1" customWidth="1"/>
  </cols>
  <sheetData>
    <row r="1" spans="2:8" s="2" customFormat="1" ht="22.5" customHeight="1">
      <c r="B1" s="282" t="s">
        <v>146</v>
      </c>
      <c r="C1" s="282"/>
      <c r="D1" s="282"/>
      <c r="E1" s="282"/>
      <c r="F1" s="282"/>
      <c r="G1" s="282"/>
      <c r="H1" s="283"/>
    </row>
    <row r="2" spans="2:8" s="2" customFormat="1" ht="34.5" customHeight="1">
      <c r="B2" s="286" t="s">
        <v>388</v>
      </c>
      <c r="C2" s="286"/>
      <c r="D2" s="286"/>
      <c r="E2" s="286"/>
      <c r="F2" s="286"/>
      <c r="G2" s="286"/>
      <c r="H2" s="287"/>
    </row>
    <row r="3" spans="2:8" s="2" customFormat="1" ht="17.25" customHeight="1">
      <c r="B3" s="284" t="s">
        <v>12</v>
      </c>
      <c r="C3" s="284"/>
      <c r="D3" s="284"/>
      <c r="E3" s="284"/>
      <c r="F3" s="284"/>
      <c r="G3" s="284"/>
      <c r="H3" s="285"/>
    </row>
    <row r="4" spans="2:9" s="2" customFormat="1" ht="12.75" customHeight="1">
      <c r="B4" s="281" t="s">
        <v>0</v>
      </c>
      <c r="C4" s="281" t="s">
        <v>2</v>
      </c>
      <c r="D4" s="281" t="s">
        <v>17</v>
      </c>
      <c r="E4" s="281" t="s">
        <v>3</v>
      </c>
      <c r="F4" s="281" t="s">
        <v>1</v>
      </c>
      <c r="G4" s="281"/>
      <c r="H4" s="281" t="s">
        <v>150</v>
      </c>
      <c r="I4" s="3"/>
    </row>
    <row r="5" spans="2:8" s="2" customFormat="1" ht="27" customHeight="1">
      <c r="B5" s="281"/>
      <c r="C5" s="281"/>
      <c r="D5" s="281"/>
      <c r="E5" s="281"/>
      <c r="F5" s="134" t="s">
        <v>149</v>
      </c>
      <c r="G5" s="134" t="s">
        <v>127</v>
      </c>
      <c r="H5" s="281"/>
    </row>
    <row r="6" spans="2:8" s="2" customFormat="1" ht="12.75"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</row>
    <row r="7" spans="2:8" s="61" customFormat="1" ht="18" customHeight="1">
      <c r="B7" s="141"/>
      <c r="C7" s="152" t="s">
        <v>40</v>
      </c>
      <c r="D7" s="153"/>
      <c r="E7" s="273" t="s">
        <v>20</v>
      </c>
      <c r="F7" s="273"/>
      <c r="G7" s="273"/>
      <c r="H7" s="274"/>
    </row>
    <row r="8" spans="2:8" s="61" customFormat="1" ht="18" customHeight="1">
      <c r="B8" s="141"/>
      <c r="C8" s="152" t="s">
        <v>41</v>
      </c>
      <c r="D8" s="153"/>
      <c r="E8" s="277" t="s">
        <v>79</v>
      </c>
      <c r="F8" s="277"/>
      <c r="G8" s="277"/>
      <c r="H8" s="280"/>
    </row>
    <row r="9" spans="2:9" s="35" customFormat="1" ht="18" customHeight="1">
      <c r="B9" s="129"/>
      <c r="C9" s="98" t="s">
        <v>49</v>
      </c>
      <c r="D9" s="98">
        <v>11</v>
      </c>
      <c r="E9" s="279" t="s">
        <v>52</v>
      </c>
      <c r="F9" s="280"/>
      <c r="G9" s="280"/>
      <c r="H9" s="280"/>
      <c r="I9" s="47"/>
    </row>
    <row r="10" spans="2:15" s="35" customFormat="1" ht="39">
      <c r="B10" s="135">
        <f>1</f>
        <v>1</v>
      </c>
      <c r="C10" s="98"/>
      <c r="D10" s="136"/>
      <c r="E10" s="132" t="s">
        <v>147</v>
      </c>
      <c r="F10" s="120" t="s">
        <v>148</v>
      </c>
      <c r="G10" s="151" t="s">
        <v>151</v>
      </c>
      <c r="H10" s="121">
        <v>1</v>
      </c>
      <c r="O10" s="47"/>
    </row>
    <row r="11" spans="2:8" s="61" customFormat="1" ht="18" customHeight="1">
      <c r="B11" s="137"/>
      <c r="C11" s="152" t="s">
        <v>42</v>
      </c>
      <c r="D11" s="153"/>
      <c r="E11" s="273" t="s">
        <v>7</v>
      </c>
      <c r="F11" s="273"/>
      <c r="G11" s="273"/>
      <c r="H11" s="273"/>
    </row>
    <row r="12" spans="2:8" s="61" customFormat="1" ht="18" customHeight="1">
      <c r="B12" s="137"/>
      <c r="C12" s="152" t="s">
        <v>200</v>
      </c>
      <c r="D12" s="153"/>
      <c r="E12" s="277" t="s">
        <v>201</v>
      </c>
      <c r="F12" s="277"/>
      <c r="G12" s="277"/>
      <c r="H12" s="277"/>
    </row>
    <row r="13" spans="2:9" s="35" customFormat="1" ht="15" customHeight="1">
      <c r="B13" s="129"/>
      <c r="C13" s="98" t="s">
        <v>202</v>
      </c>
      <c r="D13" s="98"/>
      <c r="E13" s="279" t="s">
        <v>205</v>
      </c>
      <c r="F13" s="280" t="s">
        <v>8</v>
      </c>
      <c r="G13" s="280" t="s">
        <v>8</v>
      </c>
      <c r="H13" s="280" t="s">
        <v>8</v>
      </c>
      <c r="I13" s="47"/>
    </row>
    <row r="14" spans="2:15" s="35" customFormat="1" ht="24" customHeight="1">
      <c r="B14" s="135">
        <f>B10+1</f>
        <v>2</v>
      </c>
      <c r="C14" s="132"/>
      <c r="D14" s="99">
        <v>11</v>
      </c>
      <c r="E14" s="140" t="s">
        <v>334</v>
      </c>
      <c r="F14" s="120" t="s">
        <v>23</v>
      </c>
      <c r="G14" s="151" t="s">
        <v>219</v>
      </c>
      <c r="H14" s="121">
        <v>1577.11</v>
      </c>
      <c r="J14" s="47">
        <f>453.22+62.56+424.55+47.84+342.52+246.42</f>
        <v>1577.1100000000001</v>
      </c>
      <c r="L14" s="47"/>
      <c r="M14" s="128"/>
      <c r="O14" s="211"/>
    </row>
    <row r="15" spans="2:9" s="35" customFormat="1" ht="15" customHeight="1">
      <c r="B15" s="129"/>
      <c r="C15" s="98" t="s">
        <v>204</v>
      </c>
      <c r="D15" s="98"/>
      <c r="E15" s="279" t="s">
        <v>203</v>
      </c>
      <c r="F15" s="280" t="s">
        <v>8</v>
      </c>
      <c r="G15" s="280" t="s">
        <v>8</v>
      </c>
      <c r="H15" s="280" t="s">
        <v>8</v>
      </c>
      <c r="I15" s="47"/>
    </row>
    <row r="16" spans="2:17" s="35" customFormat="1" ht="39" customHeight="1">
      <c r="B16" s="135">
        <f>B14+1</f>
        <v>3</v>
      </c>
      <c r="C16" s="132"/>
      <c r="D16" s="99">
        <v>11</v>
      </c>
      <c r="E16" s="132" t="s">
        <v>335</v>
      </c>
      <c r="F16" s="120" t="s">
        <v>23</v>
      </c>
      <c r="G16" s="151" t="s">
        <v>361</v>
      </c>
      <c r="H16" s="121">
        <v>1168.68</v>
      </c>
      <c r="J16" s="47">
        <f>1271.38+424.55+1049.86+-J14</f>
        <v>1168.6799999999998</v>
      </c>
      <c r="L16" s="193">
        <f>525.36</f>
        <v>525.36</v>
      </c>
      <c r="M16" s="47">
        <f>J16+L16</f>
        <v>1694.04</v>
      </c>
      <c r="O16" s="211"/>
      <c r="Q16" s="211"/>
    </row>
    <row r="17" spans="2:9" s="83" customFormat="1" ht="15" customHeight="1">
      <c r="B17" s="129"/>
      <c r="C17" s="98" t="s">
        <v>227</v>
      </c>
      <c r="D17" s="98"/>
      <c r="E17" s="279" t="s">
        <v>228</v>
      </c>
      <c r="F17" s="280" t="s">
        <v>8</v>
      </c>
      <c r="G17" s="280" t="s">
        <v>8</v>
      </c>
      <c r="H17" s="280" t="s">
        <v>8</v>
      </c>
      <c r="I17" s="84"/>
    </row>
    <row r="18" spans="2:15" s="83" customFormat="1" ht="66" customHeight="1">
      <c r="B18" s="135">
        <f>B16+1</f>
        <v>4</v>
      </c>
      <c r="C18" s="132"/>
      <c r="D18" s="99">
        <v>20</v>
      </c>
      <c r="E18" s="132" t="s">
        <v>336</v>
      </c>
      <c r="F18" s="120" t="s">
        <v>24</v>
      </c>
      <c r="G18" s="151" t="s">
        <v>262</v>
      </c>
      <c r="H18" s="121">
        <v>231</v>
      </c>
      <c r="J18" s="84">
        <f>342+231</f>
        <v>573</v>
      </c>
      <c r="L18" s="84"/>
      <c r="O18" s="184"/>
    </row>
    <row r="19" spans="2:15" s="90" customFormat="1" ht="28.5" customHeight="1">
      <c r="B19" s="135">
        <f>B18+1</f>
        <v>5</v>
      </c>
      <c r="C19" s="134"/>
      <c r="D19" s="98">
        <v>20</v>
      </c>
      <c r="E19" s="140" t="s">
        <v>337</v>
      </c>
      <c r="F19" s="120" t="s">
        <v>245</v>
      </c>
      <c r="G19" s="151" t="s">
        <v>284</v>
      </c>
      <c r="H19" s="121">
        <v>174.24</v>
      </c>
      <c r="I19" s="127"/>
      <c r="J19" s="90">
        <f>(4.54+0.3)*4*9</f>
        <v>174.24</v>
      </c>
      <c r="O19" s="184"/>
    </row>
    <row r="20" spans="2:9" s="83" customFormat="1" ht="15" customHeight="1">
      <c r="B20" s="135"/>
      <c r="C20" s="98" t="s">
        <v>204</v>
      </c>
      <c r="D20" s="98"/>
      <c r="E20" s="279" t="s">
        <v>323</v>
      </c>
      <c r="F20" s="280" t="s">
        <v>8</v>
      </c>
      <c r="G20" s="280" t="s">
        <v>8</v>
      </c>
      <c r="H20" s="280" t="s">
        <v>8</v>
      </c>
      <c r="I20" s="84"/>
    </row>
    <row r="21" spans="2:15" s="83" customFormat="1" ht="15" customHeight="1">
      <c r="B21" s="135">
        <v>6</v>
      </c>
      <c r="C21" s="132"/>
      <c r="D21" s="99">
        <v>25</v>
      </c>
      <c r="E21" s="132" t="s">
        <v>324</v>
      </c>
      <c r="F21" s="120" t="s">
        <v>325</v>
      </c>
      <c r="G21" s="151" t="s">
        <v>151</v>
      </c>
      <c r="H21" s="121">
        <v>1</v>
      </c>
      <c r="J21" s="84"/>
      <c r="L21" s="84"/>
      <c r="O21" s="184"/>
    </row>
    <row r="22" spans="2:9" s="83" customFormat="1" ht="15" customHeight="1">
      <c r="B22" s="135"/>
      <c r="C22" s="98" t="s">
        <v>229</v>
      </c>
      <c r="D22" s="98"/>
      <c r="E22" s="279" t="s">
        <v>230</v>
      </c>
      <c r="F22" s="280" t="s">
        <v>8</v>
      </c>
      <c r="G22" s="280" t="s">
        <v>8</v>
      </c>
      <c r="H22" s="280" t="s">
        <v>8</v>
      </c>
      <c r="I22" s="84"/>
    </row>
    <row r="23" spans="2:15" s="83" customFormat="1" ht="39" customHeight="1">
      <c r="B23" s="135">
        <f>B21+1</f>
        <v>7</v>
      </c>
      <c r="C23" s="132"/>
      <c r="D23" s="99">
        <v>11</v>
      </c>
      <c r="E23" s="132" t="s">
        <v>263</v>
      </c>
      <c r="F23" s="120" t="s">
        <v>24</v>
      </c>
      <c r="G23" s="151" t="s">
        <v>189</v>
      </c>
      <c r="H23" s="121">
        <v>342</v>
      </c>
      <c r="J23" s="84">
        <v>342</v>
      </c>
      <c r="L23" s="84"/>
      <c r="O23" s="184"/>
    </row>
    <row r="24" spans="2:8" s="97" customFormat="1" ht="18" customHeight="1">
      <c r="B24" s="135"/>
      <c r="C24" s="152" t="s">
        <v>43</v>
      </c>
      <c r="D24" s="153"/>
      <c r="E24" s="273" t="s">
        <v>4</v>
      </c>
      <c r="F24" s="273"/>
      <c r="G24" s="273"/>
      <c r="H24" s="273"/>
    </row>
    <row r="25" spans="2:8" s="97" customFormat="1" ht="18" customHeight="1">
      <c r="B25" s="135"/>
      <c r="C25" s="152" t="s">
        <v>44</v>
      </c>
      <c r="D25" s="153"/>
      <c r="E25" s="277" t="s">
        <v>80</v>
      </c>
      <c r="F25" s="277"/>
      <c r="G25" s="277"/>
      <c r="H25" s="277"/>
    </row>
    <row r="26" spans="2:8" s="3" customFormat="1" ht="14.25" customHeight="1">
      <c r="B26" s="135"/>
      <c r="C26" s="98" t="s">
        <v>81</v>
      </c>
      <c r="D26" s="98"/>
      <c r="E26" s="275" t="s">
        <v>82</v>
      </c>
      <c r="F26" s="275"/>
      <c r="G26" s="275"/>
      <c r="H26" s="275"/>
    </row>
    <row r="27" spans="2:8" s="3" customFormat="1" ht="14.25" customHeight="1">
      <c r="B27" s="135"/>
      <c r="C27" s="98"/>
      <c r="D27" s="98"/>
      <c r="E27" s="275" t="s">
        <v>152</v>
      </c>
      <c r="F27" s="275"/>
      <c r="G27" s="275"/>
      <c r="H27" s="275"/>
    </row>
    <row r="28" spans="2:15" s="3" customFormat="1" ht="41.25" customHeight="1">
      <c r="B28" s="135">
        <f>B23+1</f>
        <v>8</v>
      </c>
      <c r="C28" s="132"/>
      <c r="D28" s="99">
        <v>17</v>
      </c>
      <c r="E28" s="132" t="s">
        <v>221</v>
      </c>
      <c r="F28" s="120" t="s">
        <v>23</v>
      </c>
      <c r="G28" s="121" t="s">
        <v>190</v>
      </c>
      <c r="H28" s="121">
        <v>93.67</v>
      </c>
      <c r="J28" s="3">
        <v>93.67</v>
      </c>
      <c r="O28" s="184"/>
    </row>
    <row r="29" spans="2:15" s="3" customFormat="1" ht="26.25">
      <c r="B29" s="135">
        <f>B28+1</f>
        <v>9</v>
      </c>
      <c r="C29" s="132"/>
      <c r="D29" s="98">
        <v>97</v>
      </c>
      <c r="E29" s="132" t="s">
        <v>338</v>
      </c>
      <c r="F29" s="120" t="s">
        <v>5</v>
      </c>
      <c r="G29" s="121" t="s">
        <v>191</v>
      </c>
      <c r="H29" s="121">
        <v>11426</v>
      </c>
      <c r="J29" s="105">
        <v>11426</v>
      </c>
      <c r="O29" s="184"/>
    </row>
    <row r="30" spans="2:8" s="3" customFormat="1" ht="14.25" customHeight="1">
      <c r="B30" s="135"/>
      <c r="C30" s="98"/>
      <c r="D30" s="98"/>
      <c r="E30" s="275" t="s">
        <v>154</v>
      </c>
      <c r="F30" s="275"/>
      <c r="G30" s="275"/>
      <c r="H30" s="275"/>
    </row>
    <row r="31" spans="2:15" s="3" customFormat="1" ht="27" customHeight="1">
      <c r="B31" s="135">
        <f>B29+1</f>
        <v>10</v>
      </c>
      <c r="C31" s="132"/>
      <c r="D31" s="99">
        <v>17</v>
      </c>
      <c r="E31" s="132" t="s">
        <v>192</v>
      </c>
      <c r="F31" s="120" t="s">
        <v>23</v>
      </c>
      <c r="G31" s="121" t="s">
        <v>220</v>
      </c>
      <c r="H31" s="121">
        <v>274.96</v>
      </c>
      <c r="O31" s="184"/>
    </row>
    <row r="32" spans="2:15" s="3" customFormat="1" ht="26.25">
      <c r="B32" s="135">
        <f>B31+1</f>
        <v>11</v>
      </c>
      <c r="C32" s="132"/>
      <c r="D32" s="98">
        <v>97</v>
      </c>
      <c r="E32" s="132" t="s">
        <v>155</v>
      </c>
      <c r="F32" s="120" t="s">
        <v>5</v>
      </c>
      <c r="G32" s="121" t="s">
        <v>193</v>
      </c>
      <c r="H32" s="121">
        <v>28090</v>
      </c>
      <c r="J32" s="105">
        <f>14925+13165</f>
        <v>28090</v>
      </c>
      <c r="O32" s="184"/>
    </row>
    <row r="33" spans="2:8" s="97" customFormat="1" ht="18" customHeight="1">
      <c r="B33" s="141"/>
      <c r="C33" s="152" t="s">
        <v>195</v>
      </c>
      <c r="D33" s="153"/>
      <c r="E33" s="277" t="s">
        <v>196</v>
      </c>
      <c r="F33" s="277"/>
      <c r="G33" s="277"/>
      <c r="H33" s="277"/>
    </row>
    <row r="34" spans="2:8" s="3" customFormat="1" ht="27.75" customHeight="1">
      <c r="B34" s="129"/>
      <c r="C34" s="98" t="s">
        <v>197</v>
      </c>
      <c r="D34" s="98"/>
      <c r="E34" s="275" t="s">
        <v>198</v>
      </c>
      <c r="F34" s="275"/>
      <c r="G34" s="275"/>
      <c r="H34" s="275"/>
    </row>
    <row r="35" spans="2:17" s="3" customFormat="1" ht="51.75" customHeight="1">
      <c r="B35" s="135">
        <f>B32+1</f>
        <v>12</v>
      </c>
      <c r="C35" s="132"/>
      <c r="D35" s="99">
        <v>12</v>
      </c>
      <c r="E35" s="132" t="s">
        <v>199</v>
      </c>
      <c r="F35" s="120" t="s">
        <v>23</v>
      </c>
      <c r="G35" s="121" t="s">
        <v>392</v>
      </c>
      <c r="H35" s="121">
        <v>7.85</v>
      </c>
      <c r="J35" s="105">
        <f>(106+0)*3.7*0.02</f>
        <v>7.844000000000001</v>
      </c>
      <c r="O35" s="145"/>
      <c r="Q35" s="145"/>
    </row>
    <row r="36" spans="2:8" s="97" customFormat="1" ht="18" customHeight="1">
      <c r="B36" s="141"/>
      <c r="C36" s="152" t="s">
        <v>156</v>
      </c>
      <c r="D36" s="153"/>
      <c r="E36" s="273" t="s">
        <v>157</v>
      </c>
      <c r="F36" s="273"/>
      <c r="G36" s="273"/>
      <c r="H36" s="273"/>
    </row>
    <row r="37" spans="2:8" s="97" customFormat="1" ht="18" customHeight="1">
      <c r="B37" s="141"/>
      <c r="C37" s="152" t="s">
        <v>158</v>
      </c>
      <c r="D37" s="153"/>
      <c r="E37" s="277" t="s">
        <v>217</v>
      </c>
      <c r="F37" s="277"/>
      <c r="G37" s="277"/>
      <c r="H37" s="277"/>
    </row>
    <row r="38" spans="2:8" s="3" customFormat="1" ht="14.25" customHeight="1">
      <c r="B38" s="129"/>
      <c r="C38" s="98" t="s">
        <v>159</v>
      </c>
      <c r="D38" s="98"/>
      <c r="E38" s="275" t="s">
        <v>208</v>
      </c>
      <c r="F38" s="275"/>
      <c r="G38" s="275"/>
      <c r="H38" s="275"/>
    </row>
    <row r="39" spans="2:17" s="83" customFormat="1" ht="52.5" customHeight="1">
      <c r="B39" s="135">
        <f>B35+1</f>
        <v>13</v>
      </c>
      <c r="C39" s="132"/>
      <c r="D39" s="99">
        <v>51</v>
      </c>
      <c r="E39" s="132" t="s">
        <v>222</v>
      </c>
      <c r="F39" s="120" t="s">
        <v>6</v>
      </c>
      <c r="G39" s="121" t="s">
        <v>351</v>
      </c>
      <c r="H39" s="121">
        <v>41.78</v>
      </c>
      <c r="J39" s="83">
        <f>9.65*2+11.24*2</f>
        <v>41.78</v>
      </c>
      <c r="O39" s="184"/>
      <c r="Q39" s="184"/>
    </row>
    <row r="40" spans="2:8" s="97" customFormat="1" ht="18" customHeight="1">
      <c r="B40" s="141"/>
      <c r="C40" s="152" t="s">
        <v>290</v>
      </c>
      <c r="D40" s="153"/>
      <c r="E40" s="273" t="s">
        <v>291</v>
      </c>
      <c r="F40" s="273"/>
      <c r="G40" s="273"/>
      <c r="H40" s="273"/>
    </row>
    <row r="41" spans="2:8" s="97" customFormat="1" ht="18" customHeight="1">
      <c r="B41" s="141"/>
      <c r="C41" s="152" t="s">
        <v>292</v>
      </c>
      <c r="D41" s="153"/>
      <c r="E41" s="277" t="s">
        <v>293</v>
      </c>
      <c r="F41" s="277"/>
      <c r="G41" s="277"/>
      <c r="H41" s="277"/>
    </row>
    <row r="42" spans="2:8" s="3" customFormat="1" ht="14.25" customHeight="1">
      <c r="B42" s="129"/>
      <c r="C42" s="98" t="s">
        <v>294</v>
      </c>
      <c r="D42" s="98"/>
      <c r="E42" s="275" t="s">
        <v>295</v>
      </c>
      <c r="F42" s="275"/>
      <c r="G42" s="275"/>
      <c r="H42" s="275"/>
    </row>
    <row r="43" spans="2:15" s="83" customFormat="1" ht="65.25" customHeight="1">
      <c r="B43" s="135">
        <f>B39+1</f>
        <v>14</v>
      </c>
      <c r="C43" s="132"/>
      <c r="D43" s="98" t="s">
        <v>299</v>
      </c>
      <c r="E43" s="132" t="s">
        <v>296</v>
      </c>
      <c r="F43" s="120" t="s">
        <v>25</v>
      </c>
      <c r="G43" s="121" t="s">
        <v>280</v>
      </c>
      <c r="H43" s="121">
        <v>16</v>
      </c>
      <c r="O43" s="184"/>
    </row>
    <row r="44" spans="2:8" s="97" customFormat="1" ht="18" customHeight="1">
      <c r="B44" s="141"/>
      <c r="C44" s="152" t="s">
        <v>297</v>
      </c>
      <c r="D44" s="153"/>
      <c r="E44" s="277" t="s">
        <v>321</v>
      </c>
      <c r="F44" s="277"/>
      <c r="G44" s="277"/>
      <c r="H44" s="277"/>
    </row>
    <row r="45" spans="2:8" s="3" customFormat="1" ht="14.25" customHeight="1">
      <c r="B45" s="129"/>
      <c r="C45" s="98" t="s">
        <v>298</v>
      </c>
      <c r="D45" s="98"/>
      <c r="E45" s="275" t="s">
        <v>322</v>
      </c>
      <c r="F45" s="275"/>
      <c r="G45" s="275"/>
      <c r="H45" s="275"/>
    </row>
    <row r="46" spans="2:8" s="130" customFormat="1" ht="52.5" customHeight="1">
      <c r="B46" s="135">
        <f>B43+1</f>
        <v>15</v>
      </c>
      <c r="C46" s="132"/>
      <c r="D46" s="99">
        <v>11</v>
      </c>
      <c r="E46" s="132" t="s">
        <v>305</v>
      </c>
      <c r="F46" s="120" t="s">
        <v>6</v>
      </c>
      <c r="G46" s="121" t="s">
        <v>251</v>
      </c>
      <c r="H46" s="121">
        <v>4</v>
      </c>
    </row>
    <row r="47" spans="2:8" s="130" customFormat="1" ht="52.5" customHeight="1">
      <c r="B47" s="135">
        <f aca="true" t="shared" si="0" ref="B47:B52">B46+1</f>
        <v>16</v>
      </c>
      <c r="C47" s="132"/>
      <c r="D47" s="99">
        <v>11</v>
      </c>
      <c r="E47" s="132" t="s">
        <v>302</v>
      </c>
      <c r="F47" s="120" t="s">
        <v>6</v>
      </c>
      <c r="G47" s="121" t="s">
        <v>279</v>
      </c>
      <c r="H47" s="121">
        <v>54</v>
      </c>
    </row>
    <row r="48" spans="2:8" s="131" customFormat="1" ht="53.25" customHeight="1">
      <c r="B48" s="135">
        <f t="shared" si="0"/>
        <v>17</v>
      </c>
      <c r="C48" s="132"/>
      <c r="D48" s="99">
        <v>12</v>
      </c>
      <c r="E48" s="132" t="s">
        <v>301</v>
      </c>
      <c r="F48" s="120" t="s">
        <v>6</v>
      </c>
      <c r="G48" s="121" t="s">
        <v>278</v>
      </c>
      <c r="H48" s="121">
        <v>17</v>
      </c>
    </row>
    <row r="49" spans="2:8" s="130" customFormat="1" ht="52.5" customHeight="1">
      <c r="B49" s="135">
        <f t="shared" si="0"/>
        <v>18</v>
      </c>
      <c r="C49" s="132"/>
      <c r="D49" s="99">
        <v>13</v>
      </c>
      <c r="E49" s="132" t="s">
        <v>317</v>
      </c>
      <c r="F49" s="120" t="s">
        <v>6</v>
      </c>
      <c r="G49" s="121" t="s">
        <v>277</v>
      </c>
      <c r="H49" s="121">
        <v>144</v>
      </c>
    </row>
    <row r="50" spans="2:11" s="130" customFormat="1" ht="43.5" customHeight="1">
      <c r="B50" s="135">
        <f t="shared" si="0"/>
        <v>19</v>
      </c>
      <c r="C50" s="132"/>
      <c r="D50" s="99">
        <v>14</v>
      </c>
      <c r="E50" s="132" t="s">
        <v>397</v>
      </c>
      <c r="F50" s="120" t="s">
        <v>6</v>
      </c>
      <c r="G50" s="121" t="s">
        <v>318</v>
      </c>
      <c r="H50" s="121">
        <v>22.9</v>
      </c>
      <c r="K50" s="130">
        <f>19.4+7*0.5</f>
        <v>22.9</v>
      </c>
    </row>
    <row r="51" spans="2:8" s="130" customFormat="1" ht="25.5" customHeight="1">
      <c r="B51" s="135">
        <f t="shared" si="0"/>
        <v>20</v>
      </c>
      <c r="C51" s="132"/>
      <c r="D51" s="99">
        <v>14</v>
      </c>
      <c r="E51" s="132" t="s">
        <v>300</v>
      </c>
      <c r="F51" s="120" t="s">
        <v>6</v>
      </c>
      <c r="G51" s="121" t="s">
        <v>276</v>
      </c>
      <c r="H51" s="121">
        <v>90</v>
      </c>
    </row>
    <row r="52" spans="2:8" s="130" customFormat="1" ht="40.5" customHeight="1">
      <c r="B52" s="135">
        <f t="shared" si="0"/>
        <v>21</v>
      </c>
      <c r="C52" s="132"/>
      <c r="D52" s="99">
        <v>14</v>
      </c>
      <c r="E52" s="132" t="s">
        <v>349</v>
      </c>
      <c r="F52" s="120" t="s">
        <v>25</v>
      </c>
      <c r="G52" s="121" t="s">
        <v>350</v>
      </c>
      <c r="H52" s="121">
        <v>7</v>
      </c>
    </row>
    <row r="53" spans="2:8" s="3" customFormat="1" ht="14.25" customHeight="1">
      <c r="B53" s="129"/>
      <c r="C53" s="98" t="s">
        <v>303</v>
      </c>
      <c r="D53" s="98"/>
      <c r="E53" s="275" t="s">
        <v>304</v>
      </c>
      <c r="F53" s="275"/>
      <c r="G53" s="275"/>
      <c r="H53" s="275"/>
    </row>
    <row r="54" spans="2:13" s="130" customFormat="1" ht="51.75" customHeight="1">
      <c r="B54" s="135">
        <f>B52+1</f>
        <v>22</v>
      </c>
      <c r="C54" s="132"/>
      <c r="D54" s="99">
        <v>11</v>
      </c>
      <c r="E54" s="132" t="s">
        <v>319</v>
      </c>
      <c r="F54" s="120" t="s">
        <v>6</v>
      </c>
      <c r="G54" s="121" t="s">
        <v>281</v>
      </c>
      <c r="H54" s="121">
        <v>17.5</v>
      </c>
      <c r="M54" s="185"/>
    </row>
    <row r="55" spans="2:13" s="130" customFormat="1" ht="66.75" customHeight="1">
      <c r="B55" s="135">
        <f>B54+1</f>
        <v>23</v>
      </c>
      <c r="C55" s="132"/>
      <c r="D55" s="99">
        <v>12</v>
      </c>
      <c r="E55" s="132" t="s">
        <v>320</v>
      </c>
      <c r="F55" s="120" t="s">
        <v>6</v>
      </c>
      <c r="G55" s="121" t="s">
        <v>282</v>
      </c>
      <c r="H55" s="121">
        <v>0.5</v>
      </c>
      <c r="M55" s="147"/>
    </row>
    <row r="56" spans="1:13" ht="15">
      <c r="A56" s="2"/>
      <c r="B56" s="141"/>
      <c r="C56" s="152" t="s">
        <v>64</v>
      </c>
      <c r="D56" s="153"/>
      <c r="E56" s="273" t="s">
        <v>51</v>
      </c>
      <c r="F56" s="273"/>
      <c r="G56" s="273"/>
      <c r="H56" s="289"/>
      <c r="J56" s="58"/>
      <c r="M56" s="186"/>
    </row>
    <row r="57" spans="1:13" s="87" customFormat="1" ht="18" customHeight="1">
      <c r="A57" s="61"/>
      <c r="B57" s="142"/>
      <c r="C57" s="152" t="s">
        <v>212</v>
      </c>
      <c r="D57" s="142"/>
      <c r="E57" s="277" t="s">
        <v>213</v>
      </c>
      <c r="F57" s="277"/>
      <c r="G57" s="277"/>
      <c r="H57" s="278"/>
      <c r="M57" s="147"/>
    </row>
    <row r="58" spans="1:13" s="85" customFormat="1" ht="14.25" customHeight="1">
      <c r="A58" s="35"/>
      <c r="B58" s="129"/>
      <c r="C58" s="98" t="s">
        <v>214</v>
      </c>
      <c r="D58" s="136"/>
      <c r="E58" s="288" t="s">
        <v>215</v>
      </c>
      <c r="F58" s="276" t="s">
        <v>8</v>
      </c>
      <c r="G58" s="276" t="s">
        <v>8</v>
      </c>
      <c r="H58" s="276" t="s">
        <v>8</v>
      </c>
      <c r="I58" s="86"/>
      <c r="M58" s="187"/>
    </row>
    <row r="59" spans="1:9" s="85" customFormat="1" ht="14.25" customHeight="1">
      <c r="A59" s="35"/>
      <c r="B59" s="129"/>
      <c r="C59" s="98" t="s">
        <v>85</v>
      </c>
      <c r="D59" s="136"/>
      <c r="E59" s="288" t="s">
        <v>233</v>
      </c>
      <c r="F59" s="276" t="s">
        <v>8</v>
      </c>
      <c r="G59" s="276" t="s">
        <v>8</v>
      </c>
      <c r="H59" s="276" t="s">
        <v>8</v>
      </c>
      <c r="I59" s="86"/>
    </row>
    <row r="60" spans="1:17" s="1" customFormat="1" ht="55.5" customHeight="1">
      <c r="A60" s="2"/>
      <c r="B60" s="135">
        <f>B55+1</f>
        <v>24</v>
      </c>
      <c r="C60" s="98"/>
      <c r="D60" s="98">
        <v>54</v>
      </c>
      <c r="E60" s="140" t="s">
        <v>234</v>
      </c>
      <c r="F60" s="120" t="s">
        <v>24</v>
      </c>
      <c r="G60" s="151" t="s">
        <v>352</v>
      </c>
      <c r="H60" s="121">
        <v>110.55</v>
      </c>
      <c r="J60" s="1">
        <f>(4.7+2*1)*(16.5+0)</f>
        <v>110.55</v>
      </c>
      <c r="O60" s="106"/>
      <c r="Q60" s="212"/>
    </row>
    <row r="61" spans="1:8" s="87" customFormat="1" ht="18" customHeight="1">
      <c r="A61" s="61"/>
      <c r="B61" s="142"/>
      <c r="C61" s="152" t="s">
        <v>83</v>
      </c>
      <c r="D61" s="142"/>
      <c r="E61" s="277" t="s">
        <v>84</v>
      </c>
      <c r="F61" s="277"/>
      <c r="G61" s="277"/>
      <c r="H61" s="278"/>
    </row>
    <row r="62" spans="1:9" s="85" customFormat="1" ht="14.25" customHeight="1">
      <c r="A62" s="35"/>
      <c r="B62" s="129"/>
      <c r="C62" s="98" t="s">
        <v>86</v>
      </c>
      <c r="D62" s="136"/>
      <c r="E62" s="275" t="s">
        <v>209</v>
      </c>
      <c r="F62" s="276" t="s">
        <v>8</v>
      </c>
      <c r="G62" s="276" t="s">
        <v>8</v>
      </c>
      <c r="H62" s="276" t="s">
        <v>8</v>
      </c>
      <c r="I62" s="86"/>
    </row>
    <row r="63" spans="1:12" s="85" customFormat="1" ht="65.25" customHeight="1">
      <c r="A63" s="35"/>
      <c r="B63" s="135">
        <f>B60+1</f>
        <v>25</v>
      </c>
      <c r="C63" s="98"/>
      <c r="D63" s="98">
        <v>51</v>
      </c>
      <c r="E63" s="140" t="s">
        <v>210</v>
      </c>
      <c r="F63" s="120" t="s">
        <v>24</v>
      </c>
      <c r="G63" s="121" t="s">
        <v>211</v>
      </c>
      <c r="H63" s="121">
        <v>1098.3</v>
      </c>
      <c r="J63" s="86">
        <f>(5.83+7.95)/2*13.5*2+(7.95+10.34)/2*7+(10.34+17.18)/2*26+(10.34+16.51)/2*22.5</f>
        <v>909.8675000000001</v>
      </c>
      <c r="K63" s="85">
        <f>(4.7+2*3.36)*16.5</f>
        <v>188.43</v>
      </c>
      <c r="L63" s="86">
        <f>J63+K63</f>
        <v>1098.2975000000001</v>
      </c>
    </row>
    <row r="64" spans="1:10" s="85" customFormat="1" ht="15">
      <c r="A64" s="35"/>
      <c r="B64" s="141"/>
      <c r="C64" s="152" t="s">
        <v>46</v>
      </c>
      <c r="D64" s="153"/>
      <c r="E64" s="273" t="s">
        <v>47</v>
      </c>
      <c r="F64" s="273"/>
      <c r="G64" s="273"/>
      <c r="H64" s="289"/>
      <c r="J64" s="86"/>
    </row>
    <row r="65" spans="1:8" s="59" customFormat="1" ht="18" customHeight="1">
      <c r="A65" s="8"/>
      <c r="B65" s="142"/>
      <c r="C65" s="152" t="s">
        <v>160</v>
      </c>
      <c r="D65" s="142"/>
      <c r="E65" s="277" t="s">
        <v>161</v>
      </c>
      <c r="F65" s="277"/>
      <c r="G65" s="277"/>
      <c r="H65" s="278"/>
    </row>
    <row r="66" spans="1:9" ht="14.25" customHeight="1">
      <c r="A66" s="2"/>
      <c r="B66" s="129"/>
      <c r="C66" s="98" t="s">
        <v>162</v>
      </c>
      <c r="D66" s="136"/>
      <c r="E66" s="275" t="s">
        <v>163</v>
      </c>
      <c r="F66" s="276" t="s">
        <v>8</v>
      </c>
      <c r="G66" s="276" t="s">
        <v>8</v>
      </c>
      <c r="H66" s="276" t="s">
        <v>8</v>
      </c>
      <c r="I66" s="58"/>
    </row>
    <row r="67" spans="1:13" s="1" customFormat="1" ht="51" customHeight="1">
      <c r="A67" s="2"/>
      <c r="B67" s="135">
        <f>B63+1</f>
        <v>26</v>
      </c>
      <c r="C67" s="98"/>
      <c r="D67" s="98">
        <v>51</v>
      </c>
      <c r="E67" s="140" t="s">
        <v>207</v>
      </c>
      <c r="F67" s="120" t="s">
        <v>6</v>
      </c>
      <c r="G67" s="151" t="s">
        <v>353</v>
      </c>
      <c r="H67" s="121">
        <v>192.94</v>
      </c>
      <c r="J67" s="106">
        <f>(20.71+1.34)*4+PI()*(21.85+2.3)*2*(69.7692/400)+PI()*(21.85-2.8)*2*(69.7692/400)+22*2+1*4</f>
        <v>183.5442637320368</v>
      </c>
      <c r="K67" s="1">
        <f>4.7*2</f>
        <v>9.4</v>
      </c>
      <c r="L67" s="106">
        <f>(3.9^2+2.6^2)^0.5*4*0</f>
        <v>0</v>
      </c>
      <c r="M67" s="106">
        <f>J67+K67+L67</f>
        <v>192.9442637320368</v>
      </c>
    </row>
    <row r="68" spans="1:8" s="59" customFormat="1" ht="18" customHeight="1">
      <c r="A68" s="8"/>
      <c r="B68" s="142"/>
      <c r="C68" s="152" t="s">
        <v>53</v>
      </c>
      <c r="D68" s="142"/>
      <c r="E68" s="277" t="s">
        <v>87</v>
      </c>
      <c r="F68" s="277"/>
      <c r="G68" s="277"/>
      <c r="H68" s="278"/>
    </row>
    <row r="69" spans="1:9" ht="14.25" customHeight="1">
      <c r="A69" s="2"/>
      <c r="B69" s="129"/>
      <c r="C69" s="98" t="s">
        <v>54</v>
      </c>
      <c r="D69" s="136"/>
      <c r="E69" s="275" t="s">
        <v>55</v>
      </c>
      <c r="F69" s="276" t="s">
        <v>8</v>
      </c>
      <c r="G69" s="276" t="s">
        <v>8</v>
      </c>
      <c r="H69" s="276" t="s">
        <v>8</v>
      </c>
      <c r="I69" s="58"/>
    </row>
    <row r="70" spans="1:10" s="1" customFormat="1" ht="54" customHeight="1">
      <c r="A70" s="2"/>
      <c r="B70" s="135">
        <f>B67+1</f>
        <v>27</v>
      </c>
      <c r="C70" s="98"/>
      <c r="D70" s="98" t="s">
        <v>165</v>
      </c>
      <c r="E70" s="140" t="s">
        <v>164</v>
      </c>
      <c r="F70" s="120" t="s">
        <v>6</v>
      </c>
      <c r="G70" s="151" t="s">
        <v>354</v>
      </c>
      <c r="H70" s="121">
        <v>169.98</v>
      </c>
      <c r="J70" s="1">
        <f>38.01+0.78+43.56+0.79+37.5*2+1.22*2+4.7*2</f>
        <v>169.98</v>
      </c>
    </row>
    <row r="71" spans="1:8" s="89" customFormat="1" ht="18" customHeight="1">
      <c r="A71" s="88"/>
      <c r="B71" s="142"/>
      <c r="C71" s="152" t="s">
        <v>88</v>
      </c>
      <c r="D71" s="142"/>
      <c r="E71" s="277" t="s">
        <v>89</v>
      </c>
      <c r="F71" s="277"/>
      <c r="G71" s="277"/>
      <c r="H71" s="278"/>
    </row>
    <row r="72" spans="1:9" s="92" customFormat="1" ht="29.25" customHeight="1">
      <c r="A72" s="90"/>
      <c r="B72" s="129"/>
      <c r="C72" s="98" t="s">
        <v>90</v>
      </c>
      <c r="D72" s="136"/>
      <c r="E72" s="275" t="s">
        <v>91</v>
      </c>
      <c r="F72" s="276" t="s">
        <v>8</v>
      </c>
      <c r="G72" s="276" t="s">
        <v>8</v>
      </c>
      <c r="H72" s="276" t="s">
        <v>8</v>
      </c>
      <c r="I72" s="91"/>
    </row>
    <row r="73" spans="1:13" s="92" customFormat="1" ht="54.75" customHeight="1">
      <c r="A73" s="90"/>
      <c r="B73" s="135">
        <f>B70+1</f>
        <v>28</v>
      </c>
      <c r="C73" s="98"/>
      <c r="D73" s="98" t="s">
        <v>166</v>
      </c>
      <c r="E73" s="140" t="s">
        <v>206</v>
      </c>
      <c r="F73" s="120" t="s">
        <v>6</v>
      </c>
      <c r="G73" s="151" t="s">
        <v>355</v>
      </c>
      <c r="H73" s="121">
        <v>103.8</v>
      </c>
      <c r="J73" s="106">
        <f>(20.71+1.84)+PI()*(21.85-2)*2*(69.7692/400)+16.5+43+0</f>
        <v>103.80425081205857</v>
      </c>
      <c r="K73" s="1"/>
      <c r="L73" s="106"/>
      <c r="M73" s="106"/>
    </row>
    <row r="74" spans="1:8" s="61" customFormat="1" ht="18" customHeight="1">
      <c r="A74" s="93"/>
      <c r="B74" s="141"/>
      <c r="C74" s="152" t="s">
        <v>45</v>
      </c>
      <c r="D74" s="153"/>
      <c r="E74" s="273" t="s">
        <v>13</v>
      </c>
      <c r="F74" s="273"/>
      <c r="G74" s="273"/>
      <c r="H74" s="274"/>
    </row>
    <row r="75" spans="1:8" s="87" customFormat="1" ht="18" customHeight="1">
      <c r="A75" s="61"/>
      <c r="B75" s="142"/>
      <c r="C75" s="152" t="s">
        <v>92</v>
      </c>
      <c r="D75" s="142"/>
      <c r="E75" s="277" t="s">
        <v>93</v>
      </c>
      <c r="F75" s="277"/>
      <c r="G75" s="277"/>
      <c r="H75" s="278"/>
    </row>
    <row r="76" spans="2:8" s="35" customFormat="1" ht="18" customHeight="1">
      <c r="B76" s="154"/>
      <c r="C76" s="98" t="s">
        <v>94</v>
      </c>
      <c r="D76" s="144"/>
      <c r="E76" s="279" t="s">
        <v>223</v>
      </c>
      <c r="F76" s="280" t="s">
        <v>8</v>
      </c>
      <c r="G76" s="280" t="s">
        <v>8</v>
      </c>
      <c r="H76" s="280" t="s">
        <v>8</v>
      </c>
    </row>
    <row r="77" spans="2:14" s="35" customFormat="1" ht="39">
      <c r="B77" s="135">
        <f>B73+1</f>
        <v>29</v>
      </c>
      <c r="C77" s="132"/>
      <c r="D77" s="98">
        <v>14</v>
      </c>
      <c r="E77" s="132" t="s">
        <v>339</v>
      </c>
      <c r="F77" s="120" t="s">
        <v>24</v>
      </c>
      <c r="G77" s="151" t="s">
        <v>356</v>
      </c>
      <c r="H77" s="121">
        <v>537.56</v>
      </c>
      <c r="J77" s="86">
        <f>(1.32+3.44)/2*13.5*2+(3.44+4.64)/2*7+(4.64+9.38)/2*26+(4.64+8.86)/2*22.5</f>
        <v>426.67499999999995</v>
      </c>
      <c r="K77" s="85">
        <f>(2*3.36)*16.5</f>
        <v>110.88</v>
      </c>
      <c r="L77" s="86">
        <f>(2*3.36)*8*0</f>
        <v>0</v>
      </c>
      <c r="M77" s="35">
        <f>(3.27+0.71)/2*4*4*0</f>
        <v>0</v>
      </c>
      <c r="N77" s="47">
        <f>J77+K77+L77+M77</f>
        <v>537.555</v>
      </c>
    </row>
    <row r="78" spans="1:8" s="87" customFormat="1" ht="18" customHeight="1">
      <c r="A78" s="61"/>
      <c r="B78" s="142"/>
      <c r="C78" s="152" t="s">
        <v>95</v>
      </c>
      <c r="D78" s="142"/>
      <c r="E78" s="277" t="s">
        <v>96</v>
      </c>
      <c r="F78" s="277"/>
      <c r="G78" s="277"/>
      <c r="H78" s="278"/>
    </row>
    <row r="79" spans="2:8" s="35" customFormat="1" ht="18" customHeight="1">
      <c r="B79" s="154"/>
      <c r="C79" s="98" t="s">
        <v>97</v>
      </c>
      <c r="D79" s="144"/>
      <c r="E79" s="279" t="s">
        <v>224</v>
      </c>
      <c r="F79" s="280" t="s">
        <v>8</v>
      </c>
      <c r="G79" s="280" t="s">
        <v>8</v>
      </c>
      <c r="H79" s="280" t="s">
        <v>8</v>
      </c>
    </row>
    <row r="80" spans="2:13" s="2" customFormat="1" ht="41.25" customHeight="1">
      <c r="B80" s="135">
        <f>B77+1</f>
        <v>30</v>
      </c>
      <c r="C80" s="132"/>
      <c r="D80" s="98">
        <v>11</v>
      </c>
      <c r="E80" s="109" t="s">
        <v>326</v>
      </c>
      <c r="F80" s="120" t="s">
        <v>23</v>
      </c>
      <c r="G80" s="151" t="s">
        <v>368</v>
      </c>
      <c r="H80" s="121">
        <v>982.02</v>
      </c>
      <c r="J80" s="2">
        <f>457.55+147.68+376.79</f>
        <v>982.02</v>
      </c>
      <c r="L80" s="189">
        <f>307.65</f>
        <v>307.65</v>
      </c>
      <c r="M80" s="2">
        <f>J80+L80</f>
        <v>1289.67</v>
      </c>
    </row>
    <row r="81" spans="1:8" s="87" customFormat="1" ht="18" customHeight="1">
      <c r="A81" s="61"/>
      <c r="B81" s="142"/>
      <c r="C81" s="152" t="s">
        <v>56</v>
      </c>
      <c r="D81" s="142"/>
      <c r="E81" s="277" t="s">
        <v>48</v>
      </c>
      <c r="F81" s="277"/>
      <c r="G81" s="277"/>
      <c r="H81" s="278"/>
    </row>
    <row r="82" spans="2:8" s="35" customFormat="1" ht="18" customHeight="1">
      <c r="B82" s="154"/>
      <c r="C82" s="98" t="s">
        <v>57</v>
      </c>
      <c r="D82" s="144"/>
      <c r="E82" s="279" t="s">
        <v>48</v>
      </c>
      <c r="F82" s="280" t="s">
        <v>8</v>
      </c>
      <c r="G82" s="280" t="s">
        <v>8</v>
      </c>
      <c r="H82" s="280" t="s">
        <v>8</v>
      </c>
    </row>
    <row r="83" spans="2:11" s="2" customFormat="1" ht="26.25">
      <c r="B83" s="135">
        <f>B80+1</f>
        <v>31</v>
      </c>
      <c r="C83" s="132"/>
      <c r="D83" s="98">
        <v>11</v>
      </c>
      <c r="E83" s="132" t="s">
        <v>58</v>
      </c>
      <c r="F83" s="120" t="s">
        <v>25</v>
      </c>
      <c r="G83" s="151" t="s">
        <v>357</v>
      </c>
      <c r="H83" s="121">
        <v>22</v>
      </c>
      <c r="J83" s="2">
        <v>22</v>
      </c>
      <c r="K83" s="189">
        <v>13</v>
      </c>
    </row>
    <row r="84" spans="2:8" s="2" customFormat="1" ht="39">
      <c r="B84" s="135">
        <f>B83+1</f>
        <v>32</v>
      </c>
      <c r="C84" s="132"/>
      <c r="D84" s="98">
        <v>15</v>
      </c>
      <c r="E84" s="132" t="s">
        <v>341</v>
      </c>
      <c r="F84" s="120" t="s">
        <v>25</v>
      </c>
      <c r="G84" s="151" t="s">
        <v>177</v>
      </c>
      <c r="H84" s="121">
        <v>2</v>
      </c>
    </row>
    <row r="85" spans="1:8" s="61" customFormat="1" ht="18" customHeight="1">
      <c r="A85" s="93"/>
      <c r="B85" s="141"/>
      <c r="C85" s="152" t="s">
        <v>50</v>
      </c>
      <c r="D85" s="153"/>
      <c r="E85" s="273" t="s">
        <v>59</v>
      </c>
      <c r="F85" s="273"/>
      <c r="G85" s="273"/>
      <c r="H85" s="274"/>
    </row>
    <row r="86" spans="1:8" s="87" customFormat="1" ht="18" customHeight="1">
      <c r="A86" s="61"/>
      <c r="B86" s="142"/>
      <c r="C86" s="152" t="s">
        <v>102</v>
      </c>
      <c r="D86" s="142"/>
      <c r="E86" s="277" t="s">
        <v>103</v>
      </c>
      <c r="F86" s="277"/>
      <c r="G86" s="277"/>
      <c r="H86" s="278"/>
    </row>
    <row r="87" spans="2:9" s="2" customFormat="1" ht="13.5" customHeight="1">
      <c r="B87" s="129"/>
      <c r="C87" s="98" t="s">
        <v>104</v>
      </c>
      <c r="D87" s="98"/>
      <c r="E87" s="275" t="s">
        <v>105</v>
      </c>
      <c r="F87" s="276" t="s">
        <v>8</v>
      </c>
      <c r="G87" s="276" t="s">
        <v>8</v>
      </c>
      <c r="H87" s="276" t="s">
        <v>8</v>
      </c>
      <c r="I87" s="13"/>
    </row>
    <row r="88" spans="2:12" s="2" customFormat="1" ht="38.25" customHeight="1">
      <c r="B88" s="135">
        <f>B84+1</f>
        <v>33</v>
      </c>
      <c r="C88" s="98"/>
      <c r="D88" s="98">
        <v>53</v>
      </c>
      <c r="E88" s="132" t="s">
        <v>106</v>
      </c>
      <c r="F88" s="120" t="s">
        <v>24</v>
      </c>
      <c r="G88" s="151" t="s">
        <v>358</v>
      </c>
      <c r="H88" s="121">
        <v>392.2</v>
      </c>
      <c r="J88" s="21">
        <f>(106+0)*3.7</f>
        <v>392.20000000000005</v>
      </c>
      <c r="L88" s="189">
        <f>(0+16)*3.7</f>
        <v>59.2</v>
      </c>
    </row>
    <row r="89" spans="1:8" s="59" customFormat="1" ht="18" customHeight="1">
      <c r="A89" s="8"/>
      <c r="B89" s="142"/>
      <c r="C89" s="152" t="s">
        <v>60</v>
      </c>
      <c r="D89" s="142"/>
      <c r="E89" s="277" t="s">
        <v>107</v>
      </c>
      <c r="F89" s="277"/>
      <c r="G89" s="277"/>
      <c r="H89" s="278"/>
    </row>
    <row r="90" spans="2:9" s="2" customFormat="1" ht="27.75" customHeight="1">
      <c r="B90" s="129"/>
      <c r="C90" s="98" t="s">
        <v>61</v>
      </c>
      <c r="D90" s="98"/>
      <c r="E90" s="275" t="s">
        <v>62</v>
      </c>
      <c r="F90" s="276" t="s">
        <v>8</v>
      </c>
      <c r="G90" s="276" t="s">
        <v>8</v>
      </c>
      <c r="H90" s="276" t="s">
        <v>8</v>
      </c>
      <c r="I90" s="13"/>
    </row>
    <row r="91" spans="2:13" s="2" customFormat="1" ht="38.25" customHeight="1">
      <c r="B91" s="135">
        <f>B88+1</f>
        <v>34</v>
      </c>
      <c r="C91" s="98"/>
      <c r="D91" s="98">
        <v>11</v>
      </c>
      <c r="E91" s="132" t="s">
        <v>63</v>
      </c>
      <c r="F91" s="120" t="s">
        <v>24</v>
      </c>
      <c r="G91" s="151" t="s">
        <v>359</v>
      </c>
      <c r="H91" s="121">
        <v>366.64</v>
      </c>
      <c r="J91" s="21">
        <f>(0+2.28)/2*46.5*2+(2.55*2+4)*16.5+(0+2.33)/2*43+(0.45+0.26)*4.7*2+(2.55*2+4)*0+(0+2.55)/2*4*0+46.5*0.3*2+43*0.3*2</f>
        <v>366.63899999999995</v>
      </c>
      <c r="L91" s="189">
        <f>(0.45+0.26)*4.7*2+(2.55*2+4)*8+(0+2.55)/2*4*4</f>
        <v>99.874</v>
      </c>
      <c r="M91" s="13">
        <f>J91+L91</f>
        <v>466.5129999999999</v>
      </c>
    </row>
    <row r="92" spans="1:8" s="59" customFormat="1" ht="17.25" customHeight="1">
      <c r="A92" s="8"/>
      <c r="B92" s="142"/>
      <c r="C92" s="152" t="s">
        <v>67</v>
      </c>
      <c r="D92" s="142"/>
      <c r="E92" s="277" t="s">
        <v>69</v>
      </c>
      <c r="F92" s="277"/>
      <c r="G92" s="277"/>
      <c r="H92" s="278"/>
    </row>
    <row r="93" spans="2:9" s="2" customFormat="1" ht="12.75" customHeight="1">
      <c r="B93" s="129"/>
      <c r="C93" s="98" t="s">
        <v>68</v>
      </c>
      <c r="D93" s="98"/>
      <c r="E93" s="275" t="s">
        <v>69</v>
      </c>
      <c r="F93" s="276" t="s">
        <v>8</v>
      </c>
      <c r="G93" s="276" t="s">
        <v>8</v>
      </c>
      <c r="H93" s="276" t="s">
        <v>8</v>
      </c>
      <c r="I93" s="13"/>
    </row>
    <row r="94" spans="2:13" s="2" customFormat="1" ht="38.25" customHeight="1">
      <c r="B94" s="135">
        <f>B91+1</f>
        <v>35</v>
      </c>
      <c r="C94" s="98"/>
      <c r="D94" s="98">
        <v>11</v>
      </c>
      <c r="E94" s="132" t="s">
        <v>70</v>
      </c>
      <c r="F94" s="120" t="s">
        <v>24</v>
      </c>
      <c r="G94" s="151" t="s">
        <v>360</v>
      </c>
      <c r="H94" s="121">
        <v>308.71</v>
      </c>
      <c r="J94" s="21">
        <f>(0+2.28)/2*46.5*2+(2.55*2+4)*16.5+(0+2.33)/2*43+(0.26)*4.7*2+(2.55*2+4)*8*0</f>
        <v>308.709</v>
      </c>
      <c r="L94" s="189">
        <f>(0.26)*4.7*2+(2.55*2+4)*8+(0+2.55)/2*4*4</f>
        <v>95.644</v>
      </c>
      <c r="M94" s="13">
        <f>J94+L94</f>
        <v>404.353</v>
      </c>
    </row>
    <row r="95" spans="2:8" s="2" customFormat="1" ht="6" customHeight="1">
      <c r="B95" s="191"/>
      <c r="C95" s="191"/>
      <c r="D95" s="191"/>
      <c r="E95" s="191"/>
      <c r="F95" s="191"/>
      <c r="G95" s="191"/>
      <c r="H95" s="191"/>
    </row>
    <row r="96" spans="2:8" s="2" customFormat="1" ht="12.75">
      <c r="B96" s="271" t="s">
        <v>32</v>
      </c>
      <c r="C96" s="271"/>
      <c r="D96" s="271"/>
      <c r="E96" s="271"/>
      <c r="F96" s="271"/>
      <c r="G96" s="271"/>
      <c r="H96" s="272"/>
    </row>
    <row r="97" spans="2:8" s="2" customFormat="1" ht="12.75">
      <c r="B97" s="271"/>
      <c r="C97" s="271"/>
      <c r="D97" s="271"/>
      <c r="E97" s="271"/>
      <c r="F97" s="271"/>
      <c r="G97" s="271"/>
      <c r="H97" s="272"/>
    </row>
    <row r="98" spans="2:8" s="2" customFormat="1" ht="12.75">
      <c r="B98" s="271"/>
      <c r="C98" s="271"/>
      <c r="D98" s="271"/>
      <c r="E98" s="271"/>
      <c r="F98" s="271"/>
      <c r="G98" s="271"/>
      <c r="H98" s="272"/>
    </row>
    <row r="99" spans="2:8" s="2" customFormat="1" ht="12.75">
      <c r="B99" s="3" t="s">
        <v>18</v>
      </c>
      <c r="C99" s="3"/>
      <c r="D99" s="3"/>
      <c r="E99" s="3"/>
      <c r="F99" s="3"/>
      <c r="G99" s="3"/>
      <c r="H99" s="3"/>
    </row>
    <row r="100" spans="2:8" s="2" customFormat="1" ht="12.75">
      <c r="B100" s="3" t="s">
        <v>19</v>
      </c>
      <c r="C100" s="3"/>
      <c r="D100" s="3"/>
      <c r="E100" s="3"/>
      <c r="F100" s="3"/>
      <c r="G100" s="3"/>
      <c r="H100" s="3"/>
    </row>
    <row r="101" spans="2:8" s="2" customFormat="1" ht="12.75">
      <c r="B101" s="3"/>
      <c r="C101" s="3"/>
      <c r="D101" s="3"/>
      <c r="E101" s="3"/>
      <c r="F101" s="3"/>
      <c r="G101" s="3"/>
      <c r="H101" s="3"/>
    </row>
    <row r="102" spans="2:8" s="2" customFormat="1" ht="12.75">
      <c r="B102" s="3"/>
      <c r="C102" s="3"/>
      <c r="D102" s="3"/>
      <c r="E102" s="3"/>
      <c r="F102" s="3"/>
      <c r="G102" s="3"/>
      <c r="H102" s="3"/>
    </row>
    <row r="146" spans="4:8" ht="12.75">
      <c r="D146" s="150"/>
      <c r="E146" s="150"/>
      <c r="F146" s="150"/>
      <c r="G146" s="150"/>
      <c r="H146" s="150"/>
    </row>
    <row r="147" spans="4:8" ht="12.75">
      <c r="D147" s="150"/>
      <c r="E147" s="150"/>
      <c r="F147" s="150"/>
      <c r="G147" s="150"/>
      <c r="H147" s="150"/>
    </row>
    <row r="148" spans="4:8" ht="12.75">
      <c r="D148" s="150"/>
      <c r="E148" s="147"/>
      <c r="F148" s="148"/>
      <c r="G148" s="149"/>
      <c r="H148" s="149"/>
    </row>
    <row r="149" spans="4:8" ht="12.75">
      <c r="D149" s="150"/>
      <c r="E149" s="150"/>
      <c r="F149" s="150"/>
      <c r="G149" s="150"/>
      <c r="H149" s="150"/>
    </row>
  </sheetData>
  <sheetProtection/>
  <mergeCells count="63">
    <mergeCell ref="E34:H34"/>
    <mergeCell ref="E45:H45"/>
    <mergeCell ref="E53:H53"/>
    <mergeCell ref="E40:H40"/>
    <mergeCell ref="E41:H41"/>
    <mergeCell ref="E42:H42"/>
    <mergeCell ref="E44:H44"/>
    <mergeCell ref="E26:H26"/>
    <mergeCell ref="E30:H30"/>
    <mergeCell ref="E12:H12"/>
    <mergeCell ref="E15:H15"/>
    <mergeCell ref="E13:H13"/>
    <mergeCell ref="E25:H25"/>
    <mergeCell ref="E27:H27"/>
    <mergeCell ref="E17:H17"/>
    <mergeCell ref="E22:H22"/>
    <mergeCell ref="E20:H20"/>
    <mergeCell ref="E58:H58"/>
    <mergeCell ref="E33:H33"/>
    <mergeCell ref="E87:H87"/>
    <mergeCell ref="E81:H81"/>
    <mergeCell ref="E82:H82"/>
    <mergeCell ref="E68:H68"/>
    <mergeCell ref="E56:H56"/>
    <mergeCell ref="E36:H36"/>
    <mergeCell ref="E37:H37"/>
    <mergeCell ref="E38:H38"/>
    <mergeCell ref="E59:H59"/>
    <mergeCell ref="E69:H69"/>
    <mergeCell ref="E62:H62"/>
    <mergeCell ref="E65:H65"/>
    <mergeCell ref="E66:H66"/>
    <mergeCell ref="E64:H64"/>
    <mergeCell ref="E75:H75"/>
    <mergeCell ref="B1:H1"/>
    <mergeCell ref="B3:H3"/>
    <mergeCell ref="B2:H2"/>
    <mergeCell ref="F4:G4"/>
    <mergeCell ref="E4:E5"/>
    <mergeCell ref="B4:B5"/>
    <mergeCell ref="H4:H5"/>
    <mergeCell ref="E57:H57"/>
    <mergeCell ref="E61:H61"/>
    <mergeCell ref="C4:C5"/>
    <mergeCell ref="D4:D5"/>
    <mergeCell ref="E79:H79"/>
    <mergeCell ref="E7:H7"/>
    <mergeCell ref="E8:H8"/>
    <mergeCell ref="E11:H11"/>
    <mergeCell ref="E9:H9"/>
    <mergeCell ref="E24:H24"/>
    <mergeCell ref="E71:H71"/>
    <mergeCell ref="E72:H72"/>
    <mergeCell ref="B96:H98"/>
    <mergeCell ref="E74:H74"/>
    <mergeCell ref="E90:H90"/>
    <mergeCell ref="E92:H92"/>
    <mergeCell ref="E93:H93"/>
    <mergeCell ref="E85:H85"/>
    <mergeCell ref="E89:H89"/>
    <mergeCell ref="E86:H86"/>
    <mergeCell ref="E76:H76"/>
    <mergeCell ref="E78:H78"/>
  </mergeCells>
  <printOptions/>
  <pageMargins left="0.8661417322834646" right="0.2362204724409449" top="0.59" bottom="0.3937007874015748" header="0.5118110236220472" footer="0.44"/>
  <pageSetup firstPageNumber="3" useFirstPageNumber="1" horizontalDpi="600" verticalDpi="600" orientation="portrait" paperSize="9" scale="90" r:id="rId1"/>
  <headerFooter alignWithMargins="0">
    <oddFooter>&amp;R&amp;P</oddFooter>
  </headerFooter>
  <rowBreaks count="3" manualBreakCount="3">
    <brk id="35" min="1" max="7" man="1"/>
    <brk id="58" min="1" max="7" man="1"/>
    <brk id="88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SheetLayoutView="100" zoomScalePageLayoutView="0" workbookViewId="0" topLeftCell="A19">
      <selection activeCell="E34" sqref="E34:H34"/>
    </sheetView>
  </sheetViews>
  <sheetFormatPr defaultColWidth="9.00390625" defaultRowHeight="12.75"/>
  <cols>
    <col min="1" max="1" width="5.875" style="0" customWidth="1"/>
    <col min="2" max="2" width="5.00390625" style="146" customWidth="1"/>
    <col min="3" max="3" width="10.875" style="146" customWidth="1"/>
    <col min="4" max="4" width="5.375" style="146" customWidth="1"/>
    <col min="5" max="5" width="36.875" style="146" customWidth="1"/>
    <col min="6" max="6" width="8.625" style="146" customWidth="1"/>
    <col min="7" max="7" width="22.00390625" style="146" customWidth="1"/>
    <col min="8" max="8" width="11.125" style="146" customWidth="1"/>
    <col min="9" max="9" width="9.50390625" style="0" hidden="1" customWidth="1"/>
    <col min="10" max="14" width="0" style="0" hidden="1" customWidth="1"/>
  </cols>
  <sheetData>
    <row r="1" spans="2:8" s="2" customFormat="1" ht="22.5" customHeight="1">
      <c r="B1" s="282" t="s">
        <v>146</v>
      </c>
      <c r="C1" s="282"/>
      <c r="D1" s="282"/>
      <c r="E1" s="282"/>
      <c r="F1" s="282"/>
      <c r="G1" s="282"/>
      <c r="H1" s="283"/>
    </row>
    <row r="2" spans="2:8" s="2" customFormat="1" ht="34.5" customHeight="1">
      <c r="B2" s="286" t="s">
        <v>389</v>
      </c>
      <c r="C2" s="286"/>
      <c r="D2" s="286"/>
      <c r="E2" s="286"/>
      <c r="F2" s="286"/>
      <c r="G2" s="286"/>
      <c r="H2" s="287"/>
    </row>
    <row r="3" spans="2:8" s="2" customFormat="1" ht="17.25" customHeight="1">
      <c r="B3" s="284" t="s">
        <v>12</v>
      </c>
      <c r="C3" s="284"/>
      <c r="D3" s="284"/>
      <c r="E3" s="284"/>
      <c r="F3" s="284"/>
      <c r="G3" s="284"/>
      <c r="H3" s="285"/>
    </row>
    <row r="4" spans="2:9" s="2" customFormat="1" ht="12.75" customHeight="1">
      <c r="B4" s="281" t="s">
        <v>0</v>
      </c>
      <c r="C4" s="281" t="s">
        <v>2</v>
      </c>
      <c r="D4" s="281" t="s">
        <v>17</v>
      </c>
      <c r="E4" s="281" t="s">
        <v>3</v>
      </c>
      <c r="F4" s="281" t="s">
        <v>1</v>
      </c>
      <c r="G4" s="281"/>
      <c r="H4" s="281" t="s">
        <v>150</v>
      </c>
      <c r="I4" s="3"/>
    </row>
    <row r="5" spans="2:8" s="2" customFormat="1" ht="27" customHeight="1">
      <c r="B5" s="281"/>
      <c r="C5" s="281"/>
      <c r="D5" s="281"/>
      <c r="E5" s="281"/>
      <c r="F5" s="134" t="s">
        <v>149</v>
      </c>
      <c r="G5" s="134" t="s">
        <v>127</v>
      </c>
      <c r="H5" s="281"/>
    </row>
    <row r="6" spans="2:8" s="2" customFormat="1" ht="12.75"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</row>
    <row r="7" spans="2:8" s="61" customFormat="1" ht="18" customHeight="1">
      <c r="B7" s="141"/>
      <c r="C7" s="152" t="s">
        <v>40</v>
      </c>
      <c r="D7" s="153"/>
      <c r="E7" s="273" t="s">
        <v>20</v>
      </c>
      <c r="F7" s="273"/>
      <c r="G7" s="273"/>
      <c r="H7" s="274"/>
    </row>
    <row r="8" spans="2:8" s="61" customFormat="1" ht="18" customHeight="1">
      <c r="B8" s="141"/>
      <c r="C8" s="152" t="s">
        <v>41</v>
      </c>
      <c r="D8" s="153"/>
      <c r="E8" s="277" t="s">
        <v>79</v>
      </c>
      <c r="F8" s="277"/>
      <c r="G8" s="277"/>
      <c r="H8" s="280"/>
    </row>
    <row r="9" spans="2:9" s="35" customFormat="1" ht="18" customHeight="1">
      <c r="B9" s="129"/>
      <c r="C9" s="98" t="s">
        <v>49</v>
      </c>
      <c r="D9" s="98">
        <v>11</v>
      </c>
      <c r="E9" s="279" t="s">
        <v>52</v>
      </c>
      <c r="F9" s="280"/>
      <c r="G9" s="280"/>
      <c r="H9" s="280"/>
      <c r="I9" s="47"/>
    </row>
    <row r="10" spans="2:8" s="35" customFormat="1" ht="39">
      <c r="B10" s="135">
        <f>1</f>
        <v>1</v>
      </c>
      <c r="C10" s="98"/>
      <c r="D10" s="136"/>
      <c r="E10" s="132" t="s">
        <v>147</v>
      </c>
      <c r="F10" s="120" t="s">
        <v>148</v>
      </c>
      <c r="G10" s="151" t="s">
        <v>151</v>
      </c>
      <c r="H10" s="121">
        <v>1</v>
      </c>
    </row>
    <row r="11" spans="2:8" s="61" customFormat="1" ht="18" customHeight="1">
      <c r="B11" s="137"/>
      <c r="C11" s="152" t="s">
        <v>42</v>
      </c>
      <c r="D11" s="153"/>
      <c r="E11" s="273" t="s">
        <v>7</v>
      </c>
      <c r="F11" s="273"/>
      <c r="G11" s="273"/>
      <c r="H11" s="273"/>
    </row>
    <row r="12" spans="2:8" s="61" customFormat="1" ht="18" customHeight="1">
      <c r="B12" s="137"/>
      <c r="C12" s="152" t="s">
        <v>200</v>
      </c>
      <c r="D12" s="153"/>
      <c r="E12" s="277" t="s">
        <v>201</v>
      </c>
      <c r="F12" s="277"/>
      <c r="G12" s="277"/>
      <c r="H12" s="277"/>
    </row>
    <row r="13" spans="2:9" s="35" customFormat="1" ht="15" customHeight="1">
      <c r="B13" s="129"/>
      <c r="C13" s="98" t="s">
        <v>204</v>
      </c>
      <c r="D13" s="98"/>
      <c r="E13" s="279" t="s">
        <v>203</v>
      </c>
      <c r="F13" s="280" t="s">
        <v>8</v>
      </c>
      <c r="G13" s="280" t="s">
        <v>8</v>
      </c>
      <c r="H13" s="280" t="s">
        <v>8</v>
      </c>
      <c r="I13" s="47"/>
    </row>
    <row r="14" spans="2:13" s="35" customFormat="1" ht="39" customHeight="1">
      <c r="B14" s="135">
        <f>B10+1</f>
        <v>2</v>
      </c>
      <c r="C14" s="132"/>
      <c r="D14" s="99">
        <v>11</v>
      </c>
      <c r="E14" s="132" t="s">
        <v>335</v>
      </c>
      <c r="F14" s="120" t="s">
        <v>23</v>
      </c>
      <c r="G14" s="151">
        <v>525.36</v>
      </c>
      <c r="H14" s="121">
        <v>525.36</v>
      </c>
      <c r="J14" s="47" t="e">
        <f>1271.38+424.55+1049.86+-#REF!</f>
        <v>#REF!</v>
      </c>
      <c r="L14" s="193">
        <f>525.36</f>
        <v>525.36</v>
      </c>
      <c r="M14" s="47" t="e">
        <f>J14+L14</f>
        <v>#REF!</v>
      </c>
    </row>
    <row r="15" spans="2:8" s="97" customFormat="1" ht="18" customHeight="1">
      <c r="B15" s="135"/>
      <c r="C15" s="152" t="s">
        <v>43</v>
      </c>
      <c r="D15" s="153"/>
      <c r="E15" s="273" t="s">
        <v>4</v>
      </c>
      <c r="F15" s="273"/>
      <c r="G15" s="273"/>
      <c r="H15" s="273"/>
    </row>
    <row r="16" spans="2:8" s="97" customFormat="1" ht="18" customHeight="1">
      <c r="B16" s="135"/>
      <c r="C16" s="152" t="s">
        <v>44</v>
      </c>
      <c r="D16" s="153"/>
      <c r="E16" s="277" t="s">
        <v>80</v>
      </c>
      <c r="F16" s="277"/>
      <c r="G16" s="277"/>
      <c r="H16" s="277"/>
    </row>
    <row r="17" spans="2:8" s="3" customFormat="1" ht="14.25" customHeight="1">
      <c r="B17" s="135"/>
      <c r="C17" s="98" t="s">
        <v>81</v>
      </c>
      <c r="D17" s="98"/>
      <c r="E17" s="275" t="s">
        <v>82</v>
      </c>
      <c r="F17" s="275"/>
      <c r="G17" s="275"/>
      <c r="H17" s="275"/>
    </row>
    <row r="18" spans="2:8" s="3" customFormat="1" ht="14.25" customHeight="1">
      <c r="B18" s="129"/>
      <c r="C18" s="98"/>
      <c r="D18" s="98"/>
      <c r="E18" s="275" t="s">
        <v>153</v>
      </c>
      <c r="F18" s="275"/>
      <c r="G18" s="275"/>
      <c r="H18" s="275"/>
    </row>
    <row r="19" spans="2:13" s="3" customFormat="1" ht="42" customHeight="1">
      <c r="B19" s="135">
        <f>B14+1</f>
        <v>3</v>
      </c>
      <c r="C19" s="132"/>
      <c r="D19" s="99">
        <v>17</v>
      </c>
      <c r="E19" s="132" t="s">
        <v>221</v>
      </c>
      <c r="F19" s="120" t="s">
        <v>23</v>
      </c>
      <c r="G19" s="121" t="s">
        <v>231</v>
      </c>
      <c r="H19" s="121">
        <v>71.81</v>
      </c>
      <c r="J19" s="3">
        <f>45.77</f>
        <v>45.77</v>
      </c>
      <c r="L19" s="3">
        <f>26.04</f>
        <v>26.04</v>
      </c>
      <c r="M19" s="3">
        <f>J19+L19</f>
        <v>71.81</v>
      </c>
    </row>
    <row r="20" spans="2:13" s="3" customFormat="1" ht="26.25">
      <c r="B20" s="135">
        <f>B19+1</f>
        <v>4</v>
      </c>
      <c r="C20" s="132"/>
      <c r="D20" s="98">
        <v>97</v>
      </c>
      <c r="E20" s="132" t="s">
        <v>338</v>
      </c>
      <c r="F20" s="120" t="s">
        <v>5</v>
      </c>
      <c r="G20" s="121" t="s">
        <v>232</v>
      </c>
      <c r="H20" s="121">
        <v>8109</v>
      </c>
      <c r="J20" s="105">
        <f>5669</f>
        <v>5669</v>
      </c>
      <c r="L20" s="3">
        <f>2440</f>
        <v>2440</v>
      </c>
      <c r="M20" s="105">
        <f>J20+L20</f>
        <v>8109</v>
      </c>
    </row>
    <row r="21" spans="2:8" s="97" customFormat="1" ht="18" customHeight="1">
      <c r="B21" s="141"/>
      <c r="C21" s="152" t="s">
        <v>195</v>
      </c>
      <c r="D21" s="153"/>
      <c r="E21" s="277" t="s">
        <v>196</v>
      </c>
      <c r="F21" s="277"/>
      <c r="G21" s="277"/>
      <c r="H21" s="277"/>
    </row>
    <row r="22" spans="2:8" s="3" customFormat="1" ht="27.75" customHeight="1">
      <c r="B22" s="129"/>
      <c r="C22" s="98" t="s">
        <v>197</v>
      </c>
      <c r="D22" s="98"/>
      <c r="E22" s="275" t="s">
        <v>198</v>
      </c>
      <c r="F22" s="275"/>
      <c r="G22" s="275"/>
      <c r="H22" s="275"/>
    </row>
    <row r="23" spans="2:13" s="3" customFormat="1" ht="51.75" customHeight="1">
      <c r="B23" s="135">
        <f>B20+1</f>
        <v>5</v>
      </c>
      <c r="C23" s="132"/>
      <c r="D23" s="99">
        <v>12</v>
      </c>
      <c r="E23" s="132" t="s">
        <v>199</v>
      </c>
      <c r="F23" s="120" t="s">
        <v>23</v>
      </c>
      <c r="G23" s="121" t="s">
        <v>362</v>
      </c>
      <c r="H23" s="121">
        <v>1.18</v>
      </c>
      <c r="J23" s="105">
        <f>(106+0)*3.7*0.02</f>
        <v>7.844000000000001</v>
      </c>
      <c r="L23" s="195">
        <f>(16)*3.7*0.02</f>
        <v>1.1840000000000002</v>
      </c>
      <c r="M23" s="105">
        <f>J23+L23</f>
        <v>9.028000000000002</v>
      </c>
    </row>
    <row r="24" spans="2:8" s="97" customFormat="1" ht="18" customHeight="1">
      <c r="B24" s="141"/>
      <c r="C24" s="152" t="s">
        <v>156</v>
      </c>
      <c r="D24" s="153"/>
      <c r="E24" s="273" t="s">
        <v>157</v>
      </c>
      <c r="F24" s="273"/>
      <c r="G24" s="273"/>
      <c r="H24" s="273"/>
    </row>
    <row r="25" spans="2:8" s="97" customFormat="1" ht="18" customHeight="1">
      <c r="B25" s="141"/>
      <c r="C25" s="152" t="s">
        <v>158</v>
      </c>
      <c r="D25" s="153"/>
      <c r="E25" s="277" t="s">
        <v>217</v>
      </c>
      <c r="F25" s="277"/>
      <c r="G25" s="277"/>
      <c r="H25" s="277"/>
    </row>
    <row r="26" spans="2:8" s="3" customFormat="1" ht="14.25" customHeight="1">
      <c r="B26" s="129"/>
      <c r="C26" s="98" t="s">
        <v>159</v>
      </c>
      <c r="D26" s="98"/>
      <c r="E26" s="275" t="s">
        <v>208</v>
      </c>
      <c r="F26" s="275"/>
      <c r="G26" s="275"/>
      <c r="H26" s="275"/>
    </row>
    <row r="27" spans="2:13" s="83" customFormat="1" ht="52.5" customHeight="1">
      <c r="B27" s="135">
        <f>B23+1</f>
        <v>6</v>
      </c>
      <c r="C27" s="132"/>
      <c r="D27" s="99">
        <v>51</v>
      </c>
      <c r="E27" s="132" t="s">
        <v>222</v>
      </c>
      <c r="F27" s="120" t="s">
        <v>6</v>
      </c>
      <c r="G27" s="121" t="s">
        <v>363</v>
      </c>
      <c r="H27" s="121">
        <v>22.48</v>
      </c>
      <c r="J27" s="83">
        <f>9.65*2+11.24*2</f>
        <v>41.78</v>
      </c>
      <c r="L27" s="194">
        <f>64.26-J27</f>
        <v>22.480000000000004</v>
      </c>
      <c r="M27" s="83">
        <f>J27+L27</f>
        <v>64.26</v>
      </c>
    </row>
    <row r="28" spans="1:13" ht="15">
      <c r="A28" s="2"/>
      <c r="B28" s="141"/>
      <c r="C28" s="152" t="s">
        <v>64</v>
      </c>
      <c r="D28" s="153"/>
      <c r="E28" s="273" t="s">
        <v>51</v>
      </c>
      <c r="F28" s="273"/>
      <c r="G28" s="273"/>
      <c r="H28" s="289"/>
      <c r="J28" s="58"/>
      <c r="M28" s="186"/>
    </row>
    <row r="29" spans="1:13" s="87" customFormat="1" ht="18" customHeight="1">
      <c r="A29" s="61"/>
      <c r="B29" s="142"/>
      <c r="C29" s="152" t="s">
        <v>212</v>
      </c>
      <c r="D29" s="142"/>
      <c r="E29" s="277" t="s">
        <v>213</v>
      </c>
      <c r="F29" s="277"/>
      <c r="G29" s="277"/>
      <c r="H29" s="278"/>
      <c r="M29" s="147"/>
    </row>
    <row r="30" spans="1:13" s="85" customFormat="1" ht="14.25" customHeight="1">
      <c r="A30" s="35"/>
      <c r="B30" s="129"/>
      <c r="C30" s="98" t="s">
        <v>214</v>
      </c>
      <c r="D30" s="136"/>
      <c r="E30" s="288" t="s">
        <v>215</v>
      </c>
      <c r="F30" s="276" t="s">
        <v>8</v>
      </c>
      <c r="G30" s="276" t="s">
        <v>8</v>
      </c>
      <c r="H30" s="276" t="s">
        <v>8</v>
      </c>
      <c r="I30" s="86"/>
      <c r="M30" s="187"/>
    </row>
    <row r="31" spans="1:13" s="85" customFormat="1" ht="50.25" customHeight="1">
      <c r="A31" s="35"/>
      <c r="B31" s="135">
        <f>B27+1</f>
        <v>7</v>
      </c>
      <c r="C31" s="98"/>
      <c r="D31" s="98">
        <v>54</v>
      </c>
      <c r="E31" s="140" t="s">
        <v>216</v>
      </c>
      <c r="F31" s="120" t="s">
        <v>24</v>
      </c>
      <c r="G31" s="151" t="s">
        <v>364</v>
      </c>
      <c r="H31" s="121">
        <v>31.84</v>
      </c>
      <c r="J31" s="86">
        <f>(2*3.36)*8</f>
        <v>53.76</v>
      </c>
      <c r="K31" s="210">
        <f>(3.27+0.71)/2*4*4</f>
        <v>31.84</v>
      </c>
      <c r="L31" s="47">
        <f>J31+K31</f>
        <v>85.6</v>
      </c>
      <c r="M31" s="35"/>
    </row>
    <row r="32" spans="1:9" s="85" customFormat="1" ht="14.25" customHeight="1">
      <c r="A32" s="35"/>
      <c r="B32" s="129"/>
      <c r="C32" s="98" t="s">
        <v>85</v>
      </c>
      <c r="D32" s="136"/>
      <c r="E32" s="288" t="s">
        <v>233</v>
      </c>
      <c r="F32" s="276" t="s">
        <v>8</v>
      </c>
      <c r="G32" s="276" t="s">
        <v>8</v>
      </c>
      <c r="H32" s="276" t="s">
        <v>8</v>
      </c>
      <c r="I32" s="86"/>
    </row>
    <row r="33" spans="1:12" s="1" customFormat="1" ht="55.5" customHeight="1">
      <c r="A33" s="2"/>
      <c r="B33" s="135">
        <f>B31+1</f>
        <v>8</v>
      </c>
      <c r="C33" s="98"/>
      <c r="D33" s="98">
        <v>54</v>
      </c>
      <c r="E33" s="140" t="s">
        <v>234</v>
      </c>
      <c r="F33" s="120" t="s">
        <v>24</v>
      </c>
      <c r="G33" s="151" t="s">
        <v>401</v>
      </c>
      <c r="H33" s="121">
        <v>85.6</v>
      </c>
      <c r="J33" s="1">
        <f>(4.7+2*1)*(16.5+0)</f>
        <v>110.55</v>
      </c>
      <c r="K33" s="196">
        <f>(4.7+2*1)*(0+8)</f>
        <v>53.6</v>
      </c>
      <c r="L33" s="1">
        <f>J33+K33</f>
        <v>164.15</v>
      </c>
    </row>
    <row r="34" spans="1:10" s="85" customFormat="1" ht="15">
      <c r="A34" s="35"/>
      <c r="B34" s="141"/>
      <c r="C34" s="152" t="s">
        <v>46</v>
      </c>
      <c r="D34" s="153"/>
      <c r="E34" s="273" t="s">
        <v>47</v>
      </c>
      <c r="F34" s="273"/>
      <c r="G34" s="273"/>
      <c r="H34" s="289"/>
      <c r="J34" s="86"/>
    </row>
    <row r="35" spans="1:8" s="59" customFormat="1" ht="18" customHeight="1">
      <c r="A35" s="8"/>
      <c r="B35" s="142"/>
      <c r="C35" s="152" t="s">
        <v>160</v>
      </c>
      <c r="D35" s="142"/>
      <c r="E35" s="277" t="s">
        <v>161</v>
      </c>
      <c r="F35" s="277"/>
      <c r="G35" s="277"/>
      <c r="H35" s="278"/>
    </row>
    <row r="36" spans="1:9" ht="14.25" customHeight="1">
      <c r="A36" s="2"/>
      <c r="B36" s="129"/>
      <c r="C36" s="98" t="s">
        <v>162</v>
      </c>
      <c r="D36" s="136"/>
      <c r="E36" s="275" t="s">
        <v>163</v>
      </c>
      <c r="F36" s="276" t="s">
        <v>8</v>
      </c>
      <c r="G36" s="276" t="s">
        <v>8</v>
      </c>
      <c r="H36" s="276" t="s">
        <v>8</v>
      </c>
      <c r="I36" s="58"/>
    </row>
    <row r="37" spans="1:13" s="1" customFormat="1" ht="51" customHeight="1">
      <c r="A37" s="2"/>
      <c r="B37" s="135">
        <f>B33+1</f>
        <v>9</v>
      </c>
      <c r="C37" s="98"/>
      <c r="D37" s="98">
        <v>51</v>
      </c>
      <c r="E37" s="140" t="s">
        <v>207</v>
      </c>
      <c r="F37" s="120" t="s">
        <v>6</v>
      </c>
      <c r="G37" s="151" t="s">
        <v>365</v>
      </c>
      <c r="H37" s="121">
        <v>28.15</v>
      </c>
      <c r="J37" s="106">
        <f>(20.71+1.34)*4+PI()*(21.85+2.3)*2*(69.7692/400)+PI()*(21.85-2.8)*2*(69.7692/400)+22*2+1*4</f>
        <v>183.5442637320368</v>
      </c>
      <c r="K37" s="1">
        <f>4.7*2</f>
        <v>9.4</v>
      </c>
      <c r="L37" s="197">
        <f>221.09-192.94</f>
        <v>28.150000000000006</v>
      </c>
      <c r="M37" s="106">
        <f>J37+K37+L37</f>
        <v>221.0942637320368</v>
      </c>
    </row>
    <row r="38" spans="1:8" s="59" customFormat="1" ht="18" customHeight="1">
      <c r="A38" s="8"/>
      <c r="B38" s="142"/>
      <c r="C38" s="152" t="s">
        <v>53</v>
      </c>
      <c r="D38" s="142"/>
      <c r="E38" s="277" t="s">
        <v>87</v>
      </c>
      <c r="F38" s="277"/>
      <c r="G38" s="277"/>
      <c r="H38" s="278"/>
    </row>
    <row r="39" spans="1:9" ht="14.25" customHeight="1">
      <c r="A39" s="2"/>
      <c r="B39" s="129"/>
      <c r="C39" s="98" t="s">
        <v>54</v>
      </c>
      <c r="D39" s="136"/>
      <c r="E39" s="275" t="s">
        <v>55</v>
      </c>
      <c r="F39" s="276" t="s">
        <v>8</v>
      </c>
      <c r="G39" s="276" t="s">
        <v>8</v>
      </c>
      <c r="H39" s="276" t="s">
        <v>8</v>
      </c>
      <c r="I39" s="58"/>
    </row>
    <row r="40" spans="1:12" s="1" customFormat="1" ht="54" customHeight="1">
      <c r="A40" s="2"/>
      <c r="B40" s="135">
        <f>B37+1</f>
        <v>10</v>
      </c>
      <c r="C40" s="98"/>
      <c r="D40" s="98" t="s">
        <v>165</v>
      </c>
      <c r="E40" s="140" t="s">
        <v>164</v>
      </c>
      <c r="F40" s="120" t="s">
        <v>6</v>
      </c>
      <c r="G40" s="151" t="s">
        <v>366</v>
      </c>
      <c r="H40" s="121">
        <v>9.4</v>
      </c>
      <c r="J40" s="1">
        <f>38.01+0.78+43.56+0.79+37.5*2+1.22*2+4.7*2</f>
        <v>169.98</v>
      </c>
      <c r="L40" s="196">
        <f>179.38-169.98</f>
        <v>9.400000000000006</v>
      </c>
    </row>
    <row r="41" spans="1:8" s="89" customFormat="1" ht="18" customHeight="1">
      <c r="A41" s="88"/>
      <c r="B41" s="142"/>
      <c r="C41" s="152" t="s">
        <v>88</v>
      </c>
      <c r="D41" s="142"/>
      <c r="E41" s="277" t="s">
        <v>89</v>
      </c>
      <c r="F41" s="277"/>
      <c r="G41" s="277"/>
      <c r="H41" s="278"/>
    </row>
    <row r="42" spans="1:9" s="92" customFormat="1" ht="29.25" customHeight="1">
      <c r="A42" s="90"/>
      <c r="B42" s="129"/>
      <c r="C42" s="98" t="s">
        <v>90</v>
      </c>
      <c r="D42" s="136"/>
      <c r="E42" s="275" t="s">
        <v>91</v>
      </c>
      <c r="F42" s="276" t="s">
        <v>8</v>
      </c>
      <c r="G42" s="276" t="s">
        <v>8</v>
      </c>
      <c r="H42" s="276" t="s">
        <v>8</v>
      </c>
      <c r="I42" s="91"/>
    </row>
    <row r="43" spans="1:13" s="92" customFormat="1" ht="54.75" customHeight="1">
      <c r="A43" s="90"/>
      <c r="B43" s="135">
        <f>B40+1</f>
        <v>11</v>
      </c>
      <c r="C43" s="98"/>
      <c r="D43" s="98" t="s">
        <v>166</v>
      </c>
      <c r="E43" s="140" t="s">
        <v>206</v>
      </c>
      <c r="F43" s="120" t="s">
        <v>6</v>
      </c>
      <c r="G43" s="151" t="s">
        <v>280</v>
      </c>
      <c r="H43" s="121">
        <v>16</v>
      </c>
      <c r="J43" s="106">
        <f>(20.71+1.84)+PI()*(21.85-2)*2*(69.7692/400)+16.5+43+0</f>
        <v>103.80425081205857</v>
      </c>
      <c r="K43" s="1"/>
      <c r="L43" s="197">
        <f>119.8-103.8</f>
        <v>16</v>
      </c>
      <c r="M43" s="106"/>
    </row>
    <row r="44" spans="1:8" s="61" customFormat="1" ht="18" customHeight="1">
      <c r="A44" s="93"/>
      <c r="B44" s="141"/>
      <c r="C44" s="152" t="s">
        <v>45</v>
      </c>
      <c r="D44" s="153"/>
      <c r="E44" s="273" t="s">
        <v>13</v>
      </c>
      <c r="F44" s="273"/>
      <c r="G44" s="273"/>
      <c r="H44" s="274"/>
    </row>
    <row r="45" spans="1:8" s="87" customFormat="1" ht="18" customHeight="1">
      <c r="A45" s="61"/>
      <c r="B45" s="142"/>
      <c r="C45" s="152" t="s">
        <v>92</v>
      </c>
      <c r="D45" s="142"/>
      <c r="E45" s="277" t="s">
        <v>93</v>
      </c>
      <c r="F45" s="277"/>
      <c r="G45" s="277"/>
      <c r="H45" s="278"/>
    </row>
    <row r="46" spans="2:8" s="35" customFormat="1" ht="18" customHeight="1">
      <c r="B46" s="154"/>
      <c r="C46" s="98" t="s">
        <v>94</v>
      </c>
      <c r="D46" s="144"/>
      <c r="E46" s="279" t="s">
        <v>223</v>
      </c>
      <c r="F46" s="280" t="s">
        <v>8</v>
      </c>
      <c r="G46" s="280" t="s">
        <v>8</v>
      </c>
      <c r="H46" s="280" t="s">
        <v>8</v>
      </c>
    </row>
    <row r="47" spans="2:14" s="35" customFormat="1" ht="39">
      <c r="B47" s="135">
        <f>B43+1</f>
        <v>12</v>
      </c>
      <c r="C47" s="132"/>
      <c r="D47" s="98">
        <v>14</v>
      </c>
      <c r="E47" s="132" t="s">
        <v>339</v>
      </c>
      <c r="F47" s="120" t="s">
        <v>24</v>
      </c>
      <c r="G47" s="151" t="s">
        <v>218</v>
      </c>
      <c r="H47" s="121">
        <v>85.6</v>
      </c>
      <c r="J47" s="86">
        <f>(1.32+3.44)/2*13.5*2+(3.44+4.64)/2*7+(4.64+9.38)/2*26+(4.64+8.86)/2*22.5</f>
        <v>426.67499999999995</v>
      </c>
      <c r="K47" s="85">
        <f>(2*3.36)*16.5</f>
        <v>110.88</v>
      </c>
      <c r="L47" s="197">
        <f>623.16-537.56</f>
        <v>85.60000000000002</v>
      </c>
      <c r="M47" s="35">
        <f>(3.27+0.71)/2*4*4*0</f>
        <v>0</v>
      </c>
      <c r="N47" s="47">
        <f>J47+K47+L47+M47</f>
        <v>623.155</v>
      </c>
    </row>
    <row r="48" spans="1:8" s="87" customFormat="1" ht="18" customHeight="1">
      <c r="A48" s="61"/>
      <c r="B48" s="142"/>
      <c r="C48" s="152" t="s">
        <v>95</v>
      </c>
      <c r="D48" s="142"/>
      <c r="E48" s="277" t="s">
        <v>96</v>
      </c>
      <c r="F48" s="277"/>
      <c r="G48" s="277"/>
      <c r="H48" s="278"/>
    </row>
    <row r="49" spans="2:8" s="35" customFormat="1" ht="18" customHeight="1">
      <c r="B49" s="154"/>
      <c r="C49" s="98" t="s">
        <v>97</v>
      </c>
      <c r="D49" s="144"/>
      <c r="E49" s="279" t="s">
        <v>224</v>
      </c>
      <c r="F49" s="280" t="s">
        <v>8</v>
      </c>
      <c r="G49" s="280" t="s">
        <v>8</v>
      </c>
      <c r="H49" s="280" t="s">
        <v>8</v>
      </c>
    </row>
    <row r="50" spans="2:13" s="2" customFormat="1" ht="41.25" customHeight="1">
      <c r="B50" s="135">
        <f>B47+1</f>
        <v>13</v>
      </c>
      <c r="C50" s="132"/>
      <c r="D50" s="98">
        <v>11</v>
      </c>
      <c r="E50" s="109" t="s">
        <v>326</v>
      </c>
      <c r="F50" s="120" t="s">
        <v>23</v>
      </c>
      <c r="G50" s="151" t="s">
        <v>367</v>
      </c>
      <c r="H50" s="121">
        <v>307.65</v>
      </c>
      <c r="J50" s="2">
        <f>457.55+147.68+376.79</f>
        <v>982.02</v>
      </c>
      <c r="L50" s="189">
        <f>307.65</f>
        <v>307.65</v>
      </c>
      <c r="M50" s="2">
        <f>J50+L50</f>
        <v>1289.67</v>
      </c>
    </row>
    <row r="51" spans="1:8" s="87" customFormat="1" ht="18" customHeight="1">
      <c r="A51" s="61"/>
      <c r="B51" s="142"/>
      <c r="C51" s="152" t="s">
        <v>65</v>
      </c>
      <c r="D51" s="142"/>
      <c r="E51" s="277" t="s">
        <v>100</v>
      </c>
      <c r="F51" s="277"/>
      <c r="G51" s="277"/>
      <c r="H51" s="278"/>
    </row>
    <row r="52" spans="2:8" s="35" customFormat="1" ht="18" customHeight="1">
      <c r="B52" s="154"/>
      <c r="C52" s="98" t="s">
        <v>66</v>
      </c>
      <c r="D52" s="144"/>
      <c r="E52" s="279" t="s">
        <v>101</v>
      </c>
      <c r="F52" s="280" t="s">
        <v>8</v>
      </c>
      <c r="G52" s="280" t="s">
        <v>8</v>
      </c>
      <c r="H52" s="280" t="s">
        <v>8</v>
      </c>
    </row>
    <row r="53" spans="2:11" s="2" customFormat="1" ht="92.25" customHeight="1">
      <c r="B53" s="135">
        <f>B50+1</f>
        <v>14</v>
      </c>
      <c r="C53" s="132"/>
      <c r="D53" s="98">
        <v>11</v>
      </c>
      <c r="E53" s="132" t="s">
        <v>340</v>
      </c>
      <c r="F53" s="120" t="s">
        <v>6</v>
      </c>
      <c r="G53" s="151" t="s">
        <v>194</v>
      </c>
      <c r="H53" s="121">
        <v>4.7</v>
      </c>
      <c r="K53" s="189">
        <v>4.7</v>
      </c>
    </row>
    <row r="54" spans="1:8" s="87" customFormat="1" ht="18" customHeight="1">
      <c r="A54" s="61"/>
      <c r="B54" s="142"/>
      <c r="C54" s="152" t="s">
        <v>56</v>
      </c>
      <c r="D54" s="142"/>
      <c r="E54" s="277" t="s">
        <v>48</v>
      </c>
      <c r="F54" s="277"/>
      <c r="G54" s="277"/>
      <c r="H54" s="278"/>
    </row>
    <row r="55" spans="2:8" s="35" customFormat="1" ht="18" customHeight="1">
      <c r="B55" s="154"/>
      <c r="C55" s="98" t="s">
        <v>57</v>
      </c>
      <c r="D55" s="144"/>
      <c r="E55" s="279" t="s">
        <v>48</v>
      </c>
      <c r="F55" s="280" t="s">
        <v>8</v>
      </c>
      <c r="G55" s="280" t="s">
        <v>8</v>
      </c>
      <c r="H55" s="280" t="s">
        <v>8</v>
      </c>
    </row>
    <row r="56" spans="2:11" s="2" customFormat="1" ht="26.25">
      <c r="B56" s="135">
        <f>B53+1</f>
        <v>15</v>
      </c>
      <c r="C56" s="132"/>
      <c r="D56" s="98">
        <v>11</v>
      </c>
      <c r="E56" s="132" t="s">
        <v>58</v>
      </c>
      <c r="F56" s="120" t="s">
        <v>25</v>
      </c>
      <c r="G56" s="151" t="s">
        <v>369</v>
      </c>
      <c r="H56" s="121">
        <v>13</v>
      </c>
      <c r="J56" s="2">
        <v>22</v>
      </c>
      <c r="K56" s="189">
        <v>13</v>
      </c>
    </row>
    <row r="57" spans="1:8" s="61" customFormat="1" ht="18" customHeight="1">
      <c r="A57" s="93"/>
      <c r="B57" s="141"/>
      <c r="C57" s="152" t="s">
        <v>50</v>
      </c>
      <c r="D57" s="153"/>
      <c r="E57" s="273" t="s">
        <v>59</v>
      </c>
      <c r="F57" s="273"/>
      <c r="G57" s="273"/>
      <c r="H57" s="274"/>
    </row>
    <row r="58" spans="1:8" s="87" customFormat="1" ht="18" customHeight="1">
      <c r="A58" s="61"/>
      <c r="B58" s="142"/>
      <c r="C58" s="152" t="s">
        <v>102</v>
      </c>
      <c r="D58" s="142"/>
      <c r="E58" s="277" t="s">
        <v>103</v>
      </c>
      <c r="F58" s="277"/>
      <c r="G58" s="277"/>
      <c r="H58" s="278"/>
    </row>
    <row r="59" spans="2:9" s="2" customFormat="1" ht="13.5" customHeight="1">
      <c r="B59" s="129"/>
      <c r="C59" s="98" t="s">
        <v>104</v>
      </c>
      <c r="D59" s="98"/>
      <c r="E59" s="275" t="s">
        <v>105</v>
      </c>
      <c r="F59" s="276" t="s">
        <v>8</v>
      </c>
      <c r="G59" s="276" t="s">
        <v>8</v>
      </c>
      <c r="H59" s="276" t="s">
        <v>8</v>
      </c>
      <c r="I59" s="13"/>
    </row>
    <row r="60" spans="2:12" s="2" customFormat="1" ht="38.25" customHeight="1">
      <c r="B60" s="135">
        <f>B56+1</f>
        <v>16</v>
      </c>
      <c r="C60" s="98"/>
      <c r="D60" s="98">
        <v>53</v>
      </c>
      <c r="E60" s="132" t="s">
        <v>106</v>
      </c>
      <c r="F60" s="120" t="s">
        <v>24</v>
      </c>
      <c r="G60" s="151" t="s">
        <v>370</v>
      </c>
      <c r="H60" s="121">
        <v>59.2</v>
      </c>
      <c r="J60" s="21">
        <f>(106+0)*3.7</f>
        <v>392.20000000000005</v>
      </c>
      <c r="L60" s="189">
        <f>(0+16)*3.7</f>
        <v>59.2</v>
      </c>
    </row>
    <row r="61" spans="1:8" s="59" customFormat="1" ht="18" customHeight="1">
      <c r="A61" s="8"/>
      <c r="B61" s="142"/>
      <c r="C61" s="152" t="s">
        <v>60</v>
      </c>
      <c r="D61" s="142"/>
      <c r="E61" s="277" t="s">
        <v>107</v>
      </c>
      <c r="F61" s="277"/>
      <c r="G61" s="277"/>
      <c r="H61" s="278"/>
    </row>
    <row r="62" spans="2:9" s="2" customFormat="1" ht="27.75" customHeight="1">
      <c r="B62" s="129"/>
      <c r="C62" s="98" t="s">
        <v>61</v>
      </c>
      <c r="D62" s="98"/>
      <c r="E62" s="275" t="s">
        <v>62</v>
      </c>
      <c r="F62" s="276" t="s">
        <v>8</v>
      </c>
      <c r="G62" s="276" t="s">
        <v>8</v>
      </c>
      <c r="H62" s="276" t="s">
        <v>8</v>
      </c>
      <c r="I62" s="13"/>
    </row>
    <row r="63" spans="2:13" s="2" customFormat="1" ht="38.25" customHeight="1">
      <c r="B63" s="135">
        <f>B60+1</f>
        <v>17</v>
      </c>
      <c r="C63" s="98"/>
      <c r="D63" s="98">
        <v>11</v>
      </c>
      <c r="E63" s="132" t="s">
        <v>63</v>
      </c>
      <c r="F63" s="120" t="s">
        <v>24</v>
      </c>
      <c r="G63" s="151" t="s">
        <v>371</v>
      </c>
      <c r="H63" s="121">
        <v>99.87</v>
      </c>
      <c r="J63" s="21">
        <f>(0+2.28)/2*46.5*2+(2.55*2+4)*16.5+(0+2.33)/2*43+(0.45+0.26)*4.7*2+(2.55*2+4)*0+(0+2.55)/2*4*0+46.5*0.3*2+43*0.3*2</f>
        <v>366.63899999999995</v>
      </c>
      <c r="L63" s="193">
        <f>(0.45+0.26)*4.7*2+(2.55*2+4)*8+(0+2.55)/2*4*4</f>
        <v>99.874</v>
      </c>
      <c r="M63" s="13">
        <f>J63+L63</f>
        <v>466.5129999999999</v>
      </c>
    </row>
    <row r="64" spans="1:8" s="59" customFormat="1" ht="17.25" customHeight="1">
      <c r="A64" s="8"/>
      <c r="B64" s="142"/>
      <c r="C64" s="152" t="s">
        <v>67</v>
      </c>
      <c r="D64" s="142"/>
      <c r="E64" s="277" t="s">
        <v>69</v>
      </c>
      <c r="F64" s="277"/>
      <c r="G64" s="277"/>
      <c r="H64" s="278"/>
    </row>
    <row r="65" spans="2:9" s="2" customFormat="1" ht="12.75" customHeight="1">
      <c r="B65" s="129"/>
      <c r="C65" s="98" t="s">
        <v>68</v>
      </c>
      <c r="D65" s="98"/>
      <c r="E65" s="275" t="s">
        <v>69</v>
      </c>
      <c r="F65" s="276" t="s">
        <v>8</v>
      </c>
      <c r="G65" s="276" t="s">
        <v>8</v>
      </c>
      <c r="H65" s="276" t="s">
        <v>8</v>
      </c>
      <c r="I65" s="13"/>
    </row>
    <row r="66" spans="2:13" s="2" customFormat="1" ht="38.25" customHeight="1">
      <c r="B66" s="135">
        <f>B63+1</f>
        <v>18</v>
      </c>
      <c r="C66" s="98"/>
      <c r="D66" s="98">
        <v>11</v>
      </c>
      <c r="E66" s="132" t="s">
        <v>70</v>
      </c>
      <c r="F66" s="120" t="s">
        <v>24</v>
      </c>
      <c r="G66" s="151" t="s">
        <v>372</v>
      </c>
      <c r="H66" s="121">
        <v>95.64</v>
      </c>
      <c r="J66" s="21">
        <f>(0+2.28)/2*46.5*2+(2.55*2+4)*16.5+(0+2.33)/2*43+(0.26)*4.7*2+(2.55*2+4)*8*0</f>
        <v>308.709</v>
      </c>
      <c r="L66" s="193">
        <f>(0.26)*4.7*2+(2.55*2+4)*8+(0+2.55)/2*4*4</f>
        <v>95.644</v>
      </c>
      <c r="M66" s="13">
        <f>J66+L66</f>
        <v>404.353</v>
      </c>
    </row>
    <row r="67" spans="2:8" s="2" customFormat="1" ht="6" customHeight="1">
      <c r="B67" s="191"/>
      <c r="C67" s="191"/>
      <c r="D67" s="191"/>
      <c r="E67" s="191"/>
      <c r="F67" s="191"/>
      <c r="G67" s="191"/>
      <c r="H67" s="191"/>
    </row>
    <row r="68" spans="2:8" s="2" customFormat="1" ht="12.75">
      <c r="B68" s="271" t="s">
        <v>32</v>
      </c>
      <c r="C68" s="271"/>
      <c r="D68" s="271"/>
      <c r="E68" s="271"/>
      <c r="F68" s="271"/>
      <c r="G68" s="271"/>
      <c r="H68" s="272"/>
    </row>
    <row r="69" spans="2:8" s="2" customFormat="1" ht="12.75">
      <c r="B69" s="271"/>
      <c r="C69" s="271"/>
      <c r="D69" s="271"/>
      <c r="E69" s="271"/>
      <c r="F69" s="271"/>
      <c r="G69" s="271"/>
      <c r="H69" s="272"/>
    </row>
    <row r="70" spans="2:8" s="2" customFormat="1" ht="12.75">
      <c r="B70" s="271"/>
      <c r="C70" s="271"/>
      <c r="D70" s="271"/>
      <c r="E70" s="271"/>
      <c r="F70" s="271"/>
      <c r="G70" s="271"/>
      <c r="H70" s="272"/>
    </row>
    <row r="71" spans="2:8" s="2" customFormat="1" ht="12.75">
      <c r="B71" s="3" t="s">
        <v>18</v>
      </c>
      <c r="C71" s="3"/>
      <c r="D71" s="3"/>
      <c r="E71" s="3"/>
      <c r="F71" s="3"/>
      <c r="G71" s="3"/>
      <c r="H71" s="3"/>
    </row>
    <row r="72" spans="2:8" s="2" customFormat="1" ht="12.75">
      <c r="B72" s="3" t="s">
        <v>19</v>
      </c>
      <c r="C72" s="3"/>
      <c r="D72" s="3"/>
      <c r="E72" s="3"/>
      <c r="F72" s="3"/>
      <c r="G72" s="3"/>
      <c r="H72" s="3"/>
    </row>
    <row r="73" spans="2:8" s="2" customFormat="1" ht="12.75">
      <c r="B73" s="3"/>
      <c r="C73" s="3"/>
      <c r="D73" s="3"/>
      <c r="E73" s="3"/>
      <c r="F73" s="3"/>
      <c r="G73" s="3"/>
      <c r="H73" s="3"/>
    </row>
    <row r="74" spans="2:8" s="2" customFormat="1" ht="12.75">
      <c r="B74" s="3"/>
      <c r="C74" s="3"/>
      <c r="D74" s="3"/>
      <c r="E74" s="3"/>
      <c r="F74" s="3"/>
      <c r="G74" s="3"/>
      <c r="H74" s="3"/>
    </row>
    <row r="118" spans="4:8" ht="12.75">
      <c r="D118" s="150"/>
      <c r="E118" s="150"/>
      <c r="F118" s="150"/>
      <c r="G118" s="150"/>
      <c r="H118" s="150"/>
    </row>
    <row r="119" spans="4:8" ht="12.75">
      <c r="D119" s="150"/>
      <c r="E119" s="150"/>
      <c r="F119" s="150"/>
      <c r="G119" s="150"/>
      <c r="H119" s="150"/>
    </row>
    <row r="120" spans="4:8" ht="12.75">
      <c r="D120" s="150"/>
      <c r="E120" s="147"/>
      <c r="F120" s="148"/>
      <c r="G120" s="149"/>
      <c r="H120" s="149"/>
    </row>
    <row r="121" spans="4:8" ht="12.75">
      <c r="D121" s="150"/>
      <c r="E121" s="150"/>
      <c r="F121" s="150"/>
      <c r="G121" s="150"/>
      <c r="H121" s="150"/>
    </row>
  </sheetData>
  <sheetProtection/>
  <mergeCells count="52">
    <mergeCell ref="E57:H57"/>
    <mergeCell ref="E61:H61"/>
    <mergeCell ref="E58:H58"/>
    <mergeCell ref="E46:H46"/>
    <mergeCell ref="E48:H48"/>
    <mergeCell ref="E41:H41"/>
    <mergeCell ref="E35:H35"/>
    <mergeCell ref="E36:H36"/>
    <mergeCell ref="E34:H34"/>
    <mergeCell ref="E30:H30"/>
    <mergeCell ref="B68:H70"/>
    <mergeCell ref="E44:H44"/>
    <mergeCell ref="E62:H62"/>
    <mergeCell ref="E64:H64"/>
    <mergeCell ref="E65:H65"/>
    <mergeCell ref="H4:H5"/>
    <mergeCell ref="C4:C5"/>
    <mergeCell ref="D4:D5"/>
    <mergeCell ref="E7:H7"/>
    <mergeCell ref="E8:H8"/>
    <mergeCell ref="E11:H11"/>
    <mergeCell ref="E9:H9"/>
    <mergeCell ref="E28:H28"/>
    <mergeCell ref="E26:H26"/>
    <mergeCell ref="E29:H29"/>
    <mergeCell ref="E32:H32"/>
    <mergeCell ref="B1:H1"/>
    <mergeCell ref="B3:H3"/>
    <mergeCell ref="B2:H2"/>
    <mergeCell ref="F4:G4"/>
    <mergeCell ref="E4:E5"/>
    <mergeCell ref="B4:B5"/>
    <mergeCell ref="E59:H59"/>
    <mergeCell ref="E54:H54"/>
    <mergeCell ref="E55:H55"/>
    <mergeCell ref="E51:H51"/>
    <mergeCell ref="E52:H52"/>
    <mergeCell ref="E38:H38"/>
    <mergeCell ref="E39:H39"/>
    <mergeCell ref="E45:H45"/>
    <mergeCell ref="E49:H49"/>
    <mergeCell ref="E42:H42"/>
    <mergeCell ref="E17:H17"/>
    <mergeCell ref="E12:H12"/>
    <mergeCell ref="E13:H13"/>
    <mergeCell ref="E16:H16"/>
    <mergeCell ref="E24:H24"/>
    <mergeCell ref="E25:H25"/>
    <mergeCell ref="E22:H22"/>
    <mergeCell ref="E18:H18"/>
    <mergeCell ref="E21:H21"/>
    <mergeCell ref="E15:H15"/>
  </mergeCells>
  <printOptions/>
  <pageMargins left="0.8661417322834646" right="0.2362204724409449" top="0.59" bottom="0.3937007874015748" header="0.5118110236220472" footer="0.44"/>
  <pageSetup firstPageNumber="3" useFirstPageNumber="1" horizontalDpi="600" verticalDpi="600" orientation="portrait" paperSize="9" scale="90" r:id="rId1"/>
  <headerFooter alignWithMargins="0">
    <oddFooter>&amp;R&amp;P</oddFooter>
  </headerFooter>
  <rowBreaks count="2" manualBreakCount="2">
    <brk id="33" min="1" max="7" man="1"/>
    <brk id="6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">
      <selection activeCell="B1" sqref="B1:H48"/>
    </sheetView>
  </sheetViews>
  <sheetFormatPr defaultColWidth="9.00390625" defaultRowHeight="12.75"/>
  <cols>
    <col min="1" max="1" width="5.875" style="0" customWidth="1"/>
    <col min="2" max="2" width="5.00390625" style="52" customWidth="1"/>
    <col min="3" max="3" width="11.125" style="52" customWidth="1"/>
    <col min="4" max="4" width="5.125" style="52" customWidth="1"/>
    <col min="5" max="5" width="35.625" style="52" customWidth="1"/>
    <col min="6" max="6" width="6.625" style="52" customWidth="1"/>
    <col min="7" max="7" width="18.50390625" style="52" customWidth="1"/>
    <col min="8" max="8" width="13.50390625" style="114" customWidth="1"/>
    <col min="9" max="12" width="0" style="0" hidden="1" customWidth="1"/>
  </cols>
  <sheetData>
    <row r="1" spans="2:8" s="2" customFormat="1" ht="18.75" customHeight="1">
      <c r="B1" s="313" t="s">
        <v>118</v>
      </c>
      <c r="C1" s="313"/>
      <c r="D1" s="313"/>
      <c r="E1" s="313"/>
      <c r="F1" s="313"/>
      <c r="G1" s="313"/>
      <c r="H1" s="314"/>
    </row>
    <row r="2" spans="2:8" s="2" customFormat="1" ht="12.75" customHeight="1">
      <c r="B2" s="306" t="s">
        <v>0</v>
      </c>
      <c r="C2" s="319" t="s">
        <v>2</v>
      </c>
      <c r="D2" s="306"/>
      <c r="E2" s="306" t="s">
        <v>3</v>
      </c>
      <c r="F2" s="315" t="s">
        <v>1</v>
      </c>
      <c r="G2" s="316"/>
      <c r="H2" s="317" t="s">
        <v>150</v>
      </c>
    </row>
    <row r="3" spans="2:8" s="2" customFormat="1" ht="27" customHeight="1">
      <c r="B3" s="307"/>
      <c r="C3" s="320"/>
      <c r="D3" s="307"/>
      <c r="E3" s="307"/>
      <c r="F3" s="4" t="s">
        <v>149</v>
      </c>
      <c r="G3" s="4" t="s">
        <v>127</v>
      </c>
      <c r="H3" s="318"/>
    </row>
    <row r="4" spans="2:8" s="2" customFormat="1" ht="12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04">
        <v>7</v>
      </c>
    </row>
    <row r="5" spans="1:8" s="8" customFormat="1" ht="18" customHeight="1">
      <c r="A5" s="2"/>
      <c r="B5" s="40"/>
      <c r="C5" s="10" t="s">
        <v>33</v>
      </c>
      <c r="D5" s="26"/>
      <c r="E5" s="290" t="s">
        <v>9</v>
      </c>
      <c r="F5" s="312"/>
      <c r="G5" s="312"/>
      <c r="H5" s="293"/>
    </row>
    <row r="6" spans="2:8" s="61" customFormat="1" ht="18" customHeight="1">
      <c r="B6" s="6"/>
      <c r="C6" s="15" t="s">
        <v>171</v>
      </c>
      <c r="D6" s="27"/>
      <c r="E6" s="294" t="s">
        <v>226</v>
      </c>
      <c r="F6" s="310"/>
      <c r="G6" s="310"/>
      <c r="H6" s="296"/>
    </row>
    <row r="7" spans="2:11" s="2" customFormat="1" ht="26.25">
      <c r="B7" s="104">
        <f>'Przedmiar M1'!B94+1</f>
        <v>36</v>
      </c>
      <c r="C7" s="7"/>
      <c r="D7" s="36"/>
      <c r="E7" s="110" t="s">
        <v>172</v>
      </c>
      <c r="F7" s="29" t="s">
        <v>75</v>
      </c>
      <c r="G7" s="111" t="s">
        <v>373</v>
      </c>
      <c r="H7" s="38">
        <v>10</v>
      </c>
      <c r="I7" s="13"/>
      <c r="J7" s="2">
        <v>10</v>
      </c>
      <c r="K7" s="189">
        <v>10</v>
      </c>
    </row>
    <row r="8" spans="2:8" s="61" customFormat="1" ht="18" customHeight="1">
      <c r="B8" s="6"/>
      <c r="C8" s="15" t="s">
        <v>34</v>
      </c>
      <c r="D8" s="27"/>
      <c r="E8" s="294" t="s">
        <v>109</v>
      </c>
      <c r="F8" s="310"/>
      <c r="G8" s="310"/>
      <c r="H8" s="296"/>
    </row>
    <row r="9" spans="2:15" s="2" customFormat="1" ht="26.25">
      <c r="B9" s="6">
        <f>B7+1</f>
        <v>37</v>
      </c>
      <c r="C9" s="7"/>
      <c r="D9" s="36"/>
      <c r="E9" s="110" t="s">
        <v>173</v>
      </c>
      <c r="F9" s="29" t="s">
        <v>23</v>
      </c>
      <c r="G9" s="111" t="s">
        <v>374</v>
      </c>
      <c r="H9" s="38">
        <v>195.97</v>
      </c>
      <c r="I9" s="13"/>
      <c r="J9" s="2">
        <f>(212.47-16.5)*10*0.1</f>
        <v>195.97000000000003</v>
      </c>
      <c r="K9" s="189">
        <f>278.45-195.97</f>
        <v>82.47999999999999</v>
      </c>
      <c r="L9" s="13">
        <f>J9+K9</f>
        <v>278.45000000000005</v>
      </c>
      <c r="M9" s="102"/>
      <c r="O9" s="102"/>
    </row>
    <row r="10" spans="2:9" s="8" customFormat="1" ht="15">
      <c r="B10" s="30"/>
      <c r="C10" s="15" t="s">
        <v>35</v>
      </c>
      <c r="D10" s="27"/>
      <c r="E10" s="290" t="s">
        <v>11</v>
      </c>
      <c r="F10" s="312"/>
      <c r="G10" s="312"/>
      <c r="H10" s="293"/>
      <c r="I10" s="13"/>
    </row>
    <row r="11" spans="2:9" s="2" customFormat="1" ht="15">
      <c r="B11" s="39"/>
      <c r="C11" s="15" t="s">
        <v>36</v>
      </c>
      <c r="D11" s="23"/>
      <c r="E11" s="294" t="s">
        <v>110</v>
      </c>
      <c r="F11" s="310"/>
      <c r="G11" s="310"/>
      <c r="H11" s="296"/>
      <c r="I11" s="13"/>
    </row>
    <row r="12" spans="2:15" s="8" customFormat="1" ht="27.75" customHeight="1">
      <c r="B12" s="6">
        <f>B9+1</f>
        <v>38</v>
      </c>
      <c r="C12" s="7"/>
      <c r="D12" s="41"/>
      <c r="E12" s="16" t="s">
        <v>74</v>
      </c>
      <c r="F12" s="29" t="s">
        <v>23</v>
      </c>
      <c r="G12" s="111" t="s">
        <v>375</v>
      </c>
      <c r="H12" s="38">
        <v>473.5</v>
      </c>
      <c r="I12" s="13"/>
      <c r="J12" s="8">
        <f>215.54+257.96</f>
        <v>473.5</v>
      </c>
      <c r="K12" s="198">
        <f>3.85</f>
        <v>3.85</v>
      </c>
      <c r="L12" s="8">
        <f>J12+K12</f>
        <v>477.35</v>
      </c>
      <c r="M12" s="214"/>
      <c r="N12" s="204"/>
      <c r="O12" s="102"/>
    </row>
    <row r="13" spans="2:8" s="2" customFormat="1" ht="15">
      <c r="B13" s="39"/>
      <c r="C13" s="15" t="s">
        <v>37</v>
      </c>
      <c r="D13" s="27"/>
      <c r="E13" s="294" t="s">
        <v>111</v>
      </c>
      <c r="F13" s="310"/>
      <c r="G13" s="310"/>
      <c r="H13" s="296"/>
    </row>
    <row r="14" spans="2:15" s="61" customFormat="1" ht="27.75" customHeight="1">
      <c r="B14" s="6">
        <f>B12+1</f>
        <v>39</v>
      </c>
      <c r="C14" s="34"/>
      <c r="D14" s="48"/>
      <c r="E14" s="16" t="s">
        <v>342</v>
      </c>
      <c r="F14" s="29" t="s">
        <v>23</v>
      </c>
      <c r="G14" s="115" t="s">
        <v>376</v>
      </c>
      <c r="H14" s="55">
        <v>25.5</v>
      </c>
      <c r="I14" s="47"/>
      <c r="J14" s="201">
        <f>6.23+19.27</f>
        <v>25.5</v>
      </c>
      <c r="K14" s="200">
        <f>110.38</f>
        <v>110.38</v>
      </c>
      <c r="L14" s="199">
        <f>J14+K14</f>
        <v>135.88</v>
      </c>
      <c r="M14" s="214"/>
      <c r="N14" s="204"/>
      <c r="O14" s="102"/>
    </row>
    <row r="15" spans="2:8" s="97" customFormat="1" ht="15">
      <c r="B15" s="141"/>
      <c r="C15" s="138" t="s">
        <v>306</v>
      </c>
      <c r="D15" s="143"/>
      <c r="E15" s="297" t="s">
        <v>307</v>
      </c>
      <c r="F15" s="298"/>
      <c r="G15" s="298"/>
      <c r="H15" s="299"/>
    </row>
    <row r="16" spans="2:8" s="97" customFormat="1" ht="15">
      <c r="B16" s="129"/>
      <c r="C16" s="152" t="s">
        <v>120</v>
      </c>
      <c r="D16" s="142"/>
      <c r="E16" s="300" t="s">
        <v>119</v>
      </c>
      <c r="F16" s="301"/>
      <c r="G16" s="301"/>
      <c r="H16" s="302"/>
    </row>
    <row r="17" spans="2:8" s="165" customFormat="1" ht="79.5" customHeight="1">
      <c r="B17" s="98">
        <f>B14+1</f>
        <v>40</v>
      </c>
      <c r="C17" s="98"/>
      <c r="D17" s="136"/>
      <c r="E17" s="140" t="s">
        <v>345</v>
      </c>
      <c r="F17" s="120" t="s">
        <v>25</v>
      </c>
      <c r="G17" s="151" t="s">
        <v>151</v>
      </c>
      <c r="H17" s="121">
        <v>1</v>
      </c>
    </row>
    <row r="18" spans="2:8" s="3" customFormat="1" ht="66" customHeight="1">
      <c r="B18" s="98">
        <f>'Przedmiar D1'!B17+1</f>
        <v>41</v>
      </c>
      <c r="C18" s="98"/>
      <c r="D18" s="136"/>
      <c r="E18" s="140" t="s">
        <v>343</v>
      </c>
      <c r="F18" s="120" t="s">
        <v>25</v>
      </c>
      <c r="G18" s="151" t="s">
        <v>151</v>
      </c>
      <c r="H18" s="121">
        <v>1</v>
      </c>
    </row>
    <row r="19" spans="2:8" s="165" customFormat="1" ht="79.5" customHeight="1">
      <c r="B19" s="98">
        <f>'Przedmiar D1'!B18+1</f>
        <v>42</v>
      </c>
      <c r="C19" s="98"/>
      <c r="D19" s="136"/>
      <c r="E19" s="140" t="s">
        <v>344</v>
      </c>
      <c r="F19" s="120" t="s">
        <v>25</v>
      </c>
      <c r="G19" s="151" t="s">
        <v>177</v>
      </c>
      <c r="H19" s="121">
        <v>2</v>
      </c>
    </row>
    <row r="20" spans="1:11" s="165" customFormat="1" ht="103.5" customHeight="1">
      <c r="A20" s="3"/>
      <c r="B20" s="98">
        <f>'Przedmiar D1'!B19+1</f>
        <v>43</v>
      </c>
      <c r="C20" s="98"/>
      <c r="D20" s="136"/>
      <c r="E20" s="140" t="s">
        <v>346</v>
      </c>
      <c r="F20" s="120" t="s">
        <v>25</v>
      </c>
      <c r="G20" s="151" t="s">
        <v>151</v>
      </c>
      <c r="H20" s="121">
        <v>1</v>
      </c>
      <c r="I20" s="3"/>
      <c r="J20" s="3"/>
      <c r="K20" s="3"/>
    </row>
    <row r="21" spans="1:8" s="97" customFormat="1" ht="18" customHeight="1">
      <c r="A21" s="3"/>
      <c r="B21" s="166"/>
      <c r="C21" s="100" t="s">
        <v>257</v>
      </c>
      <c r="D21" s="167"/>
      <c r="E21" s="300" t="s">
        <v>252</v>
      </c>
      <c r="F21" s="301"/>
      <c r="G21" s="301"/>
      <c r="H21" s="305"/>
    </row>
    <row r="22" spans="2:8" s="3" customFormat="1" ht="54.75" customHeight="1">
      <c r="B22" s="98">
        <f>'Przedmiar D1'!B20+1</f>
        <v>44</v>
      </c>
      <c r="C22" s="133"/>
      <c r="D22" s="136"/>
      <c r="E22" s="140" t="s">
        <v>253</v>
      </c>
      <c r="F22" s="120" t="s">
        <v>121</v>
      </c>
      <c r="G22" s="151" t="s">
        <v>151</v>
      </c>
      <c r="H22" s="121">
        <v>1</v>
      </c>
    </row>
    <row r="23" spans="2:10" s="165" customFormat="1" ht="41.25" customHeight="1">
      <c r="B23" s="98">
        <f>B22+1</f>
        <v>45</v>
      </c>
      <c r="C23" s="133"/>
      <c r="D23" s="136"/>
      <c r="E23" s="140" t="s">
        <v>254</v>
      </c>
      <c r="F23" s="120" t="s">
        <v>245</v>
      </c>
      <c r="G23" s="151" t="s">
        <v>283</v>
      </c>
      <c r="H23" s="121">
        <v>22.39</v>
      </c>
      <c r="I23" s="176"/>
      <c r="J23" s="165">
        <f>6.54+15.85</f>
        <v>22.39</v>
      </c>
    </row>
    <row r="24" spans="2:8" s="3" customFormat="1" ht="14.25" customHeight="1">
      <c r="B24" s="168"/>
      <c r="C24" s="138" t="s">
        <v>308</v>
      </c>
      <c r="D24" s="169"/>
      <c r="E24" s="300" t="s">
        <v>309</v>
      </c>
      <c r="F24" s="301"/>
      <c r="G24" s="301"/>
      <c r="H24" s="302"/>
    </row>
    <row r="25" spans="2:10" s="97" customFormat="1" ht="51" customHeight="1" hidden="1">
      <c r="B25" s="98">
        <f>B23+1</f>
        <v>46</v>
      </c>
      <c r="C25" s="155"/>
      <c r="D25" s="170"/>
      <c r="E25" s="171" t="s">
        <v>274</v>
      </c>
      <c r="F25" s="172" t="s">
        <v>23</v>
      </c>
      <c r="G25" s="180" t="s">
        <v>246</v>
      </c>
      <c r="H25" s="181">
        <v>359.33</v>
      </c>
      <c r="J25" s="173"/>
    </row>
    <row r="26" spans="2:8" s="83" customFormat="1" ht="50.25" customHeight="1">
      <c r="B26" s="98">
        <f>B23+1</f>
        <v>46</v>
      </c>
      <c r="C26" s="6" t="s">
        <v>256</v>
      </c>
      <c r="D26" s="36"/>
      <c r="E26" s="126" t="s">
        <v>347</v>
      </c>
      <c r="F26" s="31" t="s">
        <v>23</v>
      </c>
      <c r="G26" s="25" t="s">
        <v>246</v>
      </c>
      <c r="H26" s="54">
        <v>359.33</v>
      </c>
    </row>
    <row r="27" spans="2:8" s="83" customFormat="1" ht="50.25" customHeight="1">
      <c r="B27" s="98">
        <f>B26+1</f>
        <v>47</v>
      </c>
      <c r="C27" s="98"/>
      <c r="D27" s="136"/>
      <c r="E27" s="140" t="s">
        <v>275</v>
      </c>
      <c r="F27" s="120" t="s">
        <v>23</v>
      </c>
      <c r="G27" s="151" t="s">
        <v>247</v>
      </c>
      <c r="H27" s="121">
        <v>1.84</v>
      </c>
    </row>
    <row r="28" spans="2:8" s="97" customFormat="1" ht="15">
      <c r="B28" s="141"/>
      <c r="C28" s="138" t="s">
        <v>38</v>
      </c>
      <c r="D28" s="143"/>
      <c r="E28" s="297" t="s">
        <v>21</v>
      </c>
      <c r="F28" s="298"/>
      <c r="G28" s="298"/>
      <c r="H28" s="299"/>
    </row>
    <row r="29" spans="2:8" s="97" customFormat="1" ht="15">
      <c r="B29" s="129"/>
      <c r="C29" s="152" t="s">
        <v>26</v>
      </c>
      <c r="D29" s="142"/>
      <c r="E29" s="300" t="s">
        <v>112</v>
      </c>
      <c r="F29" s="301"/>
      <c r="G29" s="301"/>
      <c r="H29" s="302"/>
    </row>
    <row r="30" spans="2:15" s="107" customFormat="1" ht="27" customHeight="1">
      <c r="B30" s="98">
        <f>B27+1</f>
        <v>48</v>
      </c>
      <c r="C30" s="177"/>
      <c r="D30" s="178"/>
      <c r="E30" s="179" t="s">
        <v>27</v>
      </c>
      <c r="F30" s="172" t="s">
        <v>24</v>
      </c>
      <c r="G30" s="139" t="s">
        <v>377</v>
      </c>
      <c r="H30" s="122">
        <v>500.41</v>
      </c>
      <c r="I30" s="84"/>
      <c r="J30" s="202">
        <f>(50.83+(212.47-156.83))*4.7</f>
        <v>500.40899999999993</v>
      </c>
      <c r="K30" s="206">
        <f>(310.95-228.47)*3.5</f>
        <v>288.67999999999995</v>
      </c>
      <c r="L30" s="202">
        <f>J30+K30</f>
        <v>789.0889999999999</v>
      </c>
      <c r="M30" s="215"/>
      <c r="N30" s="203"/>
      <c r="O30" s="215"/>
    </row>
    <row r="31" spans="2:13" s="3" customFormat="1" ht="15">
      <c r="B31" s="168"/>
      <c r="C31" s="138" t="s">
        <v>28</v>
      </c>
      <c r="D31" s="169"/>
      <c r="E31" s="300" t="s">
        <v>179</v>
      </c>
      <c r="F31" s="301"/>
      <c r="G31" s="301"/>
      <c r="H31" s="302"/>
      <c r="J31" s="192"/>
      <c r="K31" s="192"/>
      <c r="L31" s="192"/>
      <c r="M31" s="192"/>
    </row>
    <row r="32" spans="2:13" s="107" customFormat="1" ht="51" customHeight="1">
      <c r="B32" s="98">
        <f>B30+1</f>
        <v>49</v>
      </c>
      <c r="C32" s="155"/>
      <c r="D32" s="170"/>
      <c r="E32" s="171" t="s">
        <v>115</v>
      </c>
      <c r="F32" s="172" t="s">
        <v>24</v>
      </c>
      <c r="G32" s="180" t="s">
        <v>178</v>
      </c>
      <c r="H32" s="181">
        <v>393.94</v>
      </c>
      <c r="J32" s="202">
        <f>(50.83+(212.47-156.83))*3.7</f>
        <v>393.93899999999996</v>
      </c>
      <c r="K32" s="205">
        <v>0</v>
      </c>
      <c r="L32" s="203"/>
      <c r="M32" s="215"/>
    </row>
    <row r="33" spans="2:8" s="8" customFormat="1" ht="15">
      <c r="B33" s="9"/>
      <c r="C33" s="44" t="s">
        <v>39</v>
      </c>
      <c r="D33" s="30"/>
      <c r="E33" s="290" t="s">
        <v>10</v>
      </c>
      <c r="F33" s="303"/>
      <c r="G33" s="303"/>
      <c r="H33" s="304"/>
    </row>
    <row r="34" spans="2:8" s="2" customFormat="1" ht="15">
      <c r="B34" s="28"/>
      <c r="C34" s="11" t="s">
        <v>30</v>
      </c>
      <c r="D34" s="51"/>
      <c r="E34" s="294" t="s">
        <v>225</v>
      </c>
      <c r="F34" s="310"/>
      <c r="G34" s="310"/>
      <c r="H34" s="311"/>
    </row>
    <row r="35" spans="2:18" s="2" customFormat="1" ht="26.25">
      <c r="B35" s="12">
        <f>B32+1</f>
        <v>50</v>
      </c>
      <c r="C35" s="5"/>
      <c r="D35" s="33"/>
      <c r="E35" s="113" t="s">
        <v>31</v>
      </c>
      <c r="F35" s="42" t="s">
        <v>24</v>
      </c>
      <c r="G35" s="115" t="s">
        <v>378</v>
      </c>
      <c r="H35" s="55">
        <v>1448.44</v>
      </c>
      <c r="J35" s="2">
        <f>(310.95-16-16.5-(300-228.47))*(12-5)</f>
        <v>1448.4399999999998</v>
      </c>
      <c r="K35" s="2">
        <f>1949-1448.44</f>
        <v>500.55999999999995</v>
      </c>
      <c r="L35" s="13">
        <f>J35+K35</f>
        <v>1948.9999999999998</v>
      </c>
      <c r="M35" s="102"/>
      <c r="O35" s="215"/>
      <c r="R35" s="102"/>
    </row>
    <row r="36" spans="2:8" s="97" customFormat="1" ht="15">
      <c r="B36" s="141"/>
      <c r="C36" s="138" t="s">
        <v>310</v>
      </c>
      <c r="D36" s="143"/>
      <c r="E36" s="297" t="s">
        <v>311</v>
      </c>
      <c r="F36" s="308"/>
      <c r="G36" s="308"/>
      <c r="H36" s="309"/>
    </row>
    <row r="37" spans="2:8" s="3" customFormat="1" ht="15">
      <c r="B37" s="174"/>
      <c r="C37" s="96" t="s">
        <v>312</v>
      </c>
      <c r="D37" s="175"/>
      <c r="E37" s="300" t="s">
        <v>313</v>
      </c>
      <c r="F37" s="301"/>
      <c r="G37" s="301"/>
      <c r="H37" s="302"/>
    </row>
    <row r="38" spans="2:8" s="83" customFormat="1" ht="51.75" customHeight="1">
      <c r="B38" s="98">
        <f>B35+1</f>
        <v>51</v>
      </c>
      <c r="C38" s="98" t="s">
        <v>256</v>
      </c>
      <c r="D38" s="136"/>
      <c r="E38" s="140" t="s">
        <v>248</v>
      </c>
      <c r="F38" s="120" t="s">
        <v>249</v>
      </c>
      <c r="G38" s="151" t="s">
        <v>250</v>
      </c>
      <c r="H38" s="121">
        <v>155</v>
      </c>
    </row>
    <row r="39" spans="2:9" s="83" customFormat="1" ht="93.75" customHeight="1">
      <c r="B39" s="98">
        <f>B38+1</f>
        <v>52</v>
      </c>
      <c r="C39" s="133" t="s">
        <v>258</v>
      </c>
      <c r="D39" s="136"/>
      <c r="E39" s="140" t="s">
        <v>259</v>
      </c>
      <c r="F39" s="120" t="s">
        <v>6</v>
      </c>
      <c r="G39" s="151" t="s">
        <v>255</v>
      </c>
      <c r="H39" s="121">
        <v>17.1</v>
      </c>
      <c r="I39" s="84"/>
    </row>
    <row r="40" spans="2:9" s="8" customFormat="1" ht="15">
      <c r="B40" s="39"/>
      <c r="C40" s="44" t="s">
        <v>71</v>
      </c>
      <c r="D40" s="30"/>
      <c r="E40" s="290" t="s">
        <v>72</v>
      </c>
      <c r="F40" s="291"/>
      <c r="G40" s="292"/>
      <c r="H40" s="293"/>
      <c r="I40" s="13"/>
    </row>
    <row r="41" spans="2:9" s="2" customFormat="1" ht="15">
      <c r="B41" s="17"/>
      <c r="C41" s="10" t="s">
        <v>73</v>
      </c>
      <c r="D41" s="26"/>
      <c r="E41" s="294" t="s">
        <v>113</v>
      </c>
      <c r="F41" s="295"/>
      <c r="G41" s="295"/>
      <c r="H41" s="296"/>
      <c r="I41" s="13"/>
    </row>
    <row r="42" spans="2:12" s="8" customFormat="1" ht="40.5" customHeight="1">
      <c r="B42" s="6">
        <f>B39+1</f>
        <v>53</v>
      </c>
      <c r="C42" s="7"/>
      <c r="D42" s="36"/>
      <c r="E42" s="108" t="s">
        <v>175</v>
      </c>
      <c r="F42" s="31" t="s">
        <v>24</v>
      </c>
      <c r="G42" s="25" t="s">
        <v>176</v>
      </c>
      <c r="H42" s="54">
        <v>181</v>
      </c>
      <c r="J42" s="207">
        <f>(50.83+(212.47-156.83))*1.7</f>
        <v>180.99899999999997</v>
      </c>
      <c r="K42" s="200">
        <v>0</v>
      </c>
      <c r="L42" s="204"/>
    </row>
    <row r="43" spans="2:12" s="2" customFormat="1" ht="15">
      <c r="B43" s="39"/>
      <c r="C43" s="15" t="s">
        <v>123</v>
      </c>
      <c r="D43" s="27"/>
      <c r="E43" s="294" t="s">
        <v>124</v>
      </c>
      <c r="F43" s="295"/>
      <c r="G43" s="295"/>
      <c r="H43" s="296"/>
      <c r="I43" s="13"/>
      <c r="J43" s="204"/>
      <c r="K43" s="204"/>
      <c r="L43" s="204"/>
    </row>
    <row r="44" spans="2:16" s="8" customFormat="1" ht="51.75" customHeight="1">
      <c r="B44" s="6">
        <f>B42+1</f>
        <v>54</v>
      </c>
      <c r="C44" s="7"/>
      <c r="D44" s="36"/>
      <c r="E44" s="108" t="s">
        <v>174</v>
      </c>
      <c r="F44" s="31" t="s">
        <v>6</v>
      </c>
      <c r="G44" s="25" t="s">
        <v>379</v>
      </c>
      <c r="H44" s="54">
        <v>386</v>
      </c>
      <c r="J44" s="204">
        <f>(97.33-2)*2+(212.47-113.83-1)*2</f>
        <v>385.94</v>
      </c>
      <c r="K44" s="204">
        <f>(242.77-228.47)*2</f>
        <v>28.600000000000023</v>
      </c>
      <c r="L44" s="204">
        <f>J44+K44</f>
        <v>414.54</v>
      </c>
      <c r="M44" s="216"/>
      <c r="N44" s="204"/>
      <c r="O44" s="214"/>
      <c r="P44" s="213"/>
    </row>
    <row r="45" spans="2:12" s="8" customFormat="1" ht="15">
      <c r="B45" s="39"/>
      <c r="C45" s="44" t="s">
        <v>76</v>
      </c>
      <c r="D45" s="30"/>
      <c r="E45" s="290" t="s">
        <v>77</v>
      </c>
      <c r="F45" s="291"/>
      <c r="G45" s="292"/>
      <c r="H45" s="293"/>
      <c r="I45" s="13"/>
      <c r="J45" s="204"/>
      <c r="K45" s="204"/>
      <c r="L45" s="204"/>
    </row>
    <row r="46" spans="2:12" s="2" customFormat="1" ht="15">
      <c r="B46" s="17"/>
      <c r="C46" s="10" t="s">
        <v>78</v>
      </c>
      <c r="D46" s="26"/>
      <c r="E46" s="294" t="s">
        <v>114</v>
      </c>
      <c r="F46" s="295"/>
      <c r="G46" s="295"/>
      <c r="H46" s="296"/>
      <c r="I46" s="13"/>
      <c r="J46" s="204"/>
      <c r="K46" s="204"/>
      <c r="L46" s="204"/>
    </row>
    <row r="47" spans="2:12" s="8" customFormat="1" ht="66.75" customHeight="1">
      <c r="B47" s="6">
        <f>B44+1</f>
        <v>55</v>
      </c>
      <c r="C47" s="7"/>
      <c r="D47" s="36"/>
      <c r="E47" s="108" t="s">
        <v>235</v>
      </c>
      <c r="F47" s="31" t="s">
        <v>24</v>
      </c>
      <c r="G47" s="25" t="s">
        <v>395</v>
      </c>
      <c r="H47" s="54">
        <v>106.47</v>
      </c>
      <c r="J47" s="204">
        <f>(50.83+(212.47-156.83))*2</f>
        <v>212.93999999999997</v>
      </c>
      <c r="K47" s="200">
        <v>0</v>
      </c>
      <c r="L47" s="204"/>
    </row>
    <row r="48" spans="8:12" s="2" customFormat="1" ht="19.5" customHeight="1">
      <c r="H48" s="103"/>
      <c r="J48" s="204"/>
      <c r="K48" s="204"/>
      <c r="L48" s="204"/>
    </row>
    <row r="49" s="2" customFormat="1" ht="12.75">
      <c r="H49" s="102"/>
    </row>
  </sheetData>
  <sheetProtection/>
  <mergeCells count="29">
    <mergeCell ref="E13:H13"/>
    <mergeCell ref="E6:H6"/>
    <mergeCell ref="E8:H8"/>
    <mergeCell ref="B1:H1"/>
    <mergeCell ref="E5:H5"/>
    <mergeCell ref="F2:G2"/>
    <mergeCell ref="H2:H3"/>
    <mergeCell ref="B2:B3"/>
    <mergeCell ref="C2:C3"/>
    <mergeCell ref="D2:D3"/>
    <mergeCell ref="E2:E3"/>
    <mergeCell ref="E40:H40"/>
    <mergeCell ref="E37:H37"/>
    <mergeCell ref="E36:H36"/>
    <mergeCell ref="E34:H34"/>
    <mergeCell ref="E31:H31"/>
    <mergeCell ref="E28:H28"/>
    <mergeCell ref="E11:H11"/>
    <mergeCell ref="E10:H10"/>
    <mergeCell ref="E45:H45"/>
    <mergeCell ref="E46:H46"/>
    <mergeCell ref="E41:H41"/>
    <mergeCell ref="E43:H43"/>
    <mergeCell ref="E15:H15"/>
    <mergeCell ref="E16:H16"/>
    <mergeCell ref="E24:H24"/>
    <mergeCell ref="E33:H33"/>
    <mergeCell ref="E21:H21"/>
    <mergeCell ref="E29:H29"/>
  </mergeCells>
  <printOptions/>
  <pageMargins left="0.69" right="0.2362204724409449" top="0.6" bottom="0.3937007874015748" header="0.5118110236220472" footer="0.5118110236220472"/>
  <pageSetup firstPageNumber="7" useFirstPageNumber="1" horizontalDpi="600" verticalDpi="600" orientation="portrait" paperSize="9" scale="90" r:id="rId1"/>
  <headerFooter alignWithMargins="0">
    <oddFooter>&amp;R&amp;P</oddFooter>
  </headerFooter>
  <rowBreaks count="1" manualBreakCount="1">
    <brk id="2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B1" sqref="B1:H26"/>
    </sheetView>
  </sheetViews>
  <sheetFormatPr defaultColWidth="9.00390625" defaultRowHeight="12.75"/>
  <cols>
    <col min="1" max="1" width="5.875" style="0" customWidth="1"/>
    <col min="2" max="2" width="5.00390625" style="52" customWidth="1"/>
    <col min="3" max="3" width="11.125" style="52" customWidth="1"/>
    <col min="4" max="4" width="5.125" style="52" customWidth="1"/>
    <col min="5" max="5" width="35.625" style="52" customWidth="1"/>
    <col min="6" max="6" width="6.625" style="52" customWidth="1"/>
    <col min="7" max="7" width="18.50390625" style="52" customWidth="1"/>
    <col min="8" max="8" width="13.50390625" style="114" customWidth="1"/>
  </cols>
  <sheetData>
    <row r="1" spans="2:8" s="2" customFormat="1" ht="18.75" customHeight="1">
      <c r="B1" s="313" t="s">
        <v>118</v>
      </c>
      <c r="C1" s="313"/>
      <c r="D1" s="313"/>
      <c r="E1" s="313"/>
      <c r="F1" s="313"/>
      <c r="G1" s="313"/>
      <c r="H1" s="314"/>
    </row>
    <row r="2" spans="2:8" s="2" customFormat="1" ht="12.75" customHeight="1">
      <c r="B2" s="306" t="s">
        <v>0</v>
      </c>
      <c r="C2" s="319" t="s">
        <v>2</v>
      </c>
      <c r="D2" s="306"/>
      <c r="E2" s="306" t="s">
        <v>3</v>
      </c>
      <c r="F2" s="315" t="s">
        <v>1</v>
      </c>
      <c r="G2" s="316"/>
      <c r="H2" s="317" t="s">
        <v>150</v>
      </c>
    </row>
    <row r="3" spans="2:8" s="2" customFormat="1" ht="27" customHeight="1">
      <c r="B3" s="307"/>
      <c r="C3" s="320"/>
      <c r="D3" s="307"/>
      <c r="E3" s="307"/>
      <c r="F3" s="4" t="s">
        <v>149</v>
      </c>
      <c r="G3" s="4" t="s">
        <v>127</v>
      </c>
      <c r="H3" s="318"/>
    </row>
    <row r="4" spans="2:8" s="2" customFormat="1" ht="12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04">
        <v>7</v>
      </c>
    </row>
    <row r="5" spans="1:8" s="8" customFormat="1" ht="18" customHeight="1">
      <c r="A5" s="2"/>
      <c r="B5" s="40"/>
      <c r="C5" s="10" t="s">
        <v>33</v>
      </c>
      <c r="D5" s="26"/>
      <c r="E5" s="290" t="s">
        <v>9</v>
      </c>
      <c r="F5" s="312"/>
      <c r="G5" s="312"/>
      <c r="H5" s="293"/>
    </row>
    <row r="6" spans="2:8" s="61" customFormat="1" ht="18" customHeight="1">
      <c r="B6" s="6"/>
      <c r="C6" s="15" t="s">
        <v>171</v>
      </c>
      <c r="D6" s="27"/>
      <c r="E6" s="294" t="s">
        <v>226</v>
      </c>
      <c r="F6" s="310"/>
      <c r="G6" s="310"/>
      <c r="H6" s="296"/>
    </row>
    <row r="7" spans="2:11" s="2" customFormat="1" ht="26.25">
      <c r="B7" s="104">
        <f>'Przedmiar M2'!B66+1</f>
        <v>19</v>
      </c>
      <c r="C7" s="7"/>
      <c r="D7" s="36"/>
      <c r="E7" s="110" t="s">
        <v>172</v>
      </c>
      <c r="F7" s="29" t="s">
        <v>75</v>
      </c>
      <c r="G7" s="111" t="s">
        <v>373</v>
      </c>
      <c r="H7" s="38">
        <v>10</v>
      </c>
      <c r="I7" s="13"/>
      <c r="K7" s="189"/>
    </row>
    <row r="8" spans="2:8" s="61" customFormat="1" ht="18" customHeight="1">
      <c r="B8" s="6"/>
      <c r="C8" s="15" t="s">
        <v>34</v>
      </c>
      <c r="D8" s="27"/>
      <c r="E8" s="294" t="s">
        <v>109</v>
      </c>
      <c r="F8" s="310"/>
      <c r="G8" s="310"/>
      <c r="H8" s="296"/>
    </row>
    <row r="9" spans="2:12" s="2" customFormat="1" ht="26.25">
      <c r="B9" s="6">
        <f>B7+1</f>
        <v>20</v>
      </c>
      <c r="C9" s="7"/>
      <c r="D9" s="36"/>
      <c r="E9" s="110" t="s">
        <v>173</v>
      </c>
      <c r="F9" s="29" t="s">
        <v>23</v>
      </c>
      <c r="G9" s="111" t="s">
        <v>380</v>
      </c>
      <c r="H9" s="38">
        <v>82.48</v>
      </c>
      <c r="I9" s="13"/>
      <c r="K9" s="189"/>
      <c r="L9" s="13"/>
    </row>
    <row r="10" spans="2:9" s="8" customFormat="1" ht="15">
      <c r="B10" s="30"/>
      <c r="C10" s="15" t="s">
        <v>35</v>
      </c>
      <c r="D10" s="27"/>
      <c r="E10" s="290" t="s">
        <v>11</v>
      </c>
      <c r="F10" s="312"/>
      <c r="G10" s="312"/>
      <c r="H10" s="293"/>
      <c r="I10" s="13"/>
    </row>
    <row r="11" spans="2:9" s="2" customFormat="1" ht="15">
      <c r="B11" s="39"/>
      <c r="C11" s="15" t="s">
        <v>36</v>
      </c>
      <c r="D11" s="23"/>
      <c r="E11" s="294" t="s">
        <v>110</v>
      </c>
      <c r="F11" s="310"/>
      <c r="G11" s="310"/>
      <c r="H11" s="296"/>
      <c r="I11" s="13"/>
    </row>
    <row r="12" spans="2:11" s="8" customFormat="1" ht="27.75" customHeight="1">
      <c r="B12" s="6">
        <f>B9+1</f>
        <v>21</v>
      </c>
      <c r="C12" s="7"/>
      <c r="D12" s="41"/>
      <c r="E12" s="16" t="s">
        <v>74</v>
      </c>
      <c r="F12" s="29" t="s">
        <v>23</v>
      </c>
      <c r="G12" s="111" t="s">
        <v>381</v>
      </c>
      <c r="H12" s="38">
        <v>3.85</v>
      </c>
      <c r="I12" s="13"/>
      <c r="K12" s="198"/>
    </row>
    <row r="13" spans="2:8" s="2" customFormat="1" ht="15">
      <c r="B13" s="39"/>
      <c r="C13" s="15" t="s">
        <v>37</v>
      </c>
      <c r="D13" s="27"/>
      <c r="E13" s="294" t="s">
        <v>111</v>
      </c>
      <c r="F13" s="310"/>
      <c r="G13" s="310"/>
      <c r="H13" s="296"/>
    </row>
    <row r="14" spans="2:12" s="61" customFormat="1" ht="27.75" customHeight="1">
      <c r="B14" s="6">
        <f>B12+1</f>
        <v>22</v>
      </c>
      <c r="C14" s="34"/>
      <c r="D14" s="48"/>
      <c r="E14" s="16" t="s">
        <v>342</v>
      </c>
      <c r="F14" s="29" t="s">
        <v>23</v>
      </c>
      <c r="G14" s="115" t="s">
        <v>382</v>
      </c>
      <c r="H14" s="55">
        <v>110.38</v>
      </c>
      <c r="I14" s="47"/>
      <c r="J14" s="201"/>
      <c r="K14" s="200"/>
      <c r="L14" s="199"/>
    </row>
    <row r="15" spans="2:8" s="97" customFormat="1" ht="15">
      <c r="B15" s="141"/>
      <c r="C15" s="138" t="s">
        <v>38</v>
      </c>
      <c r="D15" s="143"/>
      <c r="E15" s="297" t="s">
        <v>21</v>
      </c>
      <c r="F15" s="298"/>
      <c r="G15" s="298"/>
      <c r="H15" s="299"/>
    </row>
    <row r="16" spans="2:8" s="97" customFormat="1" ht="15">
      <c r="B16" s="129"/>
      <c r="C16" s="152" t="s">
        <v>26</v>
      </c>
      <c r="D16" s="142"/>
      <c r="E16" s="300" t="s">
        <v>112</v>
      </c>
      <c r="F16" s="301"/>
      <c r="G16" s="301"/>
      <c r="H16" s="302"/>
    </row>
    <row r="17" spans="2:13" s="107" customFormat="1" ht="27" customHeight="1">
      <c r="B17" s="98">
        <f>B14+1</f>
        <v>23</v>
      </c>
      <c r="C17" s="177"/>
      <c r="D17" s="178"/>
      <c r="E17" s="179" t="s">
        <v>27</v>
      </c>
      <c r="F17" s="172" t="s">
        <v>24</v>
      </c>
      <c r="G17" s="139" t="s">
        <v>383</v>
      </c>
      <c r="H17" s="122">
        <v>288.68</v>
      </c>
      <c r="I17" s="84"/>
      <c r="J17" s="202"/>
      <c r="K17" s="206"/>
      <c r="L17" s="202"/>
      <c r="M17" s="203"/>
    </row>
    <row r="18" spans="2:13" s="8" customFormat="1" ht="15">
      <c r="B18" s="49"/>
      <c r="C18" s="15" t="s">
        <v>29</v>
      </c>
      <c r="D18" s="46"/>
      <c r="E18" s="290" t="s">
        <v>22</v>
      </c>
      <c r="F18" s="312"/>
      <c r="G18" s="312"/>
      <c r="H18" s="321"/>
      <c r="J18" s="204"/>
      <c r="K18" s="204"/>
      <c r="L18" s="204"/>
      <c r="M18" s="204"/>
    </row>
    <row r="19" spans="2:13" s="2" customFormat="1" ht="15">
      <c r="B19" s="39"/>
      <c r="C19" s="15" t="s">
        <v>116</v>
      </c>
      <c r="D19" s="46"/>
      <c r="E19" s="294" t="s">
        <v>117</v>
      </c>
      <c r="F19" s="310"/>
      <c r="G19" s="310"/>
      <c r="H19" s="311"/>
      <c r="J19" s="204"/>
      <c r="K19" s="204"/>
      <c r="L19" s="204"/>
      <c r="M19" s="204"/>
    </row>
    <row r="20" spans="2:13" s="61" customFormat="1" ht="52.5">
      <c r="B20" s="6">
        <f>B17+1</f>
        <v>24</v>
      </c>
      <c r="C20" s="32"/>
      <c r="D20" s="50"/>
      <c r="E20" s="112" t="s">
        <v>348</v>
      </c>
      <c r="F20" s="20" t="s">
        <v>24</v>
      </c>
      <c r="G20" s="111" t="s">
        <v>329</v>
      </c>
      <c r="H20" s="38">
        <v>250.36</v>
      </c>
      <c r="J20" s="201"/>
      <c r="K20" s="201"/>
      <c r="L20" s="201"/>
      <c r="M20" s="199"/>
    </row>
    <row r="21" spans="2:8" s="8" customFormat="1" ht="15">
      <c r="B21" s="9"/>
      <c r="C21" s="10" t="s">
        <v>39</v>
      </c>
      <c r="D21" s="26"/>
      <c r="E21" s="290" t="s">
        <v>10</v>
      </c>
      <c r="F21" s="303"/>
      <c r="G21" s="303"/>
      <c r="H21" s="304"/>
    </row>
    <row r="22" spans="2:8" s="2" customFormat="1" ht="15">
      <c r="B22" s="28"/>
      <c r="C22" s="11" t="s">
        <v>30</v>
      </c>
      <c r="D22" s="51"/>
      <c r="E22" s="294" t="s">
        <v>225</v>
      </c>
      <c r="F22" s="310"/>
      <c r="G22" s="310"/>
      <c r="H22" s="311"/>
    </row>
    <row r="23" spans="2:12" s="2" customFormat="1" ht="26.25">
      <c r="B23" s="12">
        <f>B20+1</f>
        <v>25</v>
      </c>
      <c r="C23" s="5"/>
      <c r="D23" s="33"/>
      <c r="E23" s="113" t="s">
        <v>31</v>
      </c>
      <c r="F23" s="42" t="s">
        <v>24</v>
      </c>
      <c r="G23" s="115" t="s">
        <v>393</v>
      </c>
      <c r="H23" s="55">
        <v>500.56</v>
      </c>
      <c r="L23" s="13"/>
    </row>
    <row r="24" spans="2:9" s="8" customFormat="1" ht="15">
      <c r="B24" s="39"/>
      <c r="C24" s="44" t="s">
        <v>71</v>
      </c>
      <c r="D24" s="30"/>
      <c r="E24" s="290" t="s">
        <v>72</v>
      </c>
      <c r="F24" s="291"/>
      <c r="G24" s="292"/>
      <c r="H24" s="293"/>
      <c r="I24" s="13"/>
    </row>
    <row r="25" spans="2:12" s="2" customFormat="1" ht="15">
      <c r="B25" s="39"/>
      <c r="C25" s="15" t="s">
        <v>123</v>
      </c>
      <c r="D25" s="27"/>
      <c r="E25" s="294" t="s">
        <v>124</v>
      </c>
      <c r="F25" s="295"/>
      <c r="G25" s="295"/>
      <c r="H25" s="296"/>
      <c r="I25" s="13"/>
      <c r="J25" s="204"/>
      <c r="K25" s="204"/>
      <c r="L25" s="204"/>
    </row>
    <row r="26" spans="2:13" s="8" customFormat="1" ht="51.75" customHeight="1">
      <c r="B26" s="6">
        <f>B23+1</f>
        <v>26</v>
      </c>
      <c r="C26" s="7"/>
      <c r="D26" s="36"/>
      <c r="E26" s="108" t="s">
        <v>174</v>
      </c>
      <c r="F26" s="31" t="s">
        <v>6</v>
      </c>
      <c r="G26" s="25" t="s">
        <v>394</v>
      </c>
      <c r="H26" s="54">
        <v>29</v>
      </c>
      <c r="J26" s="204"/>
      <c r="K26" s="204"/>
      <c r="L26" s="204"/>
      <c r="M26" s="200"/>
    </row>
    <row r="27" spans="8:12" s="2" customFormat="1" ht="19.5" customHeight="1">
      <c r="H27" s="103"/>
      <c r="J27" s="204"/>
      <c r="K27" s="204"/>
      <c r="L27" s="204"/>
    </row>
    <row r="28" s="2" customFormat="1" ht="12.75">
      <c r="H28" s="102"/>
    </row>
  </sheetData>
  <sheetProtection/>
  <mergeCells count="21">
    <mergeCell ref="C2:C3"/>
    <mergeCell ref="D2:D3"/>
    <mergeCell ref="E2:E3"/>
    <mergeCell ref="E18:H18"/>
    <mergeCell ref="E16:H16"/>
    <mergeCell ref="E8:H8"/>
    <mergeCell ref="E25:H25"/>
    <mergeCell ref="E24:H24"/>
    <mergeCell ref="E19:H19"/>
    <mergeCell ref="E22:H22"/>
    <mergeCell ref="E21:H21"/>
    <mergeCell ref="B1:H1"/>
    <mergeCell ref="E5:H5"/>
    <mergeCell ref="F2:G2"/>
    <mergeCell ref="H2:H3"/>
    <mergeCell ref="B2:B3"/>
    <mergeCell ref="E15:H15"/>
    <mergeCell ref="E11:H11"/>
    <mergeCell ref="E10:H10"/>
    <mergeCell ref="E13:H13"/>
    <mergeCell ref="E6:H6"/>
  </mergeCells>
  <printOptions/>
  <pageMargins left="0.69" right="0.2362204724409449" top="0.6" bottom="0.3937007874015748" header="0.5118110236220472" footer="0.5118110236220472"/>
  <pageSetup firstPageNumber="6" useFirstPageNumber="1" horizontalDpi="600" verticalDpi="6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30"/>
  <sheetViews>
    <sheetView view="pageBreakPreview" zoomScaleSheetLayoutView="100" zoomScalePageLayoutView="0" workbookViewId="0" topLeftCell="B1">
      <selection activeCell="B1" sqref="B1:H30"/>
    </sheetView>
  </sheetViews>
  <sheetFormatPr defaultColWidth="9.00390625" defaultRowHeight="12.75"/>
  <cols>
    <col min="1" max="1" width="2.375" style="0" hidden="1" customWidth="1"/>
    <col min="2" max="2" width="5.00390625" style="1" customWidth="1"/>
    <col min="3" max="3" width="11.375" style="52" customWidth="1"/>
    <col min="4" max="4" width="5.50390625" style="52" customWidth="1"/>
    <col min="5" max="5" width="53.50390625" style="52" customWidth="1"/>
    <col min="6" max="6" width="6.625" style="52" customWidth="1"/>
    <col min="7" max="7" width="10.625" style="52" customWidth="1"/>
    <col min="8" max="8" width="10.00390625" style="52" customWidth="1"/>
  </cols>
  <sheetData>
    <row r="1" spans="2:8" ht="21" customHeight="1">
      <c r="B1" s="335" t="s">
        <v>126</v>
      </c>
      <c r="C1" s="335"/>
      <c r="D1" s="335"/>
      <c r="E1" s="335"/>
      <c r="F1" s="335"/>
      <c r="G1" s="335"/>
      <c r="H1" s="335"/>
    </row>
    <row r="2" spans="2:8" s="2" customFormat="1" ht="12.75" customHeight="1">
      <c r="B2" s="306" t="s">
        <v>0</v>
      </c>
      <c r="C2" s="319" t="s">
        <v>2</v>
      </c>
      <c r="D2" s="306"/>
      <c r="E2" s="306" t="s">
        <v>3</v>
      </c>
      <c r="F2" s="315" t="s">
        <v>1</v>
      </c>
      <c r="G2" s="316"/>
      <c r="H2" s="306" t="s">
        <v>150</v>
      </c>
    </row>
    <row r="3" spans="2:8" s="2" customFormat="1" ht="27" customHeight="1">
      <c r="B3" s="307"/>
      <c r="C3" s="320"/>
      <c r="D3" s="307"/>
      <c r="E3" s="307"/>
      <c r="F3" s="4" t="s">
        <v>149</v>
      </c>
      <c r="G3" s="4" t="s">
        <v>127</v>
      </c>
      <c r="H3" s="307"/>
    </row>
    <row r="4" spans="2:8" s="2" customFormat="1" ht="12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ht="15" customHeight="1">
      <c r="B5" s="68"/>
      <c r="C5" s="44" t="s">
        <v>128</v>
      </c>
      <c r="D5" s="68"/>
      <c r="E5" s="101" t="s">
        <v>129</v>
      </c>
      <c r="F5" s="69"/>
      <c r="G5" s="69"/>
      <c r="H5" s="94"/>
    </row>
    <row r="6" spans="2:8" s="59" customFormat="1" ht="15">
      <c r="B6" s="14"/>
      <c r="C6" s="44" t="s">
        <v>130</v>
      </c>
      <c r="D6" s="22"/>
      <c r="E6" s="294" t="s">
        <v>184</v>
      </c>
      <c r="F6" s="310"/>
      <c r="G6" s="310"/>
      <c r="H6" s="311"/>
    </row>
    <row r="7" spans="2:8" ht="12.75">
      <c r="B7" s="45"/>
      <c r="C7" s="56" t="s">
        <v>236</v>
      </c>
      <c r="D7" s="7"/>
      <c r="E7" s="294" t="s">
        <v>131</v>
      </c>
      <c r="F7" s="329"/>
      <c r="G7" s="329"/>
      <c r="H7" s="330"/>
    </row>
    <row r="8" spans="2:10" ht="38.25" customHeight="1">
      <c r="B8" s="159" t="s">
        <v>390</v>
      </c>
      <c r="C8" s="65"/>
      <c r="D8" s="7"/>
      <c r="E8" s="70" t="s">
        <v>133</v>
      </c>
      <c r="F8" s="20" t="s">
        <v>108</v>
      </c>
      <c r="G8" s="71" t="s">
        <v>188</v>
      </c>
      <c r="H8" s="117">
        <v>0.09</v>
      </c>
      <c r="J8" s="196"/>
    </row>
    <row r="9" spans="2:10" ht="26.25" customHeight="1">
      <c r="B9" s="159"/>
      <c r="C9" s="65" t="s">
        <v>237</v>
      </c>
      <c r="D9" s="72"/>
      <c r="E9" s="294" t="s">
        <v>134</v>
      </c>
      <c r="F9" s="329"/>
      <c r="G9" s="329"/>
      <c r="H9" s="330"/>
      <c r="J9" s="73"/>
    </row>
    <row r="10" spans="2:10" ht="39">
      <c r="B10" s="159">
        <f>B8+1</f>
        <v>58</v>
      </c>
      <c r="C10" s="156"/>
      <c r="D10" s="37"/>
      <c r="E10" s="63" t="s">
        <v>136</v>
      </c>
      <c r="F10" s="74" t="s">
        <v>108</v>
      </c>
      <c r="G10" s="71" t="s">
        <v>188</v>
      </c>
      <c r="H10" s="116">
        <v>0.09</v>
      </c>
      <c r="J10" s="209"/>
    </row>
    <row r="11" spans="2:10" ht="26.25">
      <c r="B11" s="160">
        <f>B10+1</f>
        <v>59</v>
      </c>
      <c r="C11" s="156"/>
      <c r="D11" s="37"/>
      <c r="E11" s="63" t="s">
        <v>137</v>
      </c>
      <c r="F11" s="74" t="s">
        <v>108</v>
      </c>
      <c r="G11" s="71" t="s">
        <v>188</v>
      </c>
      <c r="H11" s="116">
        <v>0.09</v>
      </c>
      <c r="J11" s="209"/>
    </row>
    <row r="12" spans="2:10" s="85" customFormat="1" ht="18" customHeight="1">
      <c r="B12" s="160">
        <f>B11+1</f>
        <v>60</v>
      </c>
      <c r="C12" s="157"/>
      <c r="D12" s="19"/>
      <c r="E12" s="75" t="s">
        <v>138</v>
      </c>
      <c r="F12" s="24" t="s">
        <v>139</v>
      </c>
      <c r="G12" s="76" t="s">
        <v>330</v>
      </c>
      <c r="H12" s="54">
        <v>4</v>
      </c>
      <c r="J12" s="209"/>
    </row>
    <row r="13" spans="2:10" ht="17.25" customHeight="1">
      <c r="B13" s="161"/>
      <c r="C13" s="4"/>
      <c r="D13" s="67"/>
      <c r="E13" s="294" t="s">
        <v>140</v>
      </c>
      <c r="F13" s="329"/>
      <c r="G13" s="336"/>
      <c r="H13" s="337"/>
      <c r="J13" s="73"/>
    </row>
    <row r="14" spans="2:10" s="85" customFormat="1" ht="13.5">
      <c r="B14" s="160">
        <f>B12+1</f>
        <v>61</v>
      </c>
      <c r="C14" s="65"/>
      <c r="D14" s="67"/>
      <c r="E14" s="70" t="s">
        <v>141</v>
      </c>
      <c r="F14" s="66" t="s">
        <v>25</v>
      </c>
      <c r="G14" s="77" t="s">
        <v>384</v>
      </c>
      <c r="H14" s="54">
        <v>8</v>
      </c>
      <c r="J14" s="95"/>
    </row>
    <row r="15" spans="2:8" ht="12.75">
      <c r="B15" s="161"/>
      <c r="C15" s="158"/>
      <c r="D15" s="12"/>
      <c r="E15" s="294" t="s">
        <v>142</v>
      </c>
      <c r="F15" s="329"/>
      <c r="G15" s="336"/>
      <c r="H15" s="337"/>
    </row>
    <row r="16" spans="2:10" ht="27" customHeight="1">
      <c r="B16" s="160">
        <f>B14+1</f>
        <v>62</v>
      </c>
      <c r="C16" s="156"/>
      <c r="D16" s="37"/>
      <c r="E16" s="63" t="s">
        <v>332</v>
      </c>
      <c r="F16" s="74" t="s">
        <v>108</v>
      </c>
      <c r="G16" s="71" t="s">
        <v>331</v>
      </c>
      <c r="H16" s="116">
        <v>0.2</v>
      </c>
      <c r="J16" s="196"/>
    </row>
    <row r="17" spans="2:10" s="85" customFormat="1" ht="26.25">
      <c r="B17" s="160">
        <f>B16+1</f>
        <v>63</v>
      </c>
      <c r="C17" s="157"/>
      <c r="D17" s="19"/>
      <c r="E17" s="75" t="s">
        <v>143</v>
      </c>
      <c r="F17" s="24" t="s">
        <v>25</v>
      </c>
      <c r="G17" s="76" t="s">
        <v>167</v>
      </c>
      <c r="H17" s="53">
        <v>4</v>
      </c>
      <c r="J17" s="196"/>
    </row>
    <row r="18" spans="1:8" s="87" customFormat="1" ht="18" customHeight="1">
      <c r="A18" s="61"/>
      <c r="B18" s="162"/>
      <c r="C18" s="15" t="s">
        <v>239</v>
      </c>
      <c r="D18" s="27"/>
      <c r="E18" s="294" t="s">
        <v>98</v>
      </c>
      <c r="F18" s="310"/>
      <c r="G18" s="310"/>
      <c r="H18" s="334"/>
    </row>
    <row r="19" spans="2:8" s="35" customFormat="1" ht="18" customHeight="1">
      <c r="B19" s="163"/>
      <c r="C19" s="7" t="s">
        <v>240</v>
      </c>
      <c r="D19" s="60"/>
      <c r="E19" s="331" t="s">
        <v>98</v>
      </c>
      <c r="F19" s="332" t="s">
        <v>8</v>
      </c>
      <c r="G19" s="332" t="s">
        <v>8</v>
      </c>
      <c r="H19" s="333" t="s">
        <v>8</v>
      </c>
    </row>
    <row r="20" spans="2:11" s="2" customFormat="1" ht="26.25">
      <c r="B20" s="160">
        <f>B17+1</f>
        <v>64</v>
      </c>
      <c r="C20" s="118"/>
      <c r="D20" s="18"/>
      <c r="E20" s="118" t="s">
        <v>99</v>
      </c>
      <c r="F20" s="24" t="s">
        <v>23</v>
      </c>
      <c r="G20" s="76" t="s">
        <v>385</v>
      </c>
      <c r="H20" s="53">
        <v>316.8</v>
      </c>
      <c r="J20" s="35"/>
      <c r="K20" s="189"/>
    </row>
    <row r="21" spans="2:8" s="8" customFormat="1" ht="15">
      <c r="B21" s="162"/>
      <c r="C21" s="10" t="s">
        <v>180</v>
      </c>
      <c r="D21" s="78"/>
      <c r="E21" s="290" t="s">
        <v>144</v>
      </c>
      <c r="F21" s="312"/>
      <c r="G21" s="338"/>
      <c r="H21" s="339"/>
    </row>
    <row r="22" spans="2:8" s="8" customFormat="1" ht="15">
      <c r="B22" s="162"/>
      <c r="C22" s="79" t="s">
        <v>181</v>
      </c>
      <c r="D22" s="80"/>
      <c r="E22" s="294" t="s">
        <v>185</v>
      </c>
      <c r="F22" s="310"/>
      <c r="G22" s="310"/>
      <c r="H22" s="311"/>
    </row>
    <row r="23" spans="2:10" s="35" customFormat="1" ht="27" customHeight="1">
      <c r="B23" s="160">
        <f>B20+1</f>
        <v>65</v>
      </c>
      <c r="C23" s="43"/>
      <c r="D23" s="6"/>
      <c r="E23" s="43" t="s">
        <v>145</v>
      </c>
      <c r="F23" s="74" t="s">
        <v>148</v>
      </c>
      <c r="G23" s="25" t="s">
        <v>168</v>
      </c>
      <c r="H23" s="54">
        <v>2</v>
      </c>
      <c r="J23" s="189"/>
    </row>
    <row r="24" spans="2:10" s="35" customFormat="1" ht="25.5" customHeight="1">
      <c r="B24" s="160">
        <f>B23+1</f>
        <v>66</v>
      </c>
      <c r="C24" s="112"/>
      <c r="D24" s="18"/>
      <c r="E24" s="81" t="s">
        <v>333</v>
      </c>
      <c r="F24" s="24" t="s">
        <v>148</v>
      </c>
      <c r="G24" s="76" t="s">
        <v>168</v>
      </c>
      <c r="H24" s="53">
        <v>2</v>
      </c>
      <c r="J24" s="189"/>
    </row>
    <row r="25" spans="2:8" ht="18.75" customHeight="1">
      <c r="B25" s="188"/>
      <c r="C25" s="15" t="s">
        <v>182</v>
      </c>
      <c r="D25" s="68"/>
      <c r="E25" s="322" t="s">
        <v>238</v>
      </c>
      <c r="F25" s="323"/>
      <c r="G25" s="325"/>
      <c r="H25" s="326"/>
    </row>
    <row r="26" spans="2:8" s="59" customFormat="1" ht="15">
      <c r="B26" s="162"/>
      <c r="C26" s="79" t="s">
        <v>183</v>
      </c>
      <c r="D26" s="82"/>
      <c r="E26" s="294" t="s">
        <v>186</v>
      </c>
      <c r="F26" s="310"/>
      <c r="G26" s="327"/>
      <c r="H26" s="328"/>
    </row>
    <row r="27" spans="2:11" s="85" customFormat="1" ht="39">
      <c r="B27" s="160">
        <f>B24+1</f>
        <v>67</v>
      </c>
      <c r="C27" s="156"/>
      <c r="D27" s="37"/>
      <c r="E27" s="75" t="s">
        <v>169</v>
      </c>
      <c r="F27" s="119" t="s">
        <v>121</v>
      </c>
      <c r="G27" s="25" t="s">
        <v>168</v>
      </c>
      <c r="H27" s="54">
        <v>2</v>
      </c>
      <c r="J27" s="196"/>
      <c r="K27" s="196"/>
    </row>
    <row r="28" spans="2:11" s="85" customFormat="1" ht="26.25">
      <c r="B28" s="160">
        <f>B27+1</f>
        <v>68</v>
      </c>
      <c r="C28" s="156"/>
      <c r="D28" s="37"/>
      <c r="E28" s="75" t="s">
        <v>170</v>
      </c>
      <c r="F28" s="119" t="s">
        <v>121</v>
      </c>
      <c r="G28" s="25" t="s">
        <v>168</v>
      </c>
      <c r="H28" s="54">
        <v>2</v>
      </c>
      <c r="J28" s="196"/>
      <c r="K28" s="196"/>
    </row>
    <row r="29" spans="2:11" ht="17.25" customHeight="1">
      <c r="B29" s="188"/>
      <c r="C29" s="44"/>
      <c r="D29" s="68"/>
      <c r="E29" s="322" t="s">
        <v>327</v>
      </c>
      <c r="F29" s="323"/>
      <c r="G29" s="323"/>
      <c r="H29" s="324"/>
      <c r="I29" s="190"/>
      <c r="J29" s="196"/>
      <c r="K29" s="196"/>
    </row>
    <row r="30" spans="2:11" s="85" customFormat="1" ht="63" customHeight="1">
      <c r="B30" s="160">
        <f>B28+1</f>
        <v>69</v>
      </c>
      <c r="C30" s="64"/>
      <c r="D30" s="37"/>
      <c r="E30" s="75" t="s">
        <v>328</v>
      </c>
      <c r="F30" s="119" t="s">
        <v>148</v>
      </c>
      <c r="G30" s="76" t="s">
        <v>151</v>
      </c>
      <c r="H30" s="54">
        <v>1</v>
      </c>
      <c r="I30" s="208"/>
      <c r="J30" s="196"/>
      <c r="K30" s="196"/>
    </row>
  </sheetData>
  <sheetProtection/>
  <mergeCells count="19">
    <mergeCell ref="B1:H1"/>
    <mergeCell ref="E22:H22"/>
    <mergeCell ref="E13:H13"/>
    <mergeCell ref="E15:H15"/>
    <mergeCell ref="E21:H21"/>
    <mergeCell ref="E9:H9"/>
    <mergeCell ref="F2:G2"/>
    <mergeCell ref="H2:H3"/>
    <mergeCell ref="B2:B3"/>
    <mergeCell ref="C2:C3"/>
    <mergeCell ref="D2:D3"/>
    <mergeCell ref="E2:E3"/>
    <mergeCell ref="E29:H29"/>
    <mergeCell ref="E25:H25"/>
    <mergeCell ref="E26:H26"/>
    <mergeCell ref="E6:H6"/>
    <mergeCell ref="E7:H7"/>
    <mergeCell ref="E19:H19"/>
    <mergeCell ref="E18:H18"/>
  </mergeCells>
  <printOptions/>
  <pageMargins left="0.71" right="0.15748031496062992" top="0.7086614173228347" bottom="0.5905511811023623" header="0.5118110236220472" footer="0.5118110236220472"/>
  <pageSetup firstPageNumber="9" useFirstPageNumber="1" horizontalDpi="600" verticalDpi="600" orientation="portrait" paperSize="9" scale="90" r:id="rId1"/>
  <headerFooter alignWithMargins="0">
    <oddFooter>&amp;R&amp;P</oddFooter>
  </headerFooter>
  <rowBreaks count="1" manualBreakCount="1">
    <brk id="34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6"/>
  <sheetViews>
    <sheetView view="pageBreakPreview" zoomScale="50" zoomScaleSheetLayoutView="50" zoomScalePageLayoutView="0" workbookViewId="0" topLeftCell="B1">
      <selection activeCell="B1" sqref="B1:H16"/>
    </sheetView>
  </sheetViews>
  <sheetFormatPr defaultColWidth="9.00390625" defaultRowHeight="12.75"/>
  <cols>
    <col min="1" max="1" width="2.375" style="0" hidden="1" customWidth="1"/>
    <col min="2" max="2" width="5.00390625" style="52" customWidth="1"/>
    <col min="3" max="3" width="11.375" style="52" customWidth="1"/>
    <col min="4" max="4" width="5.50390625" style="52" customWidth="1"/>
    <col min="5" max="5" width="53.50390625" style="52" customWidth="1"/>
    <col min="6" max="6" width="6.625" style="52" customWidth="1"/>
    <col min="7" max="7" width="10.625" style="52" customWidth="1"/>
    <col min="8" max="8" width="10.00390625" style="52" customWidth="1"/>
  </cols>
  <sheetData>
    <row r="1" spans="2:8" ht="21" customHeight="1">
      <c r="B1" s="335" t="s">
        <v>126</v>
      </c>
      <c r="C1" s="335"/>
      <c r="D1" s="335"/>
      <c r="E1" s="335"/>
      <c r="F1" s="335"/>
      <c r="G1" s="335"/>
      <c r="H1" s="335"/>
    </row>
    <row r="2" spans="2:8" s="2" customFormat="1" ht="12.75" customHeight="1">
      <c r="B2" s="306" t="s">
        <v>0</v>
      </c>
      <c r="C2" s="319" t="s">
        <v>2</v>
      </c>
      <c r="D2" s="306"/>
      <c r="E2" s="306" t="s">
        <v>3</v>
      </c>
      <c r="F2" s="315" t="s">
        <v>1</v>
      </c>
      <c r="G2" s="316"/>
      <c r="H2" s="306" t="s">
        <v>150</v>
      </c>
    </row>
    <row r="3" spans="2:8" s="2" customFormat="1" ht="27" customHeight="1">
      <c r="B3" s="307"/>
      <c r="C3" s="320"/>
      <c r="D3" s="307"/>
      <c r="E3" s="307"/>
      <c r="F3" s="4" t="s">
        <v>149</v>
      </c>
      <c r="G3" s="4" t="s">
        <v>127</v>
      </c>
      <c r="H3" s="307"/>
    </row>
    <row r="4" spans="2:8" s="2" customFormat="1" ht="12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ht="15" customHeight="1">
      <c r="B5" s="68"/>
      <c r="C5" s="44" t="s">
        <v>128</v>
      </c>
      <c r="D5" s="68"/>
      <c r="E5" s="322" t="s">
        <v>129</v>
      </c>
      <c r="F5" s="340"/>
      <c r="G5" s="340"/>
      <c r="H5" s="341"/>
    </row>
    <row r="6" spans="2:8" s="59" customFormat="1" ht="15">
      <c r="B6" s="14"/>
      <c r="C6" s="44" t="s">
        <v>130</v>
      </c>
      <c r="D6" s="22"/>
      <c r="E6" s="294" t="s">
        <v>184</v>
      </c>
      <c r="F6" s="310"/>
      <c r="G6" s="310"/>
      <c r="H6" s="311"/>
    </row>
    <row r="7" spans="2:8" ht="12.75">
      <c r="B7" s="45"/>
      <c r="C7" s="56" t="s">
        <v>236</v>
      </c>
      <c r="D7" s="7"/>
      <c r="E7" s="294" t="s">
        <v>131</v>
      </c>
      <c r="F7" s="329"/>
      <c r="G7" s="329"/>
      <c r="H7" s="330"/>
    </row>
    <row r="8" spans="2:10" s="85" customFormat="1" ht="27" customHeight="1">
      <c r="B8" s="217">
        <f>'Przedmiar D2'!B26+1</f>
        <v>27</v>
      </c>
      <c r="C8" s="65"/>
      <c r="D8" s="7"/>
      <c r="E8" s="70" t="s">
        <v>132</v>
      </c>
      <c r="F8" s="20" t="s">
        <v>108</v>
      </c>
      <c r="G8" s="71" t="s">
        <v>187</v>
      </c>
      <c r="H8" s="116">
        <v>0.045</v>
      </c>
      <c r="J8" s="196"/>
    </row>
    <row r="9" spans="2:10" ht="26.25" customHeight="1">
      <c r="B9" s="218"/>
      <c r="C9" s="65" t="s">
        <v>237</v>
      </c>
      <c r="D9" s="72"/>
      <c r="E9" s="294" t="s">
        <v>134</v>
      </c>
      <c r="F9" s="329"/>
      <c r="G9" s="329"/>
      <c r="H9" s="330"/>
      <c r="J9" s="73"/>
    </row>
    <row r="10" spans="2:10" ht="26.25">
      <c r="B10" s="217">
        <f>B8+1</f>
        <v>28</v>
      </c>
      <c r="C10" s="156"/>
      <c r="D10" s="37"/>
      <c r="E10" s="63" t="s">
        <v>135</v>
      </c>
      <c r="F10" s="74" t="s">
        <v>108</v>
      </c>
      <c r="G10" s="71" t="s">
        <v>187</v>
      </c>
      <c r="H10" s="116">
        <v>0.045</v>
      </c>
      <c r="J10" s="209"/>
    </row>
    <row r="11" spans="2:10" ht="17.25" customHeight="1">
      <c r="B11" s="161"/>
      <c r="C11" s="4"/>
      <c r="D11" s="67"/>
      <c r="E11" s="294" t="s">
        <v>140</v>
      </c>
      <c r="F11" s="329"/>
      <c r="G11" s="336"/>
      <c r="H11" s="337"/>
      <c r="J11" s="73"/>
    </row>
    <row r="12" spans="2:10" s="85" customFormat="1" ht="13.5">
      <c r="B12" s="217">
        <f>B10+1</f>
        <v>29</v>
      </c>
      <c r="C12" s="65"/>
      <c r="D12" s="67"/>
      <c r="E12" s="70" t="s">
        <v>141</v>
      </c>
      <c r="F12" s="66" t="s">
        <v>25</v>
      </c>
      <c r="G12" s="77" t="s">
        <v>251</v>
      </c>
      <c r="H12" s="54">
        <v>4</v>
      </c>
      <c r="J12" s="95"/>
    </row>
    <row r="13" spans="2:8" ht="12.75">
      <c r="B13" s="161"/>
      <c r="C13" s="158"/>
      <c r="D13" s="12"/>
      <c r="E13" s="294" t="s">
        <v>142</v>
      </c>
      <c r="F13" s="329"/>
      <c r="G13" s="336"/>
      <c r="H13" s="337"/>
    </row>
    <row r="14" spans="1:8" s="87" customFormat="1" ht="18" customHeight="1">
      <c r="A14" s="61"/>
      <c r="B14" s="162"/>
      <c r="C14" s="15" t="s">
        <v>239</v>
      </c>
      <c r="D14" s="27"/>
      <c r="E14" s="294" t="s">
        <v>98</v>
      </c>
      <c r="F14" s="310"/>
      <c r="G14" s="310"/>
      <c r="H14" s="334"/>
    </row>
    <row r="15" spans="2:8" s="35" customFormat="1" ht="18" customHeight="1">
      <c r="B15" s="163"/>
      <c r="C15" s="7" t="s">
        <v>240</v>
      </c>
      <c r="D15" s="60"/>
      <c r="E15" s="331" t="s">
        <v>98</v>
      </c>
      <c r="F15" s="332" t="s">
        <v>8</v>
      </c>
      <c r="G15" s="332" t="s">
        <v>8</v>
      </c>
      <c r="H15" s="333" t="s">
        <v>8</v>
      </c>
    </row>
    <row r="16" spans="2:11" s="2" customFormat="1" ht="26.25">
      <c r="B16" s="217">
        <f>B12+1</f>
        <v>30</v>
      </c>
      <c r="C16" s="118"/>
      <c r="D16" s="18"/>
      <c r="E16" s="118" t="s">
        <v>99</v>
      </c>
      <c r="F16" s="24" t="s">
        <v>23</v>
      </c>
      <c r="G16" s="76" t="s">
        <v>386</v>
      </c>
      <c r="H16" s="53">
        <v>158.4</v>
      </c>
      <c r="J16" s="35"/>
      <c r="K16" s="189"/>
    </row>
  </sheetData>
  <sheetProtection/>
  <mergeCells count="15">
    <mergeCell ref="E7:H7"/>
    <mergeCell ref="E15:H15"/>
    <mergeCell ref="E14:H14"/>
    <mergeCell ref="B1:H1"/>
    <mergeCell ref="E11:H11"/>
    <mergeCell ref="E13:H13"/>
    <mergeCell ref="E9:H9"/>
    <mergeCell ref="F2:G2"/>
    <mergeCell ref="H2:H3"/>
    <mergeCell ref="B2:B3"/>
    <mergeCell ref="C2:C3"/>
    <mergeCell ref="D2:D3"/>
    <mergeCell ref="E2:E3"/>
    <mergeCell ref="E5:H5"/>
    <mergeCell ref="E6:H6"/>
  </mergeCells>
  <printOptions/>
  <pageMargins left="0.71" right="0.15748031496062992" top="0.7086614173228347" bottom="0.5905511811023623" header="0.5118110236220472" footer="0.5118110236220472"/>
  <pageSetup firstPageNumber="7" useFirstPageNumber="1" horizontalDpi="600" verticalDpi="600" orientation="portrait" paperSize="9" scale="90" r:id="rId1"/>
  <headerFooter alignWithMargins="0">
    <oddFooter>&amp;R&amp;P</oddFooter>
  </headerFooter>
  <rowBreaks count="1" manualBreakCount="1">
    <brk id="19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B1" sqref="B1:H17"/>
    </sheetView>
  </sheetViews>
  <sheetFormatPr defaultColWidth="9.00390625" defaultRowHeight="12.75"/>
  <cols>
    <col min="1" max="1" width="3.375" style="0" customWidth="1"/>
    <col min="2" max="2" width="4.50390625" style="52" customWidth="1"/>
    <col min="3" max="3" width="11.125" style="52" customWidth="1"/>
    <col min="4" max="4" width="4.00390625" style="52" customWidth="1"/>
    <col min="5" max="5" width="48.625" style="52" customWidth="1"/>
    <col min="6" max="6" width="8.50390625" style="52" customWidth="1"/>
    <col min="7" max="7" width="11.375" style="52" customWidth="1"/>
    <col min="8" max="8" width="9.625" style="52" customWidth="1"/>
  </cols>
  <sheetData>
    <row r="1" spans="2:8" s="2" customFormat="1" ht="18.75" customHeight="1">
      <c r="B1" s="313" t="s">
        <v>289</v>
      </c>
      <c r="C1" s="313"/>
      <c r="D1" s="313"/>
      <c r="E1" s="313"/>
      <c r="F1" s="313"/>
      <c r="G1" s="313"/>
      <c r="H1" s="314"/>
    </row>
    <row r="2" spans="2:8" s="2" customFormat="1" ht="12.75" customHeight="1">
      <c r="B2" s="306" t="s">
        <v>0</v>
      </c>
      <c r="C2" s="319" t="s">
        <v>2</v>
      </c>
      <c r="D2" s="306"/>
      <c r="E2" s="306" t="s">
        <v>3</v>
      </c>
      <c r="F2" s="315" t="s">
        <v>1</v>
      </c>
      <c r="G2" s="316"/>
      <c r="H2" s="317" t="s">
        <v>150</v>
      </c>
    </row>
    <row r="3" spans="2:8" s="2" customFormat="1" ht="27" customHeight="1">
      <c r="B3" s="307"/>
      <c r="C3" s="320"/>
      <c r="D3" s="307"/>
      <c r="E3" s="307"/>
      <c r="F3" s="4" t="s">
        <v>149</v>
      </c>
      <c r="G3" s="4" t="s">
        <v>127</v>
      </c>
      <c r="H3" s="318"/>
    </row>
    <row r="4" spans="2:8" s="2" customFormat="1" ht="12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04">
        <v>7</v>
      </c>
    </row>
    <row r="5" spans="1:8" s="8" customFormat="1" ht="18" customHeight="1">
      <c r="A5" s="2"/>
      <c r="B5" s="40"/>
      <c r="C5" s="10" t="s">
        <v>241</v>
      </c>
      <c r="D5" s="26"/>
      <c r="E5" s="294" t="s">
        <v>242</v>
      </c>
      <c r="F5" s="310"/>
      <c r="G5" s="310"/>
      <c r="H5" s="296"/>
    </row>
    <row r="6" spans="2:10" s="2" customFormat="1" ht="27.75" customHeight="1">
      <c r="B6" s="6">
        <f>'Przedmiar K1'!B30+1</f>
        <v>70</v>
      </c>
      <c r="C6" s="6"/>
      <c r="D6" s="36"/>
      <c r="E6" s="126" t="s">
        <v>243</v>
      </c>
      <c r="F6" s="31" t="s">
        <v>6</v>
      </c>
      <c r="G6" s="25" t="s">
        <v>387</v>
      </c>
      <c r="H6" s="54">
        <v>95</v>
      </c>
      <c r="I6" s="13"/>
      <c r="J6" s="189"/>
    </row>
    <row r="7" spans="2:9" s="2" customFormat="1" ht="18" customHeight="1">
      <c r="B7" s="342"/>
      <c r="C7" s="343"/>
      <c r="D7" s="343"/>
      <c r="E7" s="343"/>
      <c r="F7" s="343"/>
      <c r="G7" s="343"/>
      <c r="H7" s="344"/>
      <c r="I7" s="13"/>
    </row>
    <row r="8" spans="1:8" s="8" customFormat="1" ht="18" customHeight="1">
      <c r="A8" s="2"/>
      <c r="B8" s="40"/>
      <c r="C8" s="10" t="s">
        <v>244</v>
      </c>
      <c r="D8" s="26"/>
      <c r="E8" s="294" t="s">
        <v>264</v>
      </c>
      <c r="F8" s="310"/>
      <c r="G8" s="310"/>
      <c r="H8" s="296"/>
    </row>
    <row r="9" spans="2:11" s="2" customFormat="1" ht="118.5" customHeight="1">
      <c r="B9" s="6">
        <f>B6+1</f>
        <v>71</v>
      </c>
      <c r="C9" s="6"/>
      <c r="D9" s="36"/>
      <c r="E9" s="123" t="s">
        <v>288</v>
      </c>
      <c r="F9" s="31" t="s">
        <v>121</v>
      </c>
      <c r="G9" s="25" t="s">
        <v>270</v>
      </c>
      <c r="H9" s="54">
        <v>8</v>
      </c>
      <c r="I9" s="164"/>
      <c r="J9" s="182"/>
      <c r="K9" s="210"/>
    </row>
    <row r="10" spans="2:11" s="2" customFormat="1" ht="29.25" customHeight="1">
      <c r="B10" s="6">
        <f>B9+1</f>
        <v>72</v>
      </c>
      <c r="C10" s="6"/>
      <c r="D10" s="36"/>
      <c r="E10" s="123" t="s">
        <v>285</v>
      </c>
      <c r="F10" s="31" t="s">
        <v>6</v>
      </c>
      <c r="G10" s="25" t="s">
        <v>271</v>
      </c>
      <c r="H10" s="54">
        <v>239</v>
      </c>
      <c r="I10" s="164"/>
      <c r="J10" s="13"/>
      <c r="K10" s="210"/>
    </row>
    <row r="11" spans="2:11" s="2" customFormat="1" ht="77.25" customHeight="1">
      <c r="B11" s="6">
        <f>B10+1</f>
        <v>73</v>
      </c>
      <c r="C11" s="6"/>
      <c r="D11" s="36"/>
      <c r="E11" s="123" t="s">
        <v>391</v>
      </c>
      <c r="F11" s="31" t="s">
        <v>121</v>
      </c>
      <c r="G11" s="25" t="s">
        <v>251</v>
      </c>
      <c r="H11" s="54">
        <v>4</v>
      </c>
      <c r="I11" s="182"/>
      <c r="J11" s="183"/>
      <c r="K11" s="210"/>
    </row>
    <row r="12" spans="2:11" s="2" customFormat="1" ht="26.25" customHeight="1">
      <c r="B12" s="6">
        <f aca="true" t="shared" si="0" ref="B12:B17">B11+1</f>
        <v>74</v>
      </c>
      <c r="C12" s="6"/>
      <c r="D12" s="36"/>
      <c r="E12" s="123" t="s">
        <v>265</v>
      </c>
      <c r="F12" s="31" t="s">
        <v>6</v>
      </c>
      <c r="G12" s="25" t="s">
        <v>272</v>
      </c>
      <c r="H12" s="54">
        <v>65</v>
      </c>
      <c r="I12" s="13"/>
      <c r="K12" s="210"/>
    </row>
    <row r="13" spans="2:11" s="2" customFormat="1" ht="41.25" customHeight="1">
      <c r="B13" s="6">
        <f t="shared" si="0"/>
        <v>75</v>
      </c>
      <c r="C13" s="6"/>
      <c r="D13" s="36"/>
      <c r="E13" s="123" t="s">
        <v>286</v>
      </c>
      <c r="F13" s="31" t="s">
        <v>6</v>
      </c>
      <c r="G13" s="25" t="s">
        <v>273</v>
      </c>
      <c r="H13" s="54">
        <v>10</v>
      </c>
      <c r="I13" s="13"/>
      <c r="K13" s="210"/>
    </row>
    <row r="14" spans="2:11" s="2" customFormat="1" ht="18" customHeight="1">
      <c r="B14" s="6">
        <f t="shared" si="0"/>
        <v>76</v>
      </c>
      <c r="C14" s="6"/>
      <c r="D14" s="36"/>
      <c r="E14" s="123" t="s">
        <v>267</v>
      </c>
      <c r="F14" s="31" t="s">
        <v>121</v>
      </c>
      <c r="G14" s="25" t="s">
        <v>151</v>
      </c>
      <c r="H14" s="54">
        <v>1</v>
      </c>
      <c r="I14" s="13"/>
      <c r="K14" s="210"/>
    </row>
    <row r="15" spans="2:11" s="2" customFormat="1" ht="29.25" customHeight="1">
      <c r="B15" s="6">
        <f t="shared" si="0"/>
        <v>77</v>
      </c>
      <c r="C15" s="6"/>
      <c r="D15" s="36"/>
      <c r="E15" s="123" t="s">
        <v>266</v>
      </c>
      <c r="F15" s="31" t="s">
        <v>121</v>
      </c>
      <c r="G15" s="25" t="s">
        <v>151</v>
      </c>
      <c r="H15" s="54">
        <v>1</v>
      </c>
      <c r="I15" s="13"/>
      <c r="K15" s="210"/>
    </row>
    <row r="16" spans="2:11" s="2" customFormat="1" ht="27" customHeight="1">
      <c r="B16" s="6">
        <f t="shared" si="0"/>
        <v>78</v>
      </c>
      <c r="C16" s="6"/>
      <c r="D16" s="36"/>
      <c r="E16" s="123" t="s">
        <v>268</v>
      </c>
      <c r="F16" s="31" t="s">
        <v>121</v>
      </c>
      <c r="G16" s="25" t="s">
        <v>151</v>
      </c>
      <c r="H16" s="54">
        <v>1</v>
      </c>
      <c r="I16" s="13"/>
      <c r="K16" s="210"/>
    </row>
    <row r="17" spans="2:11" s="2" customFormat="1" ht="17.25" customHeight="1">
      <c r="B17" s="6">
        <f t="shared" si="0"/>
        <v>79</v>
      </c>
      <c r="C17" s="6"/>
      <c r="D17" s="36"/>
      <c r="E17" s="123" t="s">
        <v>269</v>
      </c>
      <c r="F17" s="31" t="s">
        <v>121</v>
      </c>
      <c r="G17" s="25" t="s">
        <v>151</v>
      </c>
      <c r="H17" s="54">
        <v>1</v>
      </c>
      <c r="I17" s="13"/>
      <c r="K17" s="210"/>
    </row>
    <row r="18" s="2" customFormat="1" ht="12.75"/>
  </sheetData>
  <sheetProtection/>
  <mergeCells count="10">
    <mergeCell ref="E5:H5"/>
    <mergeCell ref="B7:H7"/>
    <mergeCell ref="E8:H8"/>
    <mergeCell ref="B1:H1"/>
    <mergeCell ref="B2:B3"/>
    <mergeCell ref="H2:H3"/>
    <mergeCell ref="C2:C3"/>
    <mergeCell ref="D2:D3"/>
    <mergeCell ref="E2:E3"/>
    <mergeCell ref="F2:G2"/>
  </mergeCells>
  <printOptions/>
  <pageMargins left="0.8661417322834646" right="0.2362204724409449" top="0.7086614173228347" bottom="0.3937007874015748" header="0.5118110236220472" footer="0.5118110236220472"/>
  <pageSetup firstPageNumber="10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INFOPROJEKT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Jastrzębski</dc:creator>
  <cp:keywords/>
  <dc:description/>
  <cp:lastModifiedBy>msoltysiak</cp:lastModifiedBy>
  <cp:lastPrinted>2018-07-18T10:44:30Z</cp:lastPrinted>
  <dcterms:created xsi:type="dcterms:W3CDTF">2003-12-16T17:12:31Z</dcterms:created>
  <dcterms:modified xsi:type="dcterms:W3CDTF">2018-07-18T10:45:39Z</dcterms:modified>
  <cp:category/>
  <cp:version/>
  <cp:contentType/>
  <cp:contentStatus/>
</cp:coreProperties>
</file>