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0"/>
  </bookViews>
  <sheets>
    <sheet name="1" sheetId="1" r:id="rId1"/>
    <sheet name="2" sheetId="2" r:id="rId2"/>
    <sheet name="2a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externalReferences>
    <externalReference r:id="rId18"/>
  </externalReferences>
  <definedNames>
    <definedName name="_xlnm.Print_Area" localSheetId="0">'1'!$A$1:$G$272</definedName>
    <definedName name="_xlnm.Print_Area" localSheetId="11">'11'!$A$1:$F$20</definedName>
    <definedName name="_xlnm.Print_Area" localSheetId="12">'12'!$A$1:$F$19</definedName>
    <definedName name="_xlnm.Print_Area" localSheetId="13">'13'!$A$1:$F$34</definedName>
    <definedName name="_xlnm.Print_Area" localSheetId="14">'14'!$A$1:$E$14</definedName>
    <definedName name="_xlnm.Print_Area" localSheetId="1">'2'!$A$1:$Q$174</definedName>
    <definedName name="_xlnm.Print_Area" localSheetId="2">'2a'!$A$1:$F$56</definedName>
    <definedName name="_xlnm.Print_Area" localSheetId="3">'3'!$A$1:$D$25</definedName>
    <definedName name="_xlnm.Print_Area" localSheetId="7">'7'!$A$1:$J$11</definedName>
    <definedName name="_xlnm.Print_Area" localSheetId="8">'8'!$A$1:$G$29</definedName>
    <definedName name="_xlnm.Print_Area" localSheetId="9">'9'!$A$1:$E$18</definedName>
    <definedName name="_xlnm.Print_Titles" localSheetId="0">'1'!$4:$6</definedName>
    <definedName name="_xlnm.Print_Titles" localSheetId="13">'13'!$4:$5</definedName>
    <definedName name="_xlnm.Print_Titles" localSheetId="1">'2'!$4:$8</definedName>
    <definedName name="_xlnm.Print_Titles" localSheetId="2">'2a'!$3:$4</definedName>
    <definedName name="_xlnm.Print_Titles" localSheetId="4">'4'!$3:$7</definedName>
    <definedName name="_xlnm.Print_Titles" localSheetId="5">'5'!$3:$7</definedName>
    <definedName name="_xlnm.Print_Titles" localSheetId="6">'6'!$3:$7</definedName>
    <definedName name="_xlnm.Print_Titles" localSheetId="7">'7'!$4:$8</definedName>
    <definedName name="_xlnm.Print_Titles" localSheetId="8">'8'!$4:$5</definedName>
    <definedName name="_xlnm.Print_Titles" localSheetId="9">'9'!$4:$5</definedName>
  </definedNames>
  <calcPr fullCalcOnLoad="1"/>
</workbook>
</file>

<file path=xl/sharedStrings.xml><?xml version="1.0" encoding="utf-8"?>
<sst xmlns="http://schemas.openxmlformats.org/spreadsheetml/2006/main" count="1531" uniqueCount="724">
  <si>
    <t>Dochody budżetu miasta Świnoujście na 2012 r.</t>
  </si>
  <si>
    <t>w  złotych</t>
  </si>
  <si>
    <t>Dział</t>
  </si>
  <si>
    <t>Rozdział</t>
  </si>
  <si>
    <t>§</t>
  </si>
  <si>
    <t>Źródło dochodów</t>
  </si>
  <si>
    <t xml:space="preserve">Plan </t>
  </si>
  <si>
    <t>z tego:</t>
  </si>
  <si>
    <t>dochody bieżące</t>
  </si>
  <si>
    <t>dochody majątkowe</t>
  </si>
  <si>
    <t>DOCHODY GMINY</t>
  </si>
  <si>
    <t>010</t>
  </si>
  <si>
    <t>ROLNICTWO I ŁOWIECTWO</t>
  </si>
  <si>
    <t>01095</t>
  </si>
  <si>
    <t>Pozostała działalność</t>
  </si>
  <si>
    <t>2010</t>
  </si>
  <si>
    <t>020</t>
  </si>
  <si>
    <t>Leśnictwo</t>
  </si>
  <si>
    <t>02095</t>
  </si>
  <si>
    <t>0690</t>
  </si>
  <si>
    <t>Wpływy z różnych opłat</t>
  </si>
  <si>
    <t>0870</t>
  </si>
  <si>
    <t>Wpływy ze sprzedaży składników majątkowych</t>
  </si>
  <si>
    <t>600</t>
  </si>
  <si>
    <t>Transport i łączność</t>
  </si>
  <si>
    <t>60016</t>
  </si>
  <si>
    <t>Drogi publiczne gminne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</si>
  <si>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</si>
  <si>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</si>
  <si>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</si>
  <si>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</si>
  <si>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Finansowanie programów i projektów ze środków funduszy strukturalnych, Funduszu Spójności, Europejskiego Funduszu Rybackiego oraz  z funduszy unijnych finansujących Wspólną Politykę Rolną</t>
  </si>
  <si>
    <t>60041</t>
  </si>
  <si>
    <t>Infrastruktura portowa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</si>
  <si>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</si>
  <si>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</si>
  <si>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630</t>
  </si>
  <si>
    <t>Turystyka</t>
  </si>
  <si>
    <t>63003</t>
  </si>
  <si>
    <t>Zadania w zakresie upowszechniania turystyki</t>
  </si>
  <si>
    <t>2708</t>
  </si>
  <si>
    <t>Środki na dofinansowanie własnych zadań bieżących gmin (związków gmin), powiatów (związków powiatów), samorządów województw, pozyskane z innych źródeł</t>
  </si>
  <si>
    <t>63095</t>
  </si>
  <si>
    <t>6208</t>
  </si>
  <si>
    <t>Dotacje celowe w ramach programów finansowanych z udziałem środków europejskich oraz środków, o których mowa w art.. 5 ust. 1 pkt 3 oraz ust. 3 pkt 5 i 6 ustawy, lub płatności w ramach budżetu środków europejskich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</si>
  <si>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</si>
  <si>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</si>
  <si>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</si>
  <si>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</si>
  <si>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</si>
  <si>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</si>
  <si>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</si>
  <si>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</si>
  <si>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</si>
  <si>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</si>
  <si>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</si>
  <si>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</si>
  <si>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70095</t>
  </si>
  <si>
    <t>6290</t>
  </si>
  <si>
    <t>Finansowanie programów i projektów ze środków funduszy strukturalnych, Funduszu Spójności, Europejskiego Funduszu Rybackiego oraz funduszy unijnych finansujących Wspólną Politykę Rolną</t>
  </si>
  <si>
    <t>710</t>
  </si>
  <si>
    <t>Działalność usługowa</t>
  </si>
  <si>
    <t>71035</t>
  </si>
  <si>
    <t>Cmentarze</t>
  </si>
  <si>
    <t>0830</t>
  </si>
  <si>
    <t xml:space="preserve">Wpływy z usług </t>
  </si>
  <si>
    <t>750</t>
  </si>
  <si>
    <t>Administracja publiczna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</si>
  <si>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</si>
  <si>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</si>
  <si>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</si>
  <si>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</si>
  <si>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</si>
  <si>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2360</t>
  </si>
  <si>
    <t>Dochody jednostek samorządu terytorialnego związane z realizacją zadań  z zakresu administracji rządowej oraz innych zadań zleconych ustawami</t>
  </si>
  <si>
    <t>75095</t>
  </si>
  <si>
    <t>Dotacje celowe w ramach programów finansowanych z udziałm środków europejskich oraz środków, o których mowa w art. 5 ust. 1 pkt 3 oraz ust. 3 pkt 5 i 6 ustawy, lub płatności w ramach budżetu środków europejskich</t>
  </si>
  <si>
    <t>Współfinansowanie programów i projektów realizowanych ze środków funduszy strukturalnych, Funduszu Spójności, Europejskiego Funduszu Rybackiego oraz z funduszy unijnych finansujących Wspólną Politykę Rolną</t>
  </si>
  <si>
    <t>Finansowanie programów ze środków bezzwrotnych pochodzących z Unii Europejskiej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</si>
  <si>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</si>
  <si>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</si>
  <si>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</si>
  <si>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</si>
  <si>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</si>
  <si>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</si>
  <si>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</si>
  <si>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</si>
  <si>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>2707</t>
  </si>
  <si>
    <t>Pozostałe</t>
  </si>
  <si>
    <t>6297</t>
  </si>
  <si>
    <t>75414</t>
  </si>
  <si>
    <t>Obrona cywilna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</si>
  <si>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</si>
  <si>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</si>
  <si>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</si>
  <si>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</si>
  <si>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</si>
  <si>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</si>
  <si>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</si>
  <si>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</si>
  <si>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</si>
  <si>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</si>
  <si>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</si>
  <si>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</si>
  <si>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</si>
  <si>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</si>
  <si>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</si>
  <si>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</si>
  <si>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</si>
  <si>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</si>
  <si>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</si>
  <si>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</si>
  <si>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</si>
  <si>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</si>
  <si>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</si>
  <si>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</si>
  <si>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</si>
  <si>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</si>
  <si>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</si>
  <si>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</si>
  <si>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</si>
  <si>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</si>
  <si>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</si>
  <si>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</si>
  <si>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</si>
  <si>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</si>
  <si>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</si>
  <si>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</si>
  <si>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</si>
  <si>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</si>
  <si>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</si>
  <si>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</si>
  <si>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</si>
  <si>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</si>
  <si>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</si>
  <si>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</si>
  <si>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</si>
  <si>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</si>
  <si>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</si>
  <si>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</si>
  <si>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</si>
  <si>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</si>
  <si>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</si>
  <si>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</si>
  <si>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</si>
  <si>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</si>
  <si>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</si>
  <si>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</si>
  <si>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</si>
  <si>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
samorządu terytorialnego</t>
  </si>
  <si>
    <t>2920</t>
  </si>
  <si>
    <t xml:space="preserve">Subwencje ogólne z budżetu państwa </t>
  </si>
  <si>
    <t>75814</t>
  </si>
  <si>
    <t>Różne rozliczenia finansowe</t>
  </si>
  <si>
    <t xml:space="preserve">Pozostałe odsetki </t>
  </si>
  <si>
    <t>Dotacja z budżetu państwa dla gmin uzdrowiskowych</t>
  </si>
  <si>
    <t>801</t>
  </si>
  <si>
    <t>Oświata i wychowanie</t>
  </si>
  <si>
    <t>80101</t>
  </si>
  <si>
    <t>Szkoły podstawowe</t>
  </si>
  <si>
    <t>Dotacje celowe przekazane z budżetu państwa na realizację inwestycji i zakupów inwestycyjnych własnych gmin (związków gmin)</t>
  </si>
  <si>
    <t>80104</t>
  </si>
  <si>
    <t>Przedszkola</t>
  </si>
  <si>
    <t>851</t>
  </si>
  <si>
    <t>Ochrona zdrowia</t>
  </si>
  <si>
    <t>85154</t>
  </si>
  <si>
    <t>Przeciwdziałanie alkoholizmowi</t>
  </si>
  <si>
    <t>85195</t>
  </si>
  <si>
    <t>852</t>
  </si>
  <si>
    <t>Pomoc społeczna</t>
  </si>
  <si>
    <t>85203</t>
  </si>
  <si>
    <t>Ośrodki wsparcia</t>
  </si>
  <si>
    <t>85212</t>
  </si>
  <si>
    <t>Świadczenia rodzinne, świadczenie z 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</si>
  <si>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</si>
  <si>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</si>
  <si>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</si>
  <si>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</si>
  <si>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</si>
  <si>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</si>
  <si>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</si>
  <si>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2030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</si>
  <si>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</si>
  <si>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</si>
  <si>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</si>
  <si>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</si>
  <si>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</si>
  <si>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</si>
  <si>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</si>
  <si>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</si>
  <si>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</si>
  <si>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85395</t>
  </si>
  <si>
    <t>2008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</si>
  <si>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</si>
  <si>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</si>
  <si>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900</t>
  </si>
  <si>
    <t>Gospodarka komunalna i ochrona środowiska</t>
  </si>
  <si>
    <t>90004</t>
  </si>
  <si>
    <t>Utrzymanie zieleni w miastach i gminach</t>
  </si>
  <si>
    <t>2440</t>
  </si>
  <si>
    <t>Dotacje otrzymane z funduszy celowych na realizację zadań bieżących jednostek sektora finansów publicznych</t>
  </si>
  <si>
    <t>6260</t>
  </si>
  <si>
    <t>Dotacje otrzymane z funduszy celowych na finansowanie lub dofinansowanie kosztów realizacji inwestycji i zakupów inwestycyjnych jednostek sektora finansów publicznych</t>
  </si>
  <si>
    <t>Finansowanie programów i projektów ze środków funduszy strukturalnych, Funduszu Spójności, Europejskiego Funduszu Rybackiego oraz z funduszy unijnych finansujących Wspólną Politykę Rolną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</si>
  <si>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</si>
  <si>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</si>
  <si>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</si>
  <si>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</si>
  <si>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90020</t>
  </si>
  <si>
    <t>Wpływy i wydatki związane z gromadzeniem środków z opłat produktowych</t>
  </si>
  <si>
    <t>0400</t>
  </si>
  <si>
    <t>Wpływy z opłaty produktowej</t>
  </si>
  <si>
    <t>90095</t>
  </si>
  <si>
    <t>921</t>
  </si>
  <si>
    <t>Kultura i ochrona dziedzictwa narodowego</t>
  </si>
  <si>
    <t>92120</t>
  </si>
  <si>
    <t>Ochrona zabytków i opieka nad zabytkami</t>
  </si>
  <si>
    <t>926</t>
  </si>
  <si>
    <t>Kultura fizyczna</t>
  </si>
  <si>
    <t>92601</t>
  </si>
  <si>
    <t>Obiekty sportowe</t>
  </si>
  <si>
    <t>6300</t>
  </si>
  <si>
    <t>Dotacja celowa otrzymana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</si>
  <si>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</si>
  <si>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>DOCHODY POWIATU</t>
  </si>
  <si>
    <t>60011</t>
  </si>
  <si>
    <t>Drogi publiczne krajowe</t>
  </si>
  <si>
    <t>60015</t>
  </si>
  <si>
    <t>Drogi publiczne w miastach na prawach powiatu (w rozdziale nie ujmuje się wydatków na drogi gminne)</t>
  </si>
  <si>
    <t>0840</t>
  </si>
  <si>
    <t>Wpływy ze sprzedaży wyrobów</t>
  </si>
  <si>
    <t>6430</t>
  </si>
  <si>
    <t>Dotacje celowe przekazane z budżetu państwa na realizację inwestycji i zakupów inwestycyjnych własnych powiatu</t>
  </si>
  <si>
    <t>Dotacje celowe otrzymane z budżetu państwa na zadania bieżące z zakresu administracji rządowej oraz inne zadania zlecone ustawami realizowane przez powiat</t>
  </si>
  <si>
    <t>71013</t>
  </si>
  <si>
    <t>Prace geodezyjne i kartograficzne (nieinwestycyjne)</t>
  </si>
  <si>
    <t>2110</t>
  </si>
  <si>
    <t>71014</t>
  </si>
  <si>
    <t>Opracowania geodezyjne i kartograficzne</t>
  </si>
  <si>
    <t>Dotacje otrzymane z państwowych funduszy celowych na finansowanie lub dofinansowanie kosztów realizacji inwestycji i zakupów inwestycyjnych jednostek sektora finansów publicznych</t>
  </si>
  <si>
    <t>71015</t>
  </si>
  <si>
    <t>Nadzór budowlany</t>
  </si>
  <si>
    <t>6410</t>
  </si>
  <si>
    <t>Dotacje celowe otrzymane z budżetu państwa na inwestycje i zakupy inwestycyjne z zakresu administracji rządowej oraz inne zadania zlecone ustawami realizowane przez powiat</t>
  </si>
  <si>
    <t>71095</t>
  </si>
  <si>
    <t>75020</t>
  </si>
  <si>
    <t>Starostwa powiatowe</t>
  </si>
  <si>
    <t>75045</t>
  </si>
  <si>
    <t>Kwalifikacja wojskowa</t>
  </si>
  <si>
    <t>Dotacje celowe otrzymane z budżetu państwa na zadania bieżące realizowane przez powiat na podstawie porozumień 
z organami administracji rządowej</t>
  </si>
  <si>
    <t>75411</t>
  </si>
  <si>
    <t>Komendy powiatowe Państwowej Straży Pożarnej</t>
  </si>
  <si>
    <t>0420</t>
  </si>
  <si>
    <t>Wpływy z opłaty komunikacyjnej</t>
  </si>
  <si>
    <t>75622</t>
  </si>
  <si>
    <t>Udziały powiatów w podatkach stanowiących dochód budżetu państwa</t>
  </si>
  <si>
    <t>75802</t>
  </si>
  <si>
    <t>Uzupełnienie subwencji ogólnej dla jednostek 
samorządu terytorialnego</t>
  </si>
  <si>
    <t>2790</t>
  </si>
  <si>
    <t>Środki na utrzymanie rzecznych przepraw promowych oraz na remonty, utrzymanie, ochronę i zarządzanie drogami krajowymi i wojewódzkimi w granicach miast na prawach powiatu</t>
  </si>
  <si>
    <t>6180</t>
  </si>
  <si>
    <t>Środki na inwestycje na drogach publicznych powiatowych i wojewódzkich oraz na drogach powiatowych, wojewódzkich i krajowych w granicach miast na prawach powiatu</t>
  </si>
  <si>
    <t>75803</t>
  </si>
  <si>
    <t>Część wyrównawcza subwencji ogólnej dla powiatów</t>
  </si>
  <si>
    <t>Subwencje ogólne z budżetu państwa</t>
  </si>
  <si>
    <t>75832</t>
  </si>
  <si>
    <t>Część równoważąca subwencji ogólnej dla powiatów</t>
  </si>
  <si>
    <t>OŚWIATA I WYCHOWANIE</t>
  </si>
  <si>
    <t>80130</t>
  </si>
  <si>
    <t>Szkoły zawodowe</t>
  </si>
  <si>
    <t>Dotacje rozwojowe oraz środki na finansowanie Wspólnej Polityki Rolnej</t>
  </si>
  <si>
    <t>85156</t>
  </si>
  <si>
    <t>Składki na ubezpieczenie zdrowotne oraz świadczenia dla osób nieobjętych obowiązkiem ubezpieczenia zdrowotnego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</si>
  <si>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</si>
  <si>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</si>
  <si>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</si>
  <si>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</si>
  <si>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85205</t>
  </si>
  <si>
    <t>Zadania w zakresie przeciwdziałania przemocy w rodzinie</t>
  </si>
  <si>
    <t>85321</t>
  </si>
  <si>
    <t>Zespoły do spraw orzekania o niepełnosprawności</t>
  </si>
  <si>
    <t>85333</t>
  </si>
  <si>
    <t>Powiatowe urzędy pracy</t>
  </si>
  <si>
    <t>Środki z Funduszu Pracy otrzymane przez powiat z przeznaczeniem na finansowanie kosztów wynagrodzenia i składek na ubezpieczenia społeczne pracowników powiatowego urzędu pracy</t>
  </si>
  <si>
    <t>Ogółem dochody (gmina + powiat)</t>
  </si>
  <si>
    <t>Wydatki budżetu miasta Świnoujście na  2012 r.</t>
  </si>
  <si>
    <t>Nazwa</t>
  </si>
  <si>
    <t>Plan
(5+13)</t>
  </si>
  <si>
    <t>Wydatki bieżące</t>
  </si>
  <si>
    <t>w tym:</t>
  </si>
  <si>
    <t>Wydatki majątkowe</t>
  </si>
  <si>
    <t>Wydatki jednostek budżetowych</t>
  </si>
  <si>
    <t>Dotacje na zadania bieżące</t>
  </si>
  <si>
    <t xml:space="preserve">Świadcze-
nia na rzecz osób fizycz-
nych
</t>
  </si>
  <si>
    <t>Wydatki na programy finansowane z udziałem środków, pochodzących z budżetu UE oraz niepodlegających zwrotowi środków pomocy udzielonej przez państwa członkowskie EFTA</t>
  </si>
  <si>
    <t>Wydatki
z tytułu porę-
czeń
i gwaran-cji</t>
  </si>
  <si>
    <t>Wydatki na obsługę długu</t>
  </si>
  <si>
    <r>
      <t xml:space="preserve">Inwestycje i zakupy inwesty-
cyjne
</t>
    </r>
    <r>
      <rPr>
        <sz val="7"/>
        <rFont val="Arial"/>
        <family val="2"/>
      </rPr>
      <t>(w tym dotacje)</t>
    </r>
  </si>
  <si>
    <t>Zakup i objęcie akcji i udziałów</t>
  </si>
  <si>
    <t>Wniesie-
nie wkładów do spółek prawa handlo-
wego</t>
  </si>
  <si>
    <r>
      <t xml:space="preserve">Wynagro-
dzenia i składki od nich naliczane
</t>
    </r>
    <r>
      <rPr>
        <sz val="7"/>
        <rFont val="Arial"/>
        <family val="2"/>
      </rPr>
      <t xml:space="preserve">(wraz ze składkami od świadczeń oraz nagród) </t>
    </r>
  </si>
  <si>
    <t>Wydatki związane 
z realizacją zadań statutowych</t>
  </si>
  <si>
    <t>Wydatki na programy finansowane z udziałem środków, o których mowa w art. 5 ust. 1 pkt 2 i 3 ustawy o fin. publ., w części związanej z realizacją zadań jst</t>
  </si>
  <si>
    <t>WYDATKI GMINY</t>
  </si>
  <si>
    <t>Rolnictwo i łowiectwo</t>
  </si>
  <si>
    <t>01008</t>
  </si>
  <si>
    <t>Melioracje wodne</t>
  </si>
  <si>
    <t>01030</t>
  </si>
  <si>
    <t>Izby rolnicze</t>
  </si>
  <si>
    <t>400</t>
  </si>
  <si>
    <t>Wytwarzanie i zaopatrywanie w energię elektryczną, gaz i wodę</t>
  </si>
  <si>
    <t>40002</t>
  </si>
  <si>
    <t>Dostarczanie wody</t>
  </si>
  <si>
    <t>500</t>
  </si>
  <si>
    <t>Handel</t>
  </si>
  <si>
    <t>50095</t>
  </si>
  <si>
    <t>60004</t>
  </si>
  <si>
    <t>Lokalny transport zbiorowy</t>
  </si>
  <si>
    <t>70001</t>
  </si>
  <si>
    <t>Zakłady gospodarki mieszkaniowej</t>
  </si>
  <si>
    <t>71004</t>
  </si>
  <si>
    <t>Plany zagospodarowania przestrzennego</t>
  </si>
  <si>
    <t>75022</t>
  </si>
  <si>
    <t>Rady gmin (miast i miast na prawach powiatu)</t>
  </si>
  <si>
    <t>75075</t>
  </si>
  <si>
    <t>Promocja jednostek samorządu terytorialnego</t>
  </si>
  <si>
    <t>Urzędy naczelnych organów władzy państwowej, kontroli i ochrony prawa</t>
  </si>
  <si>
    <t>75415</t>
  </si>
  <si>
    <t>Zadania ratownictwa górskiego i wodnego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</si>
  <si>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</si>
  <si>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</si>
  <si>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</si>
  <si>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</si>
  <si>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</si>
  <si>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</si>
  <si>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</si>
  <si>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</si>
  <si>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</si>
  <si>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75831</t>
  </si>
  <si>
    <t>Część równoważąca subwencji ogólnej dla gmin</t>
  </si>
  <si>
    <t>80103</t>
  </si>
  <si>
    <t>Oddziały przedszkolne w szkołach podstawowych</t>
  </si>
  <si>
    <t>80105</t>
  </si>
  <si>
    <t>Przedszkola specjalne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</si>
  <si>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</si>
  <si>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</si>
  <si>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</si>
  <si>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</si>
  <si>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</si>
  <si>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</si>
  <si>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</si>
  <si>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</si>
  <si>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80195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</si>
  <si>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</si>
  <si>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</si>
  <si>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</si>
  <si>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</si>
  <si>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</si>
  <si>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</si>
  <si>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85201</t>
  </si>
  <si>
    <t>Placówki opiekuńczo-wychowawcze</t>
  </si>
  <si>
    <t>85202</t>
  </si>
  <si>
    <t>Domy pomocy społecznej</t>
  </si>
  <si>
    <t>Świadczenia rodzinne, świadczenia z funduszu alimentacyjnego oraz składki na ubezpieczenia emerytalne i rentowe z ubezpieczenia społecznego</t>
  </si>
  <si>
    <t>85215</t>
  </si>
  <si>
    <t>Dodatki mieszkaniowe</t>
  </si>
  <si>
    <t xml:space="preserve">Żłobki </t>
  </si>
  <si>
    <t>854</t>
  </si>
  <si>
    <t>Edukacyjna opieka wychowawcza</t>
  </si>
  <si>
    <t>85401</t>
  </si>
  <si>
    <t>Świetlice szkolne</t>
  </si>
  <si>
    <t>85407</t>
  </si>
  <si>
    <t>Placówki wychowania pozaszkolnego</t>
  </si>
  <si>
    <t>85415</t>
  </si>
  <si>
    <t>Pomoc materialna dla uczniów</t>
  </si>
  <si>
    <t>85446</t>
  </si>
  <si>
    <t>85495</t>
  </si>
  <si>
    <t>90002</t>
  </si>
  <si>
    <t>Gospodarka odpadami</t>
  </si>
  <si>
    <t>90003</t>
  </si>
  <si>
    <t>Oczyszczanie miast i wsi</t>
  </si>
  <si>
    <t>90013</t>
  </si>
  <si>
    <t>Schroniska dla zwierząt</t>
  </si>
  <si>
    <t>90015</t>
  </si>
  <si>
    <t>Oświetlenie ulic, placów i dróg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</si>
  <si>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</si>
  <si>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</si>
  <si>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</si>
  <si>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</si>
  <si>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</si>
  <si>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</si>
  <si>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</si>
  <si>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92605</t>
  </si>
  <si>
    <t>Zadania w zakresie kultury fizycznej</t>
  </si>
  <si>
    <t>razem wydatki gmina</t>
  </si>
  <si>
    <t>WYDATKI POWIATU</t>
  </si>
  <si>
    <t xml:space="preserve">Drogi publiczne w miastach na prawach powiatu </t>
  </si>
  <si>
    <t>75405</t>
  </si>
  <si>
    <t>Komendy powiatowe Policji</t>
  </si>
  <si>
    <t>75406</t>
  </si>
  <si>
    <t>Straż Graniczna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</si>
  <si>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</si>
  <si>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</si>
  <si>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</si>
  <si>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</si>
  <si>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</si>
  <si>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</si>
  <si>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</si>
  <si>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</si>
  <si>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80134</t>
  </si>
  <si>
    <t>Szkoły zawodowe specjalne</t>
  </si>
  <si>
    <t>80140</t>
  </si>
  <si>
    <t>Centra kształcenia ustawicznego i praktycznego oraz ośrodki dokształcania zawodowego</t>
  </si>
  <si>
    <t>85111</t>
  </si>
  <si>
    <t>Szpitale ogólne</t>
  </si>
  <si>
    <t>85117</t>
  </si>
  <si>
    <t>Zakłady opiekuńczo-lecznicze i pielęgnacyjno-opiekuńcze</t>
  </si>
  <si>
    <t>85218</t>
  </si>
  <si>
    <t>Powiatowe centra pomocy rodzinie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</si>
  <si>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</si>
  <si>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</si>
  <si>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</si>
  <si>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</si>
  <si>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85324</t>
  </si>
  <si>
    <t>Państwowy Fundusz Rehabilitacji Osób Niepełnosprawnych</t>
  </si>
  <si>
    <t>85403</t>
  </si>
  <si>
    <t>Specjalne ośrodki szkolno-wychowawcze</t>
  </si>
  <si>
    <t>85404</t>
  </si>
  <si>
    <t>Wczesne wspomaganie rozwoju dziecka</t>
  </si>
  <si>
    <t>85406</t>
  </si>
  <si>
    <t>Poradnie psychologiczno-pedagogiczne, w tym poradnie specjalistyczne</t>
  </si>
  <si>
    <t>85410</t>
  </si>
  <si>
    <t>Internaty i bursy szkolne</t>
  </si>
  <si>
    <t>85417</t>
  </si>
  <si>
    <t>Szkolne schroniska młodzieżowe</t>
  </si>
  <si>
    <t>85419</t>
  </si>
  <si>
    <t>Ośrodki rewalidacyjno-wychowawcze</t>
  </si>
  <si>
    <t>90006</t>
  </si>
  <si>
    <t>Ochrona gleby i wód podziemnych</t>
  </si>
  <si>
    <t>razem wydatki powiat</t>
  </si>
  <si>
    <t>Ogółem wydatki (gmina + powiat)</t>
  </si>
  <si>
    <t>Różnica</t>
  </si>
  <si>
    <t>wg szaraka</t>
  </si>
  <si>
    <t>i załączników o dotacjach</t>
  </si>
  <si>
    <t>razem dotacje bieżące i majątkowe z załącznika</t>
  </si>
  <si>
    <t>różnica w dotacjach</t>
  </si>
  <si>
    <t>Zadania inwestycyjne i pozostałe wydatki majątkowe miasta Świnoujście zaplanowane na 2012 r.</t>
  </si>
  <si>
    <t>w złotych</t>
  </si>
  <si>
    <t>Lp.</t>
  </si>
  <si>
    <t>Wyszczególnienie</t>
  </si>
  <si>
    <t>Łączne koszty finansowe</t>
  </si>
  <si>
    <t xml:space="preserve">Ogółem wydatki </t>
  </si>
  <si>
    <t>z tego finansowanie:</t>
  </si>
  <si>
    <t>I</t>
  </si>
  <si>
    <t>Zadania inwestycyjne realizowane przez Wydział Inżyniera Miasta</t>
  </si>
  <si>
    <t>1.</t>
  </si>
  <si>
    <t>Budowa targowiska miejskiego</t>
  </si>
  <si>
    <t>2.</t>
  </si>
  <si>
    <t>Budowa mostu nad Starą Świną łączącego wyspy Karsibór i Wolin</t>
  </si>
  <si>
    <t>3.</t>
  </si>
  <si>
    <t>Budowa stałego połączenia pomiędzy wyspami Uznam i Wolin</t>
  </si>
  <si>
    <t>4.</t>
  </si>
  <si>
    <t>Przebudowa centralnego układu komunikacyjnego śródmieścia w Świnoujściu</t>
  </si>
  <si>
    <t>5.</t>
  </si>
  <si>
    <t>Rozbudowa ul. Wybrzeże Władysława IV</t>
  </si>
  <si>
    <t>6.</t>
  </si>
  <si>
    <t>Budowa ciągu pieszo-rowerowego wzdłuż ul. Odrzańskiej</t>
  </si>
  <si>
    <t>7.</t>
  </si>
  <si>
    <t>Transgraniczna promenada pomiędzy Świnoujściem i Gminą Heringsdorf</t>
  </si>
  <si>
    <t>8.</t>
  </si>
  <si>
    <t>Przebudowa ulicy Sosnowej</t>
  </si>
  <si>
    <t>9.</t>
  </si>
  <si>
    <t>Projekt zintegrowany "Śródmieście" - Przebudowa ulic: Hołdu Pruskiego, Wyszyńskiego i Monte Cassino</t>
  </si>
  <si>
    <t>10.</t>
  </si>
  <si>
    <t>Budowa ciągu pieszo-jezdnego na przedłużeniu ul. Trentowskiego</t>
  </si>
  <si>
    <t>11.</t>
  </si>
  <si>
    <t>Zagospodarowanie Basenu Północnego w Świnoujściu na port jachtowy</t>
  </si>
  <si>
    <t>12.</t>
  </si>
  <si>
    <t>Rozwój systemu informacji turystycznej w Świnoujsciu</t>
  </si>
  <si>
    <t>13.</t>
  </si>
  <si>
    <t>Budowa budynków mieszkalnych komunalnych przy ul. Grunwaldzkiej w Świnoujściu</t>
  </si>
  <si>
    <t>14.</t>
  </si>
  <si>
    <t>Modernizacja budynku CAM nr 5</t>
  </si>
  <si>
    <t>15.</t>
  </si>
  <si>
    <t xml:space="preserve">Budowa szkolnego ośrodka żeglarskiego w Przytorze </t>
  </si>
  <si>
    <t>16.</t>
  </si>
  <si>
    <t>Zagospodarowanie terenu przy Szkole Podstawowej nr 6 - modernizacja boiska sportowego oraz budowa placu zabaw</t>
  </si>
  <si>
    <t>17.</t>
  </si>
  <si>
    <t>Renowacja zabytkowego budynku SP 1 oraz zagospodarowanie przyległego terenu na ogólnodostępne boisko sportowe i plac zabaw</t>
  </si>
  <si>
    <t>18.</t>
  </si>
  <si>
    <t>Modernizacja boiska sportowego przy Liceum Ogólnoształcącym im. Mieszka I</t>
  </si>
  <si>
    <t>19.</t>
  </si>
  <si>
    <t>Budowa nowego przyłącza elektroenergetycznego do Zespołu Szkół Morskich</t>
  </si>
  <si>
    <t>20.</t>
  </si>
  <si>
    <t>Budowa Zespołu Opieki Długoterminowej</t>
  </si>
  <si>
    <t>21.</t>
  </si>
  <si>
    <t>Projekt zintegrowany "Śródmieście" - Przebudowa Parku przy ul. Chopina</t>
  </si>
  <si>
    <t>22.</t>
  </si>
  <si>
    <t>Tworzenie specjalistycznych placówek opiekuńczo-wychowawczych wsparcia dziennego</t>
  </si>
  <si>
    <t>23.</t>
  </si>
  <si>
    <t>Adaptacja budynku przy ul. Mieszka I na Laboratorium Szpitalne</t>
  </si>
  <si>
    <t>24.</t>
  </si>
  <si>
    <t>Lokalny Program Rewitalizacji Miasta 2010-2020. Aktywizacja społeczna - Przebudowa wraz z wyposażeniem pomieszczeń Dziennego Domu Pobytu przy ul. Piłsudskiego 11</t>
  </si>
  <si>
    <t>25.</t>
  </si>
  <si>
    <t>Edukacyjny plac zabaw na terenie Parku Zdrojowego w Świnoujściu w ramach projektu "Morze Bałtyckie łączące wyspy, kraje kultury i regiony przyrodnicze - wspólny polsko-niemiecki projekt w zakresie edukacji ekologicznej"</t>
  </si>
  <si>
    <t>26.</t>
  </si>
  <si>
    <t>Rewitalizacja terenów zieleni przy ul. Malczewskiego wraz z budową placu zabaw i boiska sportowego</t>
  </si>
  <si>
    <t>27.</t>
  </si>
  <si>
    <t xml:space="preserve">Melioracja terenów zurbanizowanych na obszarze Miasta Świnoujście </t>
  </si>
  <si>
    <t>28.</t>
  </si>
  <si>
    <t>Odwodnienie i zagospodarowanie działki nr 643 obr. 6 przy ul. Monte Cassino</t>
  </si>
  <si>
    <t>29.</t>
  </si>
  <si>
    <t>Adaptacja pomieszczeń w budynku Muzeum Rybołówstwa Morskiego w Świnoujściu na Salę Ślubów USC</t>
  </si>
  <si>
    <t>30.</t>
  </si>
  <si>
    <t>Przebudowa stadionu OSiR Wyspiarz przy ul. Matejki</t>
  </si>
  <si>
    <t>31.</t>
  </si>
  <si>
    <t>Budowa boisk sportowych przy Zespole Szkół Publicznych nr 4</t>
  </si>
  <si>
    <t>II</t>
  </si>
  <si>
    <t>Pozostałe wydatki majątkowe</t>
  </si>
  <si>
    <t>32.</t>
  </si>
  <si>
    <t>33.</t>
  </si>
  <si>
    <t>Drogi publiczne w miastach na prawach powiatu</t>
  </si>
  <si>
    <t>34.</t>
  </si>
  <si>
    <t>35.</t>
  </si>
  <si>
    <t>36.</t>
  </si>
  <si>
    <t>37.</t>
  </si>
  <si>
    <t>38.</t>
  </si>
  <si>
    <t>39.</t>
  </si>
  <si>
    <t>Urzędy gmin (miasta i miast na prawach powiatu)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</si>
  <si>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</si>
  <si>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</si>
  <si>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</si>
  <si>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</si>
  <si>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</si>
  <si>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</si>
  <si>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</si>
  <si>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</si>
  <si>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</si>
  <si>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</si>
  <si>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OGÓŁEM</t>
  </si>
  <si>
    <t>Przychody i rozchody budżetu miasta Świnoujście w 2012 r.</t>
  </si>
  <si>
    <t>Treść</t>
  </si>
  <si>
    <t>Klasyfikacja
§</t>
  </si>
  <si>
    <t>Kwota</t>
  </si>
  <si>
    <t>Przychody ogółem:</t>
  </si>
  <si>
    <t>Kredyty</t>
  </si>
  <si>
    <t>§ 952</t>
  </si>
  <si>
    <t>Pożyczki</t>
  </si>
  <si>
    <t>Spłaty pożyczek udzielonych na finansowanie zadań realizowanych z udziałem środków pochodzących z budżetu Unii Europejskiej</t>
  </si>
  <si>
    <t>§ 902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</si>
  <si>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</si>
  <si>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</si>
  <si>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</si>
  <si>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</si>
  <si>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</si>
  <si>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</si>
  <si>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</si>
  <si>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</si>
  <si>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</si>
  <si>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</si>
  <si>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</si>
  <si>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</si>
  <si>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</si>
  <si>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</si>
  <si>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</si>
  <si>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</si>
  <si>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</si>
  <si>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</si>
  <si>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</si>
  <si>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</si>
  <si>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</si>
  <si>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</si>
  <si>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</si>
  <si>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</si>
  <si>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</si>
  <si>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</si>
  <si>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budżetu miasta Świnoujście związane z realizacją zadań z zakresu administracji rządowej i innych zadań zleconych odrębnymi ustawami w 2012 r.</t>
  </si>
  <si>
    <t>Dotacje
ogółem</t>
  </si>
  <si>
    <t>Wydatki
ogółem
(5+11)</t>
  </si>
  <si>
    <t>Wydatki
bieżące</t>
  </si>
  <si>
    <t>Wydatki
majątkowe</t>
  </si>
  <si>
    <t>Świadczenia na rzecz osób fizycznych</t>
  </si>
  <si>
    <t>Wydatki na programy finansowane z udziałem środków, o których mowa w art. 5 ust. 1 pkt 2 i 3 ustawy o fin. publ., w części związanej z realizacją zadań gminy/powiatu</t>
  </si>
  <si>
    <r>
      <t xml:space="preserve">Wynagrodzenia i składki od nich naliczane
</t>
    </r>
    <r>
      <rPr>
        <sz val="9"/>
        <rFont val="Arial CE"/>
        <family val="2"/>
      </rPr>
      <t>(wraz ze składkami od świadczeń)</t>
    </r>
  </si>
  <si>
    <t>Wydatki związane z realizacją zadań statutowych</t>
  </si>
  <si>
    <t>GMINA</t>
  </si>
  <si>
    <t>razem gmina</t>
  </si>
  <si>
    <t>POWIAT</t>
  </si>
  <si>
    <t>razem powiat</t>
  </si>
  <si>
    <t>Dochody i wydatki budżetu miasta Świnoujście związane z realizacją zadań z zakresu administracji rządowej wykonywanych na podstawie porozumień z organami administracji rządowej w 2012 r.</t>
  </si>
  <si>
    <t>Wynagrodzenia i składki od nich naliczane</t>
  </si>
  <si>
    <t>Dochody i wydatki budżetu miasta Świnoujście związane z realizacją zadań wykonywanych na podstawie porozumień (umów) między jednostkami samorządu terytorialnego w 2012 r.</t>
  </si>
  <si>
    <t>Plan przychodów oraz kosztów samorządowych zakładów budżetowych w 2012 r.</t>
  </si>
  <si>
    <t>Stan środków obrotowych na początek roku</t>
  </si>
  <si>
    <t>Przychody</t>
  </si>
  <si>
    <t>Wydatki</t>
  </si>
  <si>
    <t>Stan środków obrotowych na koniec roku</t>
  </si>
  <si>
    <t>ogółem</t>
  </si>
  <si>
    <t>w tym: wpłata do budżetu</t>
  </si>
  <si>
    <t>dotacje
z budżetu</t>
  </si>
  <si>
    <t>wydatki bieżące</t>
  </si>
  <si>
    <t>na inwestycje</t>
  </si>
  <si>
    <t>Gminne zakłady budżetowe, z tego:</t>
  </si>
  <si>
    <t>Zakład Gospodarki Mieszkaniowej</t>
  </si>
  <si>
    <t>Ośrodek Sportu i Rekreacji "Wyspiarz"</t>
  </si>
  <si>
    <t>Plan dochodów i wydatków rachunków dochodów oświatowych jednostek budżetowych w 2012 r.</t>
  </si>
  <si>
    <t>Dochody</t>
  </si>
  <si>
    <t>Rozliczenia
z budżetem
z tytułu wpłat nadwyżek środków za 2011 r.</t>
  </si>
  <si>
    <t>Szkoła Podstawowa Nr 1</t>
  </si>
  <si>
    <t>Szkoła Podstawowa Nr 2</t>
  </si>
  <si>
    <t>Zespół Szkół Publicznych Nr 4 z Oddziałami Integracyjnymi</t>
  </si>
  <si>
    <t>Szkoła Podstawowa Nr 6</t>
  </si>
  <si>
    <t>Zespół Szkolno-Przedszkolny</t>
  </si>
  <si>
    <t>Przedszkole Miejskie Nr 1</t>
  </si>
  <si>
    <t>Przedszkole Miejskie Nr 3</t>
  </si>
  <si>
    <t>Przedszkole Miejskie Nr 5</t>
  </si>
  <si>
    <t>Przedszkole Miejskie Nr 9</t>
  </si>
  <si>
    <t>Przedszkole Miejskie Nr 10</t>
  </si>
  <si>
    <t>Przedszkole Miejskie Nr 11</t>
  </si>
  <si>
    <t>Zespół Szkół Ogólnokształcących</t>
  </si>
  <si>
    <t>Gimnazjum Publiczne Nr 2</t>
  </si>
  <si>
    <t>Gimnazjum Publiczne Nr 3</t>
  </si>
  <si>
    <t>Młodzieżowy Dom Kultury</t>
  </si>
  <si>
    <t>Liceum Ogólnokształcące 
z Oddziałami Integracyjnymi</t>
  </si>
  <si>
    <t>Zespół Szkół Morskich 
    - szkoły zawodowe</t>
  </si>
  <si>
    <t>Centrum Edukacji Zawodowej i Turystyki</t>
  </si>
  <si>
    <t>Specjalny Ośrodek Szkolno
    - Wychowawczy</t>
  </si>
  <si>
    <t>Poradnia Psychologiczno
    - Pedagogiczna</t>
  </si>
  <si>
    <t>Zespół Szkół Morskich
    - internaty</t>
  </si>
  <si>
    <t>Dotacje podmiotowe dla jednostek sektora finansów publicznych  udzielone z budżetu miasta Świnoujście w 2012 r.</t>
  </si>
  <si>
    <t>Nazwa instytucji</t>
  </si>
  <si>
    <t>Kwota dotacji</t>
  </si>
  <si>
    <t>Gimnazjum dla Dorosłych Wojewódzkiego Zakładu Doskonalenia Zawodowego</t>
  </si>
  <si>
    <t>§259</t>
  </si>
  <si>
    <t>Samodzielny Publiczny Zakład Opieki Zdrowotnej Szpital Miejski im. Jana Garduły</t>
  </si>
  <si>
    <t>§256</t>
  </si>
  <si>
    <t>Miejski Dom Kultury</t>
  </si>
  <si>
    <t>§248</t>
  </si>
  <si>
    <t>Miejska Biblioteka Publiczna</t>
  </si>
  <si>
    <t>Muzeum Rybołówstwa Morskiego</t>
  </si>
  <si>
    <t xml:space="preserve">Publiczna Zasadnicza Szkoła Zawodowa w Świnoujściu Wojewódzkiego Zakładu Doskonalenia Zawodowego w Szczecinie </t>
  </si>
  <si>
    <t>Technikum Elektryczne w Świnoujściu Wojewódzkiego Zakładu Doskonalenia Zawodowego w Szczecinie</t>
  </si>
  <si>
    <t>Samodzielny Publiczny Zakład Opieki Zdrowotnej 
Szpital Miejski im. Jana Garduły</t>
  </si>
  <si>
    <t>Samodzielny Publiczny Zakład Opieki Zdrowotnej 
Zakład Pielęgnacyjno-Opiekuńczy</t>
  </si>
  <si>
    <t>Ogółem (gmina + powiat)</t>
  </si>
  <si>
    <t>Dotacje przedmiotowe dla jednostek sektora finansów publicznych 
udzielone z budżetu miasta Świnoujście w 2012 r.</t>
  </si>
  <si>
    <t>Nazwa jednostki
 otrzymującej dotację</t>
  </si>
  <si>
    <r>
      <t xml:space="preserve">Zakres
</t>
    </r>
    <r>
      <rPr>
        <i/>
        <sz val="10"/>
        <rFont val="Arial CE"/>
        <family val="2"/>
      </rPr>
      <t>(przeznaczenie dotacji)</t>
    </r>
  </si>
  <si>
    <t>Ogółem kwota dotacji</t>
  </si>
  <si>
    <t>Zakład Gospodarki 
Mieszkaniowej</t>
  </si>
  <si>
    <r>
      <t>dopłata do utrzymania 1m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użytkowej komunalnych lokali mieszkalnych</t>
    </r>
  </si>
  <si>
    <t>Ośrodek Sportu i Rekreacji    "Wyspiarz"</t>
  </si>
  <si>
    <t>dopłaty do 1 godziny funkcjonowania: 
- hali sportowej
- pływalni
- boiska ze sztuczną nawierzchnią
- boiska trawiastego
- kortów ziemnych
- hali tenisowej</t>
  </si>
  <si>
    <t xml:space="preserve">Ogółem </t>
  </si>
  <si>
    <t>Dotacje celowe udzielone z budżetu miasta Świnoujście na zadania własne gminy/powiatu realizowane przez podmioty należące do sektora finansów publicznych w 2012 r.</t>
  </si>
  <si>
    <r>
      <t xml:space="preserve">Nazwa zadania 
</t>
    </r>
    <r>
      <rPr>
        <i/>
        <sz val="10"/>
        <rFont val="Arial CE"/>
        <family val="2"/>
      </rPr>
      <t>(przeznaczenie dotacji)</t>
    </r>
  </si>
  <si>
    <t xml:space="preserve">Kwota dotacji </t>
  </si>
  <si>
    <t>bieżącej</t>
  </si>
  <si>
    <t>majątkowej</t>
  </si>
  <si>
    <t>Dofinansowanie kosztów realizacji inwestycji i zakupów inwestycyjnych gminnych zasobów lokalowych</t>
  </si>
  <si>
    <t>§621</t>
  </si>
  <si>
    <t>Dofinansowanie zakupu łodzi ratowniczej</t>
  </si>
  <si>
    <t xml:space="preserve">Miejski Dom Kultury - Zagospodarowanie terenu pod plac zabaw rekreacyjno-biwakowy w Karsiborze" </t>
  </si>
  <si>
    <t>Miejska Biblioteka Publiczna - zainstalowanie czujników przeciwpozarowych</t>
  </si>
  <si>
    <t>Dofinansowanie remontu elewacji Muzeum Rybołówstwa Morskiego</t>
  </si>
  <si>
    <t>Remont obiektów sportowych zarządzanych przez OSiR Wyspiarz</t>
  </si>
  <si>
    <t>Zakup sprzętu medycznego przez SPZOZ Szpital Miejski im. Jana Garduły</t>
  </si>
  <si>
    <t>§622</t>
  </si>
  <si>
    <t>Zakup sprzętu medycznego przez SPZOZ Zakład Pielęgnacyjno-Opiekuńczy</t>
  </si>
  <si>
    <t>Utrzymanie dzieci w placówkach opiekuńczo
-wychowawczych</t>
  </si>
  <si>
    <t>§232</t>
  </si>
  <si>
    <t>Organizacja rodzin zastępczych</t>
  </si>
  <si>
    <t>RAZEM</t>
  </si>
  <si>
    <t>Dotacje celowe udzielone z budżetu miasta Świnoujście na zadania własne gminy/powiatu realizowane przez podmioty nienależące do sektora finansów publicznych w 2012 r.</t>
  </si>
  <si>
    <t>Nazwa zadania</t>
  </si>
  <si>
    <t>Zadania w zakresie oświaty i wychowania</t>
  </si>
  <si>
    <t>§236</t>
  </si>
  <si>
    <t>Zadania w zakresie przeciwdziałania narkomanii</t>
  </si>
  <si>
    <t>Zadania w zakresie przeciwdziałania alkoholizmowi</t>
  </si>
  <si>
    <t>Zadania w zakresie ochrony i promocji zdrowia</t>
  </si>
  <si>
    <t>Zadania w zakresie pomocy społecznej</t>
  </si>
  <si>
    <t>Zadania w zakresie gospodarki komunalnej i ochrony środowiska</t>
  </si>
  <si>
    <t>Inwestycje przy zabytkach</t>
  </si>
  <si>
    <t>§657</t>
  </si>
  <si>
    <t>Zadania w zakresie kultury i ochrony dziedzictwa 
narodowego</t>
  </si>
  <si>
    <t>§282</t>
  </si>
  <si>
    <t>Ogółem</t>
  </si>
  <si>
    <t>Dotacje podmiotowe udzielone z budżetu miasta Świnoujście na zadania realizowane przez podmioty nienależące do sektora finansów publicznych w 2012 r.</t>
  </si>
  <si>
    <t>Nazwa jednostki otrzymującej dotację</t>
  </si>
  <si>
    <t>Zakres
(przeznaczenie dotacji)</t>
  </si>
  <si>
    <t>Społeczna Szkoła Podstawowa 
Społecznego Towarzystwa Szkoły Gimnazjalnej</t>
  </si>
  <si>
    <t>Dofinansowanie realizacji zadań szkoły/placówki w zakresie kształcenia, wychowania i opieki, w tym profilaktyki społecznej. Dotacje mogą być wykorzystane wyłącznie na pokrycie wydatków bieżących.</t>
  </si>
  <si>
    <t>§254</t>
  </si>
  <si>
    <t>Punkt Przedszkolny "Tygrysek"</t>
  </si>
  <si>
    <t>Punkt Przedszkolny "Motylek"</t>
  </si>
  <si>
    <t>Niepubliczne Przedszkole Specjalne "Jeżyk"</t>
  </si>
  <si>
    <t>Gimnazjum przy Liceum Ogólnokształcącym 
Społecznego Towarzystwa Szkoły Gimnazjalnej</t>
  </si>
  <si>
    <t>Gimnazjum Fundacji LOGOS</t>
  </si>
  <si>
    <t>Gimnazjum im. św. Jadwigi Królowej</t>
  </si>
  <si>
    <t>Gimnazjum dla Dorosłych "Żak"</t>
  </si>
  <si>
    <t>Żłobek Niepubliczny "Motylek"</t>
  </si>
  <si>
    <t>Dofinansowanie pobytu dziecka w żłobku</t>
  </si>
  <si>
    <t>§258</t>
  </si>
  <si>
    <t>Społeczne Liceum Ogólnokształcące Społecznego Towarzystwa Szkoły Gimnazjalnej</t>
  </si>
  <si>
    <t>I Liceum Społeczne Fundacji LOGOS</t>
  </si>
  <si>
    <t>Katolickie Liceum Ogólnokształcące 
im. św. Jadwigi Królowej</t>
  </si>
  <si>
    <t>Liceum Ogólnokształcące "Hossa"  Centrum Edukacji i Wspierania Przedsiębiorczości Szczecińskiej Fundacji "Talent-Promocja-Postęp"</t>
  </si>
  <si>
    <t>I Liceum Ogólnokształcące Towarzystwa Oświatowo-Promocyjnego "Business-Pro"</t>
  </si>
  <si>
    <t>Liceum Ogólnokształcące 
im. św. Jadwigi Królowej dla Dorosłych</t>
  </si>
  <si>
    <t>Prywatne Liceum Ogólnokształcące dla Dorosłych "Twoja Szkoła"</t>
  </si>
  <si>
    <t xml:space="preserve">Liceum Ogólnokształcące dla Dorosłych "Żak" </t>
  </si>
  <si>
    <t xml:space="preserve">Uzupełniające Liceum Ogólnokształcące dla Dorosłych "Żak" </t>
  </si>
  <si>
    <t xml:space="preserve">Prywatne Uzupełniające Liceum Ogólnokształcące dla Dorosłych "Twoja Szkoła" </t>
  </si>
  <si>
    <t>Niepubliczne Dwuletnie Uzupełniające Liceum Ogólnokształcące dla Dorosłych im. św. Jadwigi Królowej</t>
  </si>
  <si>
    <t xml:space="preserve">Policealna Szkoła Centrum Nauki i Biznesu "Żak" </t>
  </si>
  <si>
    <t>Ośrodek Rehabilitacyjno-Edukacyjno-Wychowawczy Polskiego Stowarzyszenia na Rzecz Osób z Upośledzeniem Umysłowym Koło w Świnoujściu</t>
  </si>
  <si>
    <t>Polskie Stowarzyszenie na Rzecz Osób z Upośledzeniem Umysłowym</t>
  </si>
  <si>
    <t>Dofinansowanie kosztów działalności warsztatów terapii zajęciowej</t>
  </si>
  <si>
    <t>Inne dotacje i subwencje udzielone z budżetu miasta Świnoujście 
w 2012 r.</t>
  </si>
  <si>
    <t>Kwota dotacji bieżącej</t>
  </si>
  <si>
    <t>§285</t>
  </si>
  <si>
    <t>§296</t>
  </si>
  <si>
    <t>§300</t>
  </si>
  <si>
    <t>Koszty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</si>
</sst>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22"/>
      <name val="Arial"/>
      <family val="2"/>
    </font>
    <font>
      <b/>
      <i/>
      <sz val="9"/>
      <name val="Arial"/>
      <family val="2"/>
    </font>
    <font>
      <sz val="8"/>
      <color indexed="18"/>
      <name val="Arial CE"/>
      <family val="2"/>
    </font>
    <font>
      <sz val="8"/>
      <color indexed="10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i/>
      <sz val="8"/>
      <color indexed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10"/>
      <name val="Arial CE"/>
      <family val="2"/>
    </font>
    <font>
      <sz val="5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i/>
      <sz val="10"/>
      <color indexed="18"/>
      <name val="Arial CE"/>
      <family val="2"/>
    </font>
    <font>
      <i/>
      <sz val="10"/>
      <name val="Arial CE"/>
      <family val="2"/>
    </font>
    <font>
      <sz val="10"/>
      <color indexed="13"/>
      <name val="Arial CE"/>
      <family val="2"/>
    </font>
    <font>
      <b/>
      <sz val="13"/>
      <name val="Arial CE"/>
      <family val="2"/>
    </font>
    <font>
      <sz val="10"/>
      <name val="Arial "/>
      <family val="2"/>
    </font>
    <font>
      <vertAlign val="superscript"/>
      <sz val="10"/>
      <name val="Arial CE"/>
      <family val="2"/>
    </font>
    <font>
      <sz val="10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20" fillId="20" borderId="1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top"/>
      <protection hidden="1"/>
    </xf>
    <xf numFmtId="0" fontId="22" fillId="0" borderId="10" xfId="0" applyFont="1" applyBorder="1" applyAlignment="1" applyProtection="1">
      <alignment horizontal="center" vertical="top"/>
      <protection hidden="1"/>
    </xf>
    <xf numFmtId="0" fontId="22" fillId="0" borderId="11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3" fontId="20" fillId="0" borderId="10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top"/>
      <protection hidden="1"/>
    </xf>
    <xf numFmtId="49" fontId="23" fillId="0" borderId="12" xfId="0" applyNumberFormat="1" applyFont="1" applyFill="1" applyBorder="1" applyAlignment="1" applyProtection="1">
      <alignment vertical="top"/>
      <protection hidden="1"/>
    </xf>
    <xf numFmtId="3" fontId="23" fillId="0" borderId="12" xfId="0" applyNumberFormat="1" applyFont="1" applyBorder="1" applyAlignment="1" applyProtection="1">
      <alignment vertical="top"/>
      <protection hidden="1"/>
    </xf>
    <xf numFmtId="0" fontId="24" fillId="0" borderId="0" xfId="0" applyFont="1" applyAlignment="1" applyProtection="1">
      <alignment vertical="top"/>
      <protection hidden="1"/>
    </xf>
    <xf numFmtId="49" fontId="24" fillId="0" borderId="13" xfId="0" applyNumberFormat="1" applyFont="1" applyFill="1" applyBorder="1" applyAlignment="1" applyProtection="1">
      <alignment horizontal="center" vertical="top"/>
      <protection hidden="1"/>
    </xf>
    <xf numFmtId="49" fontId="24" fillId="0" borderId="13" xfId="0" applyNumberFormat="1" applyFont="1" applyFill="1" applyBorder="1" applyAlignment="1" applyProtection="1">
      <alignment vertical="top"/>
      <protection hidden="1"/>
    </xf>
    <xf numFmtId="3" fontId="24" fillId="0" borderId="13" xfId="0" applyNumberFormat="1" applyFont="1" applyBorder="1" applyAlignment="1" applyProtection="1">
      <alignment vertical="top"/>
      <protection hidden="1"/>
    </xf>
    <xf numFmtId="49" fontId="25" fillId="0" borderId="13" xfId="0" applyNumberFormat="1" applyFont="1" applyFill="1" applyBorder="1" applyAlignment="1" applyProtection="1">
      <alignment horizontal="center" vertical="top"/>
      <protection hidden="1"/>
    </xf>
    <xf numFmtId="49" fontId="25" fillId="0" borderId="13" xfId="0" applyNumberFormat="1" applyFont="1" applyFill="1" applyBorder="1" applyAlignment="1" applyProtection="1">
      <alignment vertical="top" wrapText="1"/>
      <protection hidden="1"/>
    </xf>
    <xf numFmtId="3" fontId="25" fillId="0" borderId="13" xfId="0" applyNumberFormat="1" applyFont="1" applyBorder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49" fontId="23" fillId="0" borderId="14" xfId="0" applyNumberFormat="1" applyFont="1" applyFill="1" applyBorder="1" applyAlignment="1" applyProtection="1">
      <alignment horizontal="center" vertical="top"/>
      <protection hidden="1"/>
    </xf>
    <xf numFmtId="49" fontId="23" fillId="0" borderId="14" xfId="0" applyNumberFormat="1" applyFont="1" applyFill="1" applyBorder="1" applyAlignment="1" applyProtection="1">
      <alignment vertical="top"/>
      <protection hidden="1"/>
    </xf>
    <xf numFmtId="3" fontId="23" fillId="0" borderId="14" xfId="0" applyNumberFormat="1" applyFont="1" applyBorder="1" applyAlignment="1" applyProtection="1">
      <alignment vertical="top"/>
      <protection hidden="1"/>
    </xf>
    <xf numFmtId="49" fontId="25" fillId="0" borderId="13" xfId="0" applyNumberFormat="1" applyFont="1" applyFill="1" applyBorder="1" applyAlignment="1" applyProtection="1">
      <alignment vertical="top"/>
      <protection hidden="1"/>
    </xf>
    <xf numFmtId="49" fontId="23" fillId="0" borderId="13" xfId="0" applyNumberFormat="1" applyFont="1" applyFill="1" applyBorder="1" applyAlignment="1" applyProtection="1">
      <alignment horizontal="center" vertical="top"/>
      <protection hidden="1"/>
    </xf>
    <xf numFmtId="49" fontId="23" fillId="0" borderId="13" xfId="0" applyNumberFormat="1" applyFont="1" applyFill="1" applyBorder="1" applyAlignment="1" applyProtection="1">
      <alignment vertical="top" wrapText="1"/>
      <protection hidden="1"/>
    </xf>
    <xf numFmtId="3" fontId="23" fillId="0" borderId="13" xfId="0" applyNumberFormat="1" applyFont="1" applyBorder="1" applyAlignment="1" applyProtection="1">
      <alignment vertical="top"/>
      <protection hidden="1"/>
    </xf>
    <xf numFmtId="49" fontId="24" fillId="0" borderId="13" xfId="0" applyNumberFormat="1" applyFont="1" applyFill="1" applyBorder="1" applyAlignment="1" applyProtection="1">
      <alignment vertical="top" wrapText="1"/>
      <protection hidden="1"/>
    </xf>
    <xf numFmtId="49" fontId="25" fillId="0" borderId="13" xfId="0" applyNumberFormat="1" applyFont="1" applyBorder="1" applyAlignment="1" applyProtection="1">
      <alignment vertical="top" wrapText="1"/>
      <protection hidden="1"/>
    </xf>
    <xf numFmtId="49" fontId="25" fillId="0" borderId="14" xfId="0" applyNumberFormat="1" applyFont="1" applyFill="1" applyBorder="1" applyAlignment="1" applyProtection="1">
      <alignment vertical="top" wrapText="1"/>
      <protection hidden="1"/>
    </xf>
    <xf numFmtId="3" fontId="25" fillId="0" borderId="15" xfId="0" applyNumberFormat="1" applyFont="1" applyBorder="1" applyAlignment="1" applyProtection="1">
      <alignment vertical="top"/>
      <protection hidden="1"/>
    </xf>
    <xf numFmtId="3" fontId="23" fillId="0" borderId="15" xfId="0" applyNumberFormat="1" applyFont="1" applyBorder="1" applyAlignment="1" applyProtection="1">
      <alignment vertical="top"/>
      <protection hidden="1"/>
    </xf>
    <xf numFmtId="49" fontId="24" fillId="0" borderId="15" xfId="0" applyNumberFormat="1" applyFont="1" applyFill="1" applyBorder="1" applyAlignment="1" applyProtection="1">
      <alignment horizontal="center" vertical="top"/>
      <protection hidden="1"/>
    </xf>
    <xf numFmtId="3" fontId="24" fillId="0" borderId="15" xfId="0" applyNumberFormat="1" applyFont="1" applyBorder="1" applyAlignment="1" applyProtection="1">
      <alignment vertical="top"/>
      <protection hidden="1"/>
    </xf>
    <xf numFmtId="49" fontId="25" fillId="0" borderId="16" xfId="0" applyNumberFormat="1" applyFont="1" applyFill="1" applyBorder="1" applyAlignment="1" applyProtection="1">
      <alignment horizontal="center" vertical="top"/>
      <protection hidden="1"/>
    </xf>
    <xf numFmtId="49" fontId="25" fillId="0" borderId="17" xfId="0" applyNumberFormat="1" applyFont="1" applyFill="1" applyBorder="1" applyAlignment="1" applyProtection="1">
      <alignment vertical="top" wrapText="1"/>
      <protection hidden="1"/>
    </xf>
    <xf numFmtId="3" fontId="25" fillId="0" borderId="16" xfId="0" applyNumberFormat="1" applyFont="1" applyBorder="1" applyAlignment="1" applyProtection="1">
      <alignment vertical="top"/>
      <protection hidden="1"/>
    </xf>
    <xf numFmtId="3" fontId="25" fillId="0" borderId="17" xfId="0" applyNumberFormat="1" applyFont="1" applyBorder="1" applyAlignment="1" applyProtection="1">
      <alignment vertical="top"/>
      <protection hidden="1"/>
    </xf>
    <xf numFmtId="49" fontId="25" fillId="0" borderId="18" xfId="0" applyNumberFormat="1" applyFont="1" applyFill="1" applyBorder="1" applyAlignment="1" applyProtection="1">
      <alignment horizontal="center" vertical="top"/>
      <protection hidden="1"/>
    </xf>
    <xf numFmtId="3" fontId="25" fillId="0" borderId="18" xfId="0" applyNumberFormat="1" applyFont="1" applyBorder="1" applyAlignment="1" applyProtection="1">
      <alignment vertical="top"/>
      <protection hidden="1"/>
    </xf>
    <xf numFmtId="3" fontId="25" fillId="0" borderId="14" xfId="0" applyNumberFormat="1" applyFont="1" applyBorder="1" applyAlignment="1" applyProtection="1">
      <alignment vertical="top"/>
      <protection hidden="1"/>
    </xf>
    <xf numFmtId="49" fontId="25" fillId="0" borderId="16" xfId="0" applyNumberFormat="1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 vertical="top"/>
      <protection hidden="1"/>
    </xf>
    <xf numFmtId="49" fontId="25" fillId="0" borderId="16" xfId="0" applyNumberFormat="1" applyFont="1" applyFill="1" applyBorder="1" applyAlignment="1" applyProtection="1">
      <alignment vertical="top" wrapText="1"/>
      <protection hidden="1"/>
    </xf>
    <xf numFmtId="49" fontId="25" fillId="0" borderId="14" xfId="0" applyNumberFormat="1" applyFont="1" applyFill="1" applyBorder="1" applyAlignment="1" applyProtection="1">
      <alignment horizontal="center" vertical="top"/>
      <protection hidden="1"/>
    </xf>
    <xf numFmtId="49" fontId="23" fillId="0" borderId="15" xfId="0" applyNumberFormat="1" applyFont="1" applyFill="1" applyBorder="1" applyAlignment="1" applyProtection="1">
      <alignment horizontal="center" vertical="top"/>
      <protection hidden="1"/>
    </xf>
    <xf numFmtId="49" fontId="23" fillId="0" borderId="15" xfId="0" applyNumberFormat="1" applyFont="1" applyFill="1" applyBorder="1" applyAlignment="1" applyProtection="1">
      <alignment vertical="top"/>
      <protection hidden="1"/>
    </xf>
    <xf numFmtId="49" fontId="24" fillId="0" borderId="13" xfId="0" applyNumberFormat="1" applyFont="1" applyBorder="1" applyAlignment="1" applyProtection="1">
      <alignment horizontal="center" vertical="top"/>
      <protection hidden="1"/>
    </xf>
    <xf numFmtId="49" fontId="24" fillId="0" borderId="13" xfId="0" applyNumberFormat="1" applyFont="1" applyBorder="1" applyAlignment="1" applyProtection="1">
      <alignment vertical="top"/>
      <protection hidden="1"/>
    </xf>
    <xf numFmtId="49" fontId="25" fillId="0" borderId="13" xfId="0" applyNumberFormat="1" applyFont="1" applyBorder="1" applyAlignment="1" applyProtection="1">
      <alignment horizontal="center" vertical="top"/>
      <protection hidden="1"/>
    </xf>
    <xf numFmtId="49" fontId="25" fillId="0" borderId="15" xfId="0" applyNumberFormat="1" applyFont="1" applyBorder="1" applyAlignment="1" applyProtection="1">
      <alignment vertical="top" wrapText="1"/>
      <protection hidden="1"/>
    </xf>
    <xf numFmtId="49" fontId="23" fillId="0" borderId="13" xfId="0" applyNumberFormat="1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49" fontId="23" fillId="0" borderId="13" xfId="0" applyNumberFormat="1" applyFont="1" applyBorder="1" applyAlignment="1" applyProtection="1">
      <alignment vertical="top"/>
      <protection hidden="1"/>
    </xf>
    <xf numFmtId="49" fontId="25" fillId="0" borderId="13" xfId="0" applyNumberFormat="1" applyFont="1" applyBorder="1" applyAlignment="1" applyProtection="1">
      <alignment vertical="top"/>
      <protection hidden="1"/>
    </xf>
    <xf numFmtId="49" fontId="25" fillId="0" borderId="13" xfId="0" applyNumberFormat="1" applyFont="1" applyBorder="1" applyAlignment="1" applyProtection="1">
      <alignment horizontal="center" vertical="top" wrapText="1"/>
      <protection hidden="1"/>
    </xf>
    <xf numFmtId="0" fontId="24" fillId="0" borderId="13" xfId="0" applyFont="1" applyBorder="1" applyAlignment="1" applyProtection="1">
      <alignment horizontal="center" vertical="top" wrapText="1"/>
      <protection hidden="1"/>
    </xf>
    <xf numFmtId="49" fontId="24" fillId="0" borderId="13" xfId="0" applyNumberFormat="1" applyFont="1" applyBorder="1" applyAlignment="1" applyProtection="1">
      <alignment vertical="top" wrapText="1"/>
      <protection hidden="1"/>
    </xf>
    <xf numFmtId="0" fontId="25" fillId="0" borderId="13" xfId="0" applyFont="1" applyBorder="1" applyAlignment="1" applyProtection="1">
      <alignment horizontal="center" vertical="top" wrapText="1"/>
      <protection hidden="1"/>
    </xf>
    <xf numFmtId="49" fontId="25" fillId="0" borderId="14" xfId="0" applyNumberFormat="1" applyFont="1" applyBorder="1" applyAlignment="1" applyProtection="1">
      <alignment horizontal="center" vertical="top"/>
      <protection hidden="1"/>
    </xf>
    <xf numFmtId="0" fontId="25" fillId="0" borderId="14" xfId="0" applyFont="1" applyBorder="1" applyAlignment="1" applyProtection="1">
      <alignment horizontal="center" vertical="top" wrapText="1"/>
      <protection hidden="1"/>
    </xf>
    <xf numFmtId="3" fontId="25" fillId="0" borderId="19" xfId="0" applyNumberFormat="1" applyFont="1" applyBorder="1" applyAlignment="1" applyProtection="1">
      <alignment vertical="top"/>
      <protection hidden="1"/>
    </xf>
    <xf numFmtId="0" fontId="25" fillId="0" borderId="14" xfId="0" applyFont="1" applyFill="1" applyBorder="1" applyAlignment="1" applyProtection="1">
      <alignment horizontal="center" vertical="top" wrapText="1"/>
      <protection hidden="1"/>
    </xf>
    <xf numFmtId="49" fontId="23" fillId="0" borderId="13" xfId="0" applyNumberFormat="1" applyFont="1" applyBorder="1" applyAlignment="1" applyProtection="1">
      <alignment horizontal="center" vertical="top" wrapText="1"/>
      <protection hidden="1"/>
    </xf>
    <xf numFmtId="0" fontId="23" fillId="0" borderId="13" xfId="0" applyFont="1" applyBorder="1" applyAlignment="1" applyProtection="1">
      <alignment horizontal="center" vertical="top" wrapText="1"/>
      <protection hidden="1"/>
    </xf>
    <xf numFmtId="49" fontId="23" fillId="0" borderId="13" xfId="0" applyNumberFormat="1" applyFont="1" applyBorder="1" applyAlignment="1" applyProtection="1">
      <alignment vertical="top" wrapText="1"/>
      <protection hidden="1"/>
    </xf>
    <xf numFmtId="0" fontId="25" fillId="0" borderId="13" xfId="0" applyFont="1" applyFill="1" applyBorder="1" applyAlignment="1" applyProtection="1">
      <alignment horizontal="center" vertical="top" wrapText="1"/>
      <protection hidden="1"/>
    </xf>
    <xf numFmtId="49" fontId="25" fillId="0" borderId="15" xfId="0" applyNumberFormat="1" applyFont="1" applyFill="1" applyBorder="1" applyAlignment="1" applyProtection="1">
      <alignment horizontal="center" vertical="top"/>
      <protection hidden="1"/>
    </xf>
    <xf numFmtId="49" fontId="24" fillId="0" borderId="13" xfId="0" applyNumberFormat="1" applyFont="1" applyBorder="1" applyAlignment="1" applyProtection="1">
      <alignment horizontal="center" vertical="top" wrapText="1"/>
      <protection hidden="1"/>
    </xf>
    <xf numFmtId="49" fontId="27" fillId="0" borderId="13" xfId="0" applyNumberFormat="1" applyFont="1" applyBorder="1" applyAlignment="1" applyProtection="1">
      <alignment horizontal="center" vertical="top"/>
      <protection hidden="1"/>
    </xf>
    <xf numFmtId="0" fontId="24" fillId="0" borderId="13" xfId="0" applyFont="1" applyFill="1" applyBorder="1" applyAlignment="1" applyProtection="1">
      <alignment vertical="top" wrapText="1"/>
      <protection hidden="1"/>
    </xf>
    <xf numFmtId="49" fontId="25" fillId="0" borderId="15" xfId="0" applyNumberFormat="1" applyFont="1" applyBorder="1" applyAlignment="1" applyProtection="1">
      <alignment horizontal="center" vertical="top"/>
      <protection hidden="1"/>
    </xf>
    <xf numFmtId="49" fontId="25" fillId="0" borderId="14" xfId="0" applyNumberFormat="1" applyFont="1" applyBorder="1" applyAlignment="1" applyProtection="1">
      <alignment horizontal="center" vertical="top" wrapText="1"/>
      <protection hidden="1"/>
    </xf>
    <xf numFmtId="49" fontId="24" fillId="0" borderId="14" xfId="0" applyNumberFormat="1" applyFont="1" applyBorder="1" applyAlignment="1" applyProtection="1">
      <alignment horizontal="center" vertical="top"/>
      <protection hidden="1"/>
    </xf>
    <xf numFmtId="49" fontId="24" fillId="0" borderId="14" xfId="0" applyNumberFormat="1" applyFont="1" applyBorder="1" applyAlignment="1" applyProtection="1">
      <alignment horizontal="center" vertical="top" wrapText="1"/>
      <protection hidden="1"/>
    </xf>
    <xf numFmtId="49" fontId="24" fillId="0" borderId="14" xfId="0" applyNumberFormat="1" applyFont="1" applyFill="1" applyBorder="1" applyAlignment="1" applyProtection="1">
      <alignment vertical="top" wrapText="1"/>
      <protection hidden="1"/>
    </xf>
    <xf numFmtId="3" fontId="24" fillId="0" borderId="14" xfId="0" applyNumberFormat="1" applyFont="1" applyBorder="1" applyAlignment="1" applyProtection="1">
      <alignment vertical="top"/>
      <protection hidden="1"/>
    </xf>
    <xf numFmtId="49" fontId="25" fillId="0" borderId="14" xfId="0" applyNumberFormat="1" applyFont="1" applyFill="1" applyBorder="1" applyAlignment="1" applyProtection="1">
      <alignment vertical="top"/>
      <protection hidden="1"/>
    </xf>
    <xf numFmtId="49" fontId="23" fillId="0" borderId="14" xfId="0" applyNumberFormat="1" applyFont="1" applyFill="1" applyBorder="1" applyAlignment="1" applyProtection="1">
      <alignment vertical="top" wrapText="1"/>
      <protection hidden="1"/>
    </xf>
    <xf numFmtId="0" fontId="23" fillId="0" borderId="0" xfId="0" applyFont="1" applyAlignment="1" applyProtection="1">
      <alignment vertical="top"/>
      <protection hidden="1"/>
    </xf>
    <xf numFmtId="49" fontId="24" fillId="0" borderId="14" xfId="0" applyNumberFormat="1" applyFont="1" applyFill="1" applyBorder="1" applyAlignment="1" applyProtection="1">
      <alignment horizontal="center" vertical="top"/>
      <protection hidden="1"/>
    </xf>
    <xf numFmtId="49" fontId="24" fillId="0" borderId="13" xfId="0" applyNumberFormat="1" applyFont="1" applyFill="1" applyBorder="1" applyAlignment="1" applyProtection="1">
      <alignment horizontal="left" vertical="top" wrapText="1"/>
      <protection hidden="1"/>
    </xf>
    <xf numFmtId="49" fontId="25" fillId="0" borderId="20" xfId="0" applyNumberFormat="1" applyFont="1" applyFill="1" applyBorder="1" applyAlignment="1" applyProtection="1">
      <alignment horizontal="center" vertical="top"/>
      <protection hidden="1"/>
    </xf>
    <xf numFmtId="0" fontId="25" fillId="0" borderId="20" xfId="0" applyFont="1" applyBorder="1" applyAlignment="1" applyProtection="1">
      <alignment horizontal="center" vertical="top" wrapText="1"/>
      <protection hidden="1"/>
    </xf>
    <xf numFmtId="49" fontId="25" fillId="0" borderId="20" xfId="0" applyNumberFormat="1" applyFont="1" applyFill="1" applyBorder="1" applyAlignment="1" applyProtection="1">
      <alignment vertical="top" wrapText="1"/>
      <protection hidden="1"/>
    </xf>
    <xf numFmtId="3" fontId="25" fillId="0" borderId="20" xfId="0" applyNumberFormat="1" applyFont="1" applyBorder="1" applyAlignment="1" applyProtection="1">
      <alignment vertical="top"/>
      <protection hidden="1"/>
    </xf>
    <xf numFmtId="3" fontId="20" fillId="0" borderId="21" xfId="0" applyNumberFormat="1" applyFont="1" applyBorder="1" applyAlignment="1" applyProtection="1">
      <alignment vertical="center"/>
      <protection hidden="1"/>
    </xf>
    <xf numFmtId="3" fontId="20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49" fontId="25" fillId="0" borderId="17" xfId="0" applyNumberFormat="1" applyFont="1" applyFill="1" applyBorder="1" applyAlignment="1" applyProtection="1">
      <alignment horizontal="center" vertical="top"/>
      <protection hidden="1"/>
    </xf>
    <xf numFmtId="49" fontId="25" fillId="0" borderId="17" xfId="0" applyNumberFormat="1" applyFont="1" applyBorder="1" applyAlignment="1" applyProtection="1">
      <alignment vertical="top" wrapText="1"/>
      <protection hidden="1"/>
    </xf>
    <xf numFmtId="49" fontId="23" fillId="0" borderId="13" xfId="0" applyNumberFormat="1" applyFont="1" applyFill="1" applyBorder="1" applyAlignment="1" applyProtection="1">
      <alignment vertical="top"/>
      <protection hidden="1"/>
    </xf>
    <xf numFmtId="49" fontId="23" fillId="0" borderId="14" xfId="0" applyNumberFormat="1" applyFont="1" applyBorder="1" applyAlignment="1" applyProtection="1">
      <alignment horizontal="center" vertical="top"/>
      <protection hidden="1"/>
    </xf>
    <xf numFmtId="49" fontId="23" fillId="0" borderId="14" xfId="0" applyNumberFormat="1" applyFont="1" applyBorder="1" applyAlignment="1" applyProtection="1">
      <alignment vertical="top" wrapText="1"/>
      <protection hidden="1"/>
    </xf>
    <xf numFmtId="49" fontId="25" fillId="0" borderId="21" xfId="0" applyNumberFormat="1" applyFont="1" applyBorder="1" applyAlignment="1" applyProtection="1">
      <alignment horizontal="center" vertical="top"/>
      <protection hidden="1"/>
    </xf>
    <xf numFmtId="49" fontId="25" fillId="0" borderId="21" xfId="0" applyNumberFormat="1" applyFont="1" applyBorder="1" applyAlignment="1" applyProtection="1">
      <alignment horizontal="center" vertical="top" wrapText="1"/>
      <protection hidden="1"/>
    </xf>
    <xf numFmtId="49" fontId="25" fillId="0" borderId="21" xfId="0" applyNumberFormat="1" applyFont="1" applyFill="1" applyBorder="1" applyAlignment="1" applyProtection="1">
      <alignment vertical="top" wrapText="1"/>
      <protection hidden="1"/>
    </xf>
    <xf numFmtId="3" fontId="25" fillId="0" borderId="21" xfId="0" applyNumberFormat="1" applyFont="1" applyBorder="1" applyAlignment="1" applyProtection="1">
      <alignment vertical="top"/>
      <protection hidden="1"/>
    </xf>
    <xf numFmtId="3" fontId="21" fillId="0" borderId="0" xfId="0" applyNumberFormat="1" applyFont="1" applyAlignment="1" applyProtection="1">
      <alignment vertical="top"/>
      <protection hidden="1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22" xfId="0" applyFont="1" applyFill="1" applyBorder="1" applyAlignment="1">
      <alignment vertical="center" wrapText="1"/>
    </xf>
    <xf numFmtId="0" fontId="34" fillId="20" borderId="23" xfId="0" applyFont="1" applyFill="1" applyBorder="1" applyAlignment="1">
      <alignment vertical="center" wrapText="1"/>
    </xf>
    <xf numFmtId="0" fontId="35" fillId="20" borderId="23" xfId="0" applyFont="1" applyFill="1" applyBorder="1" applyAlignment="1">
      <alignment/>
    </xf>
    <xf numFmtId="0" fontId="36" fillId="20" borderId="23" xfId="0" applyFont="1" applyFill="1" applyBorder="1" applyAlignment="1">
      <alignment/>
    </xf>
    <xf numFmtId="0" fontId="35" fillId="20" borderId="24" xfId="0" applyFont="1" applyFill="1" applyBorder="1" applyAlignment="1">
      <alignment/>
    </xf>
    <xf numFmtId="0" fontId="37" fillId="0" borderId="0" xfId="0" applyFont="1" applyAlignment="1">
      <alignment/>
    </xf>
    <xf numFmtId="0" fontId="34" fillId="20" borderId="25" xfId="0" applyFont="1" applyFill="1" applyBorder="1" applyAlignment="1">
      <alignment vertical="center" wrapText="1"/>
    </xf>
    <xf numFmtId="0" fontId="34" fillId="20" borderId="11" xfId="0" applyFont="1" applyFill="1" applyBorder="1" applyAlignment="1">
      <alignment vertical="center" wrapText="1"/>
    </xf>
    <xf numFmtId="0" fontId="34" fillId="20" borderId="26" xfId="0" applyFont="1" applyFill="1" applyBorder="1" applyAlignment="1">
      <alignment vertical="center" wrapText="1"/>
    </xf>
    <xf numFmtId="0" fontId="35" fillId="20" borderId="10" xfId="0" applyFont="1" applyFill="1" applyBorder="1" applyAlignment="1">
      <alignment/>
    </xf>
    <xf numFmtId="49" fontId="37" fillId="0" borderId="21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9" fontId="33" fillId="0" borderId="14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3" fontId="33" fillId="0" borderId="14" xfId="0" applyNumberFormat="1" applyFont="1" applyBorder="1" applyAlignment="1">
      <alignment horizontal="right" vertical="top" wrapText="1"/>
    </xf>
    <xf numFmtId="0" fontId="33" fillId="0" borderId="0" xfId="0" applyFont="1" applyAlignment="1">
      <alignment/>
    </xf>
    <xf numFmtId="49" fontId="37" fillId="0" borderId="13" xfId="0" applyNumberFormat="1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3" fontId="37" fillId="0" borderId="13" xfId="0" applyNumberFormat="1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horizontal="right" vertical="top"/>
    </xf>
    <xf numFmtId="49" fontId="33" fillId="0" borderId="13" xfId="0" applyNumberFormat="1" applyFont="1" applyBorder="1" applyAlignment="1">
      <alignment horizontal="center" vertical="top" wrapText="1"/>
    </xf>
    <xf numFmtId="0" fontId="33" fillId="0" borderId="13" xfId="0" applyFont="1" applyBorder="1" applyAlignment="1">
      <alignment vertical="top" wrapText="1"/>
    </xf>
    <xf numFmtId="3" fontId="33" fillId="0" borderId="13" xfId="0" applyNumberFormat="1" applyFont="1" applyBorder="1" applyAlignment="1">
      <alignment horizontal="right" vertical="top" wrapText="1"/>
    </xf>
    <xf numFmtId="49" fontId="38" fillId="0" borderId="13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vertical="top" wrapText="1"/>
    </xf>
    <xf numFmtId="3" fontId="38" fillId="0" borderId="13" xfId="0" applyNumberFormat="1" applyFont="1" applyBorder="1" applyAlignment="1">
      <alignment horizontal="right" vertical="top" wrapText="1"/>
    </xf>
    <xf numFmtId="3" fontId="38" fillId="0" borderId="13" xfId="0" applyNumberFormat="1" applyFont="1" applyBorder="1" applyAlignment="1">
      <alignment horizontal="right" vertical="top"/>
    </xf>
    <xf numFmtId="0" fontId="38" fillId="0" borderId="0" xfId="0" applyFont="1" applyAlignment="1">
      <alignment/>
    </xf>
    <xf numFmtId="3" fontId="39" fillId="0" borderId="13" xfId="0" applyNumberFormat="1" applyFont="1" applyBorder="1" applyAlignment="1">
      <alignment horizontal="right" vertical="top"/>
    </xf>
    <xf numFmtId="49" fontId="37" fillId="0" borderId="13" xfId="0" applyNumberFormat="1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vertical="top" wrapText="1"/>
    </xf>
    <xf numFmtId="3" fontId="37" fillId="0" borderId="13" xfId="0" applyNumberFormat="1" applyFont="1" applyFill="1" applyBorder="1" applyAlignment="1">
      <alignment horizontal="right" vertical="top" wrapText="1"/>
    </xf>
    <xf numFmtId="3" fontId="37" fillId="0" borderId="13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/>
    </xf>
    <xf numFmtId="3" fontId="33" fillId="0" borderId="24" xfId="0" applyNumberFormat="1" applyFont="1" applyBorder="1" applyAlignment="1">
      <alignment horizontal="right" vertical="top" wrapText="1"/>
    </xf>
    <xf numFmtId="3" fontId="38" fillId="0" borderId="27" xfId="0" applyNumberFormat="1" applyFont="1" applyBorder="1" applyAlignment="1">
      <alignment horizontal="right" vertical="top" wrapText="1"/>
    </xf>
    <xf numFmtId="49" fontId="37" fillId="0" borderId="19" xfId="0" applyNumberFormat="1" applyFont="1" applyBorder="1" applyAlignment="1">
      <alignment horizontal="center" vertical="top" wrapText="1"/>
    </xf>
    <xf numFmtId="0" fontId="37" fillId="0" borderId="19" xfId="0" applyFont="1" applyBorder="1" applyAlignment="1">
      <alignment vertical="top" wrapText="1"/>
    </xf>
    <xf numFmtId="3" fontId="37" fillId="0" borderId="19" xfId="0" applyNumberFormat="1" applyFont="1" applyBorder="1" applyAlignment="1">
      <alignment horizontal="right" vertical="top" wrapText="1"/>
    </xf>
    <xf numFmtId="3" fontId="37" fillId="0" borderId="19" xfId="0" applyNumberFormat="1" applyFont="1" applyBorder="1" applyAlignment="1">
      <alignment horizontal="right" vertical="top"/>
    </xf>
    <xf numFmtId="3" fontId="33" fillId="0" borderId="10" xfId="0" applyNumberFormat="1" applyFont="1" applyBorder="1" applyAlignment="1">
      <alignment horizontal="right" vertical="top" wrapText="1"/>
    </xf>
    <xf numFmtId="3" fontId="33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3" fontId="31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41" fillId="20" borderId="10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center" vertical="center" wrapText="1"/>
    </xf>
    <xf numFmtId="0" fontId="41" fillId="20" borderId="28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3" fontId="41" fillId="0" borderId="21" xfId="0" applyNumberFormat="1" applyFont="1" applyBorder="1" applyAlignment="1">
      <alignment vertical="center"/>
    </xf>
    <xf numFmtId="3" fontId="41" fillId="0" borderId="26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 wrapText="1"/>
    </xf>
    <xf numFmtId="0" fontId="0" fillId="0" borderId="13" xfId="51" applyFont="1" applyBorder="1" applyAlignment="1">
      <alignment horizontal="left" vertical="center" wrapText="1"/>
      <protection/>
    </xf>
    <xf numFmtId="3" fontId="0" fillId="24" borderId="27" xfId="0" applyNumberFormat="1" applyFont="1" applyFill="1" applyBorder="1" applyAlignment="1">
      <alignment vertical="center"/>
    </xf>
    <xf numFmtId="0" fontId="0" fillId="0" borderId="29" xfId="51" applyFont="1" applyBorder="1" applyAlignment="1">
      <alignment horizontal="left" vertical="center" wrapText="1"/>
      <protection/>
    </xf>
    <xf numFmtId="3" fontId="0" fillId="24" borderId="29" xfId="0" applyNumberFormat="1" applyFont="1" applyFill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 wrapText="1"/>
    </xf>
    <xf numFmtId="0" fontId="41" fillId="0" borderId="22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3" fontId="41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4" fontId="43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" fontId="41" fillId="0" borderId="13" xfId="0" applyNumberFormat="1" applyFont="1" applyBorder="1" applyAlignment="1">
      <alignment vertical="center"/>
    </xf>
    <xf numFmtId="0" fontId="41" fillId="0" borderId="0" xfId="0" applyFont="1" applyAlignment="1">
      <alignment/>
    </xf>
    <xf numFmtId="3" fontId="46" fillId="0" borderId="13" xfId="0" applyNumberFormat="1" applyFont="1" applyBorder="1" applyAlignment="1">
      <alignment vertical="center"/>
    </xf>
    <xf numFmtId="0" fontId="46" fillId="0" borderId="0" xfId="0" applyFont="1" applyAlignment="1">
      <alignment/>
    </xf>
    <xf numFmtId="3" fontId="45" fillId="0" borderId="13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49" fontId="41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3" fontId="4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indent="2"/>
    </xf>
    <xf numFmtId="0" fontId="0" fillId="0" borderId="20" xfId="0" applyFont="1" applyBorder="1" applyAlignment="1">
      <alignment horizontal="left" vertical="center" wrapText="1" indent="2"/>
    </xf>
    <xf numFmtId="0" fontId="43" fillId="0" borderId="0" xfId="0" applyFont="1" applyAlignment="1">
      <alignment/>
    </xf>
    <xf numFmtId="0" fontId="41" fillId="20" borderId="22" xfId="0" applyFont="1" applyFill="1" applyBorder="1" applyAlignment="1">
      <alignment horizontal="center" vertical="center" wrapText="1"/>
    </xf>
    <xf numFmtId="3" fontId="41" fillId="0" borderId="22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8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3" fontId="41" fillId="0" borderId="1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3" fontId="41" fillId="0" borderId="22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33" xfId="0" applyFont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54" fillId="0" borderId="3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3" fontId="45" fillId="0" borderId="19" xfId="0" applyNumberFormat="1" applyFont="1" applyFill="1" applyBorder="1" applyAlignment="1">
      <alignment vertical="center"/>
    </xf>
    <xf numFmtId="0" fontId="52" fillId="0" borderId="27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41" fillId="0" borderId="21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/>
      <protection hidden="1"/>
    </xf>
    <xf numFmtId="0" fontId="20" fillId="20" borderId="28" xfId="0" applyFont="1" applyFill="1" applyBorder="1" applyAlignment="1" applyProtection="1">
      <alignment horizontal="center" vertical="center"/>
      <protection hidden="1"/>
    </xf>
    <xf numFmtId="0" fontId="20" fillId="20" borderId="10" xfId="0" applyFont="1" applyFill="1" applyBorder="1" applyAlignment="1" applyProtection="1">
      <alignment horizontal="center" vertical="center"/>
      <protection hidden="1"/>
    </xf>
    <xf numFmtId="0" fontId="20" fillId="20" borderId="10" xfId="0" applyFont="1" applyFill="1" applyBorder="1" applyAlignment="1" applyProtection="1">
      <alignment horizontal="center" vertical="center" wrapText="1"/>
      <protection hidden="1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33" fillId="20" borderId="10" xfId="0" applyNumberFormat="1" applyFont="1" applyFill="1" applyBorder="1" applyAlignment="1">
      <alignment horizontal="center" vertical="center" textRotation="255" wrapText="1"/>
    </xf>
    <xf numFmtId="0" fontId="33" fillId="2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PI jednolity2009 nin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arak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</sheetNames>
    <sheetDataSet>
      <sheetData sheetId="0">
        <row r="918">
          <cell r="J918" t="str">
            <v/>
          </cell>
        </row>
        <row r="935">
          <cell r="J935" t="str">
            <v/>
          </cell>
        </row>
        <row r="959">
          <cell r="J9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view="pageBreakPreview" zoomScaleSheetLayoutView="100" zoomScalePageLayoutView="0" workbookViewId="0" topLeftCell="A1">
      <pane ySplit="6" topLeftCell="A262" activePane="bottomLeft" state="frozen"/>
      <selection pane="topLeft" activeCell="A1" sqref="A1"/>
      <selection pane="bottomLeft" activeCell="E268" sqref="E268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5.375" style="1" customWidth="1"/>
    <col min="4" max="4" width="41.00390625" style="1" customWidth="1"/>
    <col min="5" max="5" width="11.125" style="1" customWidth="1"/>
    <col min="6" max="6" width="11.00390625" style="1" customWidth="1"/>
    <col min="7" max="7" width="10.75390625" style="1" customWidth="1"/>
    <col min="8" max="8" width="13.375" style="1" customWidth="1"/>
    <col min="9" max="16384" width="9.125" style="1" customWidth="1"/>
  </cols>
  <sheetData>
    <row r="1" spans="1:7" ht="18">
      <c r="A1" s="360" t="s">
        <v>0</v>
      </c>
      <c r="B1" s="360"/>
      <c r="C1" s="360"/>
      <c r="D1" s="360"/>
      <c r="E1" s="360"/>
      <c r="F1" s="360"/>
      <c r="G1" s="360"/>
    </row>
    <row r="2" spans="2:4" ht="18">
      <c r="B2" s="2"/>
      <c r="C2" s="2"/>
      <c r="D2" s="2"/>
    </row>
    <row r="3" spans="5:7" ht="12.75">
      <c r="E3" s="3"/>
      <c r="F3" s="3"/>
      <c r="G3" s="3" t="s">
        <v>1</v>
      </c>
    </row>
    <row r="4" spans="1:7" s="5" customFormat="1" ht="15" customHeight="1">
      <c r="A4" s="361" t="s">
        <v>2</v>
      </c>
      <c r="B4" s="361" t="s">
        <v>3</v>
      </c>
      <c r="C4" s="362" t="s">
        <v>4</v>
      </c>
      <c r="D4" s="362" t="s">
        <v>5</v>
      </c>
      <c r="E4" s="363" t="s">
        <v>6</v>
      </c>
      <c r="F4" s="362" t="s">
        <v>7</v>
      </c>
      <c r="G4" s="362"/>
    </row>
    <row r="5" spans="1:7" s="5" customFormat="1" ht="29.25" customHeight="1">
      <c r="A5" s="361"/>
      <c r="B5" s="361"/>
      <c r="C5" s="362"/>
      <c r="D5" s="362"/>
      <c r="E5" s="363"/>
      <c r="F5" s="4" t="s">
        <v>8</v>
      </c>
      <c r="G5" s="4" t="s">
        <v>9</v>
      </c>
    </row>
    <row r="6" spans="1:7" s="8" customFormat="1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6">
        <v>7</v>
      </c>
    </row>
    <row r="7" spans="1:7" s="10" customFormat="1" ht="24.75" customHeight="1">
      <c r="A7" s="357" t="s">
        <v>10</v>
      </c>
      <c r="B7" s="357"/>
      <c r="C7" s="357"/>
      <c r="D7" s="357"/>
      <c r="E7" s="9">
        <f>SUM(E8,E11,E15,E25,E34,E45,E48,E64,E67,E77,E110,E117,E123,E128,E151,E158,E174,E178)</f>
        <v>179225546</v>
      </c>
      <c r="F7" s="9">
        <f>SUM(F8,F11,F15,F25,F34,F45,F48,F64,F67,F77,F110,F117,F123,F128,F151,F158,F174,F178)</f>
        <v>112245482</v>
      </c>
      <c r="G7" s="9">
        <f>SUM(G8,G11,G15,G25,G34,G45,G48,G64,G67,G77,G110,G117,G123,G128,G151,G158,G174,G178)</f>
        <v>66980064</v>
      </c>
    </row>
    <row r="8" spans="1:7" s="14" customFormat="1" ht="12.75" customHeight="1" hidden="1">
      <c r="A8" s="11" t="s">
        <v>11</v>
      </c>
      <c r="B8" s="11"/>
      <c r="C8" s="11"/>
      <c r="D8" s="12" t="s">
        <v>12</v>
      </c>
      <c r="E8" s="13">
        <f aca="true" t="shared" si="0" ref="E8:G9">E9</f>
        <v>0</v>
      </c>
      <c r="F8" s="13">
        <f t="shared" si="0"/>
        <v>0</v>
      </c>
      <c r="G8" s="13">
        <f t="shared" si="0"/>
        <v>0</v>
      </c>
    </row>
    <row r="9" spans="1:7" s="14" customFormat="1" ht="12.75" customHeight="1" hidden="1">
      <c r="A9" s="15"/>
      <c r="B9" s="15" t="s">
        <v>13</v>
      </c>
      <c r="C9" s="15"/>
      <c r="D9" s="16" t="s">
        <v>14</v>
      </c>
      <c r="E9" s="17">
        <f t="shared" si="0"/>
        <v>0</v>
      </c>
      <c r="F9" s="17">
        <f t="shared" si="0"/>
        <v>0</v>
      </c>
      <c r="G9" s="17">
        <f t="shared" si="0"/>
        <v>0</v>
      </c>
    </row>
    <row r="10" spans="1:7" s="21" customFormat="1" ht="12.75" customHeight="1" hidden="1">
      <c r="A10" s="18"/>
      <c r="B10" s="18"/>
      <c r="C10" s="18" t="s">
        <v>15</v>
      </c>
      <c r="D10" s="19"/>
      <c r="E10" s="20">
        <f>SUM(F10,G10)</f>
        <v>0</v>
      </c>
      <c r="F10" s="20">
        <v>0</v>
      </c>
      <c r="G10" s="20">
        <v>0</v>
      </c>
    </row>
    <row r="11" spans="1:7" s="14" customFormat="1" ht="19.5" customHeight="1">
      <c r="A11" s="22" t="s">
        <v>16</v>
      </c>
      <c r="B11" s="22"/>
      <c r="C11" s="22"/>
      <c r="D11" s="23" t="s">
        <v>17</v>
      </c>
      <c r="E11" s="24">
        <f>E12</f>
        <v>41500</v>
      </c>
      <c r="F11" s="24">
        <f>F12</f>
        <v>1500</v>
      </c>
      <c r="G11" s="24">
        <f>G12</f>
        <v>40000</v>
      </c>
    </row>
    <row r="12" spans="1:7" s="14" customFormat="1" ht="19.5" customHeight="1">
      <c r="A12" s="15"/>
      <c r="B12" s="15" t="s">
        <v>18</v>
      </c>
      <c r="C12" s="15"/>
      <c r="D12" s="16" t="s">
        <v>14</v>
      </c>
      <c r="E12" s="17">
        <f>E13+E14</f>
        <v>41500</v>
      </c>
      <c r="F12" s="17">
        <f>F13+F14</f>
        <v>1500</v>
      </c>
      <c r="G12" s="17">
        <f>G13+G14</f>
        <v>40000</v>
      </c>
    </row>
    <row r="13" spans="1:7" s="21" customFormat="1" ht="19.5" customHeight="1">
      <c r="A13" s="18"/>
      <c r="B13" s="18"/>
      <c r="C13" s="18" t="s">
        <v>19</v>
      </c>
      <c r="D13" s="25" t="s">
        <v>20</v>
      </c>
      <c r="E13" s="20">
        <f>SUM(F13,G13)</f>
        <v>1500</v>
      </c>
      <c r="F13" s="20">
        <v>1500</v>
      </c>
      <c r="G13" s="20">
        <v>0</v>
      </c>
    </row>
    <row r="14" spans="1:7" s="21" customFormat="1" ht="19.5" customHeight="1">
      <c r="A14" s="18"/>
      <c r="B14" s="18"/>
      <c r="C14" s="18" t="s">
        <v>21</v>
      </c>
      <c r="D14" s="19" t="s">
        <v>22</v>
      </c>
      <c r="E14" s="20">
        <f>SUM(F14,G14)</f>
        <v>40000</v>
      </c>
      <c r="F14" s="20">
        <v>0</v>
      </c>
      <c r="G14" s="20">
        <v>40000</v>
      </c>
    </row>
    <row r="15" spans="1:7" s="14" customFormat="1" ht="19.5" customHeight="1">
      <c r="A15" s="26" t="s">
        <v>23</v>
      </c>
      <c r="B15" s="26"/>
      <c r="C15" s="26"/>
      <c r="D15" s="27" t="s">
        <v>24</v>
      </c>
      <c r="E15" s="28">
        <f>SUM(E16,E22)</f>
        <v>5818076</v>
      </c>
      <c r="F15" s="28">
        <f>SUM(F16,F22)</f>
        <v>1129040</v>
      </c>
      <c r="G15" s="28">
        <f>SUM(G16,G22)</f>
        <v>4689036</v>
      </c>
    </row>
    <row r="16" spans="1:7" s="14" customFormat="1" ht="19.5" customHeight="1">
      <c r="A16" s="15"/>
      <c r="B16" s="15" t="s">
        <v>25</v>
      </c>
      <c r="C16" s="15"/>
      <c r="D16" s="29" t="s">
        <v>26</v>
      </c>
      <c r="E16" s="17">
        <f>SUM(E17,E18,E19,E20)</f>
        <v>5614036</v>
      </c>
      <c r="F16" s="17">
        <f>SUM(F17,F18,F19,F20)</f>
        <v>925000</v>
      </c>
      <c r="G16" s="17">
        <f>SUM(G17,G18,G19,G20)</f>
        <v>4689036</v>
      </c>
    </row>
    <row r="17" spans="1:7" s="21" customFormat="1" ht="21" customHeight="1">
      <c r="A17" s="18"/>
      <c r="B17" s="18"/>
      <c r="C17" s="18" t="s">
        <v>19</v>
      </c>
      <c r="D17" s="25" t="s">
        <v>20</v>
      </c>
      <c r="E17" s="20">
        <f>SUM(F17,G17)</f>
        <v>325000</v>
      </c>
      <c r="F17" s="20">
        <v>325000</v>
      </c>
      <c r="G17" s="20">
        <v>0</v>
      </c>
    </row>
    <row r="18" spans="1:7" s="21" customFormat="1" ht="20.25" customHeight="1">
      <c r="A18" s="18"/>
      <c r="B18" s="18"/>
      <c r="C18" s="18" t="s">
        <v>21</v>
      </c>
      <c r="D18" s="19" t="s">
        <v>22</v>
      </c>
      <c r="E18" s="20">
        <f>SUM(F18,G18)</f>
        <v>25000</v>
      </c>
      <c r="F18" s="20">
        <v>0</v>
      </c>
      <c r="G18" s="20">
        <v>25000</v>
      </c>
    </row>
    <row r="19" spans="1:7" s="21" customFormat="1" ht="20.25" customHeight="1">
      <c r="A19" s="18"/>
      <c r="B19" s="18"/>
      <c r="C19" s="18" t="s">
        <v>27</v>
      </c>
      <c r="D19" s="25" t="s">
        <v>28</v>
      </c>
      <c r="E19" s="20">
        <f>SUM(F19,G19)</f>
        <v>600000</v>
      </c>
      <c r="F19" s="20">
        <v>600000</v>
      </c>
      <c r="G19" s="20">
        <v>0</v>
      </c>
    </row>
    <row r="20" spans="1:7" s="21" customFormat="1" ht="50.25" customHeight="1">
      <c r="A20" s="18"/>
      <c r="B20" s="18"/>
      <c r="C20" s="18" t="s">
        <v>29</v>
      </c>
      <c r="D20" s="30" t="s">
        <v>30</v>
      </c>
      <c r="E20" s="20">
        <f>SUM(F20:G20)</f>
        <v>4664036</v>
      </c>
      <c r="F20" s="20">
        <v>0</v>
      </c>
      <c r="G20" s="20">
        <v>4664036</v>
      </c>
    </row>
    <row r="21" spans="1:7" s="21" customFormat="1" ht="12.75" customHeight="1" hidden="1">
      <c r="A21" s="18"/>
      <c r="B21" s="18"/>
      <c r="C21" s="18"/>
      <c r="D21" s="31" t="s">
        <v>31</v>
      </c>
      <c r="E21" s="20"/>
      <c r="F21" s="20"/>
      <c r="G21" s="20"/>
    </row>
    <row r="22" spans="1:7" s="14" customFormat="1" ht="19.5" customHeight="1">
      <c r="A22" s="15"/>
      <c r="B22" s="15" t="s">
        <v>32</v>
      </c>
      <c r="C22" s="15"/>
      <c r="D22" s="29" t="s">
        <v>33</v>
      </c>
      <c r="E22" s="17">
        <f>SUM(E23,E24)</f>
        <v>204040</v>
      </c>
      <c r="F22" s="17">
        <f>SUM(F23,F24)</f>
        <v>204040</v>
      </c>
      <c r="G22" s="17">
        <f>SUM(G23,G24)</f>
        <v>0</v>
      </c>
    </row>
    <row r="23" spans="1:7" s="21" customFormat="1" ht="12.75" customHeight="1" hidden="1">
      <c r="A23" s="18"/>
      <c r="B23" s="18"/>
      <c r="C23" s="18" t="s">
        <v>19</v>
      </c>
      <c r="D23" s="25" t="s">
        <v>20</v>
      </c>
      <c r="E23" s="20">
        <f>SUM(F23,G23)</f>
        <v>0</v>
      </c>
      <c r="F23" s="20">
        <v>0</v>
      </c>
      <c r="G23" s="20">
        <v>0</v>
      </c>
    </row>
    <row r="24" spans="1:7" s="21" customFormat="1" ht="67.5" customHeight="1">
      <c r="A24" s="18"/>
      <c r="B24" s="18"/>
      <c r="C24" s="18" t="s">
        <v>34</v>
      </c>
      <c r="D24" s="19" t="s">
        <v>35</v>
      </c>
      <c r="E24" s="20">
        <f>SUM(F24,G24)</f>
        <v>204040</v>
      </c>
      <c r="F24" s="32">
        <v>204040</v>
      </c>
      <c r="G24" s="20">
        <v>0</v>
      </c>
    </row>
    <row r="25" spans="1:7" s="14" customFormat="1" ht="19.5" customHeight="1">
      <c r="A25" s="26" t="s">
        <v>36</v>
      </c>
      <c r="B25" s="26"/>
      <c r="C25" s="26"/>
      <c r="D25" s="27" t="s">
        <v>37</v>
      </c>
      <c r="E25" s="33">
        <f>SUM(E26,E29)</f>
        <v>2363230</v>
      </c>
      <c r="F25" s="33">
        <f>SUM(F26,F29)</f>
        <v>10000</v>
      </c>
      <c r="G25" s="28">
        <f>SUM(G26,G29)</f>
        <v>2353230</v>
      </c>
    </row>
    <row r="26" spans="1:7" s="14" customFormat="1" ht="19.5" customHeight="1">
      <c r="A26" s="15"/>
      <c r="B26" s="15" t="s">
        <v>38</v>
      </c>
      <c r="C26" s="34"/>
      <c r="D26" s="29" t="s">
        <v>39</v>
      </c>
      <c r="E26" s="35">
        <f>E27</f>
        <v>10000</v>
      </c>
      <c r="F26" s="35">
        <f>F27</f>
        <v>10000</v>
      </c>
      <c r="G26" s="17">
        <f>G27</f>
        <v>0</v>
      </c>
    </row>
    <row r="27" spans="1:7" s="21" customFormat="1" ht="55.5" customHeight="1">
      <c r="A27" s="36"/>
      <c r="B27" s="36"/>
      <c r="C27" s="36" t="s">
        <v>40</v>
      </c>
      <c r="D27" s="37" t="s">
        <v>41</v>
      </c>
      <c r="E27" s="38">
        <f>SUM(F27,G27)</f>
        <v>10000</v>
      </c>
      <c r="F27" s="38">
        <v>10000</v>
      </c>
      <c r="G27" s="39">
        <v>0</v>
      </c>
    </row>
    <row r="28" spans="1:7" s="21" customFormat="1" ht="12.75" customHeight="1" hidden="1">
      <c r="A28" s="40"/>
      <c r="B28" s="40"/>
      <c r="C28" s="40"/>
      <c r="D28" s="31" t="s">
        <v>31</v>
      </c>
      <c r="E28" s="41"/>
      <c r="F28" s="41"/>
      <c r="G28" s="42"/>
    </row>
    <row r="29" spans="1:7" s="14" customFormat="1" ht="19.5" customHeight="1">
      <c r="A29" s="15"/>
      <c r="B29" s="15" t="s">
        <v>42</v>
      </c>
      <c r="C29" s="34"/>
      <c r="D29" s="29" t="s">
        <v>14</v>
      </c>
      <c r="E29" s="35">
        <f>SUM(E30,E31,E32)</f>
        <v>2353230</v>
      </c>
      <c r="F29" s="35">
        <f>SUM(F30,F31,F32)</f>
        <v>0</v>
      </c>
      <c r="G29" s="17">
        <f>SUM(G30,G31,G32)</f>
        <v>2353230</v>
      </c>
    </row>
    <row r="30" spans="1:8" s="21" customFormat="1" ht="51.75" customHeight="1">
      <c r="A30" s="36"/>
      <c r="B30" s="36"/>
      <c r="C30" s="36" t="s">
        <v>29</v>
      </c>
      <c r="D30" s="43" t="s">
        <v>30</v>
      </c>
      <c r="E30" s="38">
        <f>SUM(F30,G30)</f>
        <v>1927265</v>
      </c>
      <c r="F30" s="38">
        <v>0</v>
      </c>
      <c r="G30" s="39">
        <v>1927265</v>
      </c>
      <c r="H30" s="44"/>
    </row>
    <row r="31" spans="1:7" s="21" customFormat="1" ht="12.75" customHeight="1" hidden="1">
      <c r="A31" s="36"/>
      <c r="B31" s="36"/>
      <c r="C31" s="36" t="s">
        <v>43</v>
      </c>
      <c r="D31" s="45" t="s">
        <v>44</v>
      </c>
      <c r="E31" s="38">
        <f>SUM(F31,G31)</f>
        <v>0</v>
      </c>
      <c r="F31" s="38"/>
      <c r="G31" s="39"/>
    </row>
    <row r="32" spans="1:7" s="21" customFormat="1" ht="55.5" customHeight="1">
      <c r="A32" s="36"/>
      <c r="B32" s="36"/>
      <c r="C32" s="36" t="s">
        <v>29</v>
      </c>
      <c r="D32" s="43" t="s">
        <v>30</v>
      </c>
      <c r="E32" s="38">
        <f>SUM(F32,G32)</f>
        <v>425965</v>
      </c>
      <c r="F32" s="38">
        <v>0</v>
      </c>
      <c r="G32" s="39">
        <v>425965</v>
      </c>
    </row>
    <row r="33" spans="1:7" s="21" customFormat="1" ht="12.75" customHeight="1" hidden="1">
      <c r="A33" s="40"/>
      <c r="B33" s="40"/>
      <c r="C33" s="46"/>
      <c r="D33" s="31" t="s">
        <v>31</v>
      </c>
      <c r="E33" s="41"/>
      <c r="F33" s="41"/>
      <c r="G33" s="42"/>
    </row>
    <row r="34" spans="1:7" s="14" customFormat="1" ht="19.5" customHeight="1">
      <c r="A34" s="26" t="s">
        <v>45</v>
      </c>
      <c r="B34" s="47"/>
      <c r="C34" s="26"/>
      <c r="D34" s="48" t="s">
        <v>46</v>
      </c>
      <c r="E34" s="33">
        <f>SUM(E35,E42)</f>
        <v>59428000</v>
      </c>
      <c r="F34" s="33">
        <f>SUM(F35,F42)</f>
        <v>4880000</v>
      </c>
      <c r="G34" s="28">
        <f>SUM(G35,G42)</f>
        <v>54548000</v>
      </c>
    </row>
    <row r="35" spans="1:7" s="14" customFormat="1" ht="19.5" customHeight="1">
      <c r="A35" s="18"/>
      <c r="B35" s="15" t="s">
        <v>47</v>
      </c>
      <c r="C35" s="15"/>
      <c r="D35" s="16" t="s">
        <v>48</v>
      </c>
      <c r="E35" s="35">
        <f>SUM(E36,E37,E38,E39,E40,E41)</f>
        <v>58753000</v>
      </c>
      <c r="F35" s="35">
        <f>SUM(F36,F37,F38,F39,F40,F41)</f>
        <v>4880000</v>
      </c>
      <c r="G35" s="17">
        <f>SUM(G36,G37,G38,G39,G40,G41)</f>
        <v>53873000</v>
      </c>
    </row>
    <row r="36" spans="1:7" s="21" customFormat="1" ht="32.25" customHeight="1">
      <c r="A36" s="18"/>
      <c r="B36" s="18"/>
      <c r="C36" s="18" t="s">
        <v>49</v>
      </c>
      <c r="D36" s="19" t="s">
        <v>50</v>
      </c>
      <c r="E36" s="20">
        <f aca="true" t="shared" si="1" ref="E36:E41">SUM(F36,G36)</f>
        <v>2500000</v>
      </c>
      <c r="F36" s="20">
        <v>2500000</v>
      </c>
      <c r="G36" s="20">
        <v>0</v>
      </c>
    </row>
    <row r="37" spans="1:7" s="21" customFormat="1" ht="67.5" customHeight="1">
      <c r="A37" s="18"/>
      <c r="B37" s="18"/>
      <c r="C37" s="18" t="s">
        <v>34</v>
      </c>
      <c r="D37" s="19" t="s">
        <v>35</v>
      </c>
      <c r="E37" s="20">
        <f t="shared" si="1"/>
        <v>2300000</v>
      </c>
      <c r="F37" s="20">
        <v>2300000</v>
      </c>
      <c r="G37" s="20">
        <v>0</v>
      </c>
    </row>
    <row r="38" spans="1:7" s="21" customFormat="1" ht="41.25" customHeight="1">
      <c r="A38" s="18"/>
      <c r="B38" s="18"/>
      <c r="C38" s="18" t="s">
        <v>51</v>
      </c>
      <c r="D38" s="19" t="s">
        <v>52</v>
      </c>
      <c r="E38" s="20">
        <f t="shared" si="1"/>
        <v>300000</v>
      </c>
      <c r="F38" s="20">
        <v>0</v>
      </c>
      <c r="G38" s="20">
        <v>300000</v>
      </c>
    </row>
    <row r="39" spans="1:7" s="21" customFormat="1" ht="39" customHeight="1">
      <c r="A39" s="18"/>
      <c r="B39" s="18"/>
      <c r="C39" s="18" t="s">
        <v>53</v>
      </c>
      <c r="D39" s="19" t="s">
        <v>54</v>
      </c>
      <c r="E39" s="20">
        <f t="shared" si="1"/>
        <v>53573000</v>
      </c>
      <c r="F39" s="20">
        <v>0</v>
      </c>
      <c r="G39" s="20">
        <v>53573000</v>
      </c>
    </row>
    <row r="40" spans="1:7" s="21" customFormat="1" ht="20.25" customHeight="1">
      <c r="A40" s="18"/>
      <c r="B40" s="18"/>
      <c r="C40" s="18" t="s">
        <v>55</v>
      </c>
      <c r="D40" s="25" t="s">
        <v>56</v>
      </c>
      <c r="E40" s="20">
        <f t="shared" si="1"/>
        <v>40000</v>
      </c>
      <c r="F40" s="20">
        <v>40000</v>
      </c>
      <c r="G40" s="20">
        <v>0</v>
      </c>
    </row>
    <row r="41" spans="1:7" s="21" customFormat="1" ht="19.5" customHeight="1">
      <c r="A41" s="18"/>
      <c r="B41" s="18"/>
      <c r="C41" s="18" t="s">
        <v>27</v>
      </c>
      <c r="D41" s="25" t="s">
        <v>28</v>
      </c>
      <c r="E41" s="20">
        <f t="shared" si="1"/>
        <v>40000</v>
      </c>
      <c r="F41" s="20">
        <v>40000</v>
      </c>
      <c r="G41" s="20">
        <v>0</v>
      </c>
    </row>
    <row r="42" spans="1:7" s="14" customFormat="1" ht="19.5" customHeight="1">
      <c r="A42" s="49"/>
      <c r="B42" s="49" t="s">
        <v>57</v>
      </c>
      <c r="C42" s="49"/>
      <c r="D42" s="50" t="s">
        <v>14</v>
      </c>
      <c r="E42" s="17">
        <f aca="true" t="shared" si="2" ref="E42:G46">E43</f>
        <v>675000</v>
      </c>
      <c r="F42" s="17">
        <f t="shared" si="2"/>
        <v>0</v>
      </c>
      <c r="G42" s="17">
        <f t="shared" si="2"/>
        <v>675000</v>
      </c>
    </row>
    <row r="43" spans="1:7" s="21" customFormat="1" ht="52.5" customHeight="1">
      <c r="A43" s="51"/>
      <c r="B43" s="51"/>
      <c r="C43" s="51" t="s">
        <v>58</v>
      </c>
      <c r="D43" s="52" t="s">
        <v>30</v>
      </c>
      <c r="E43" s="20">
        <f>SUM(F43,G43)</f>
        <v>675000</v>
      </c>
      <c r="F43" s="20">
        <v>0</v>
      </c>
      <c r="G43" s="20">
        <v>675000</v>
      </c>
    </row>
    <row r="44" spans="1:7" s="21" customFormat="1" ht="12.75" customHeight="1" hidden="1">
      <c r="A44" s="51"/>
      <c r="B44" s="51"/>
      <c r="C44" s="51"/>
      <c r="D44" s="31" t="s">
        <v>59</v>
      </c>
      <c r="E44" s="20"/>
      <c r="F44" s="20"/>
      <c r="G44" s="20"/>
    </row>
    <row r="45" spans="1:7" s="14" customFormat="1" ht="19.5" customHeight="1">
      <c r="A45" s="53" t="s">
        <v>60</v>
      </c>
      <c r="B45" s="53"/>
      <c r="C45" s="54"/>
      <c r="D45" s="55" t="s">
        <v>61</v>
      </c>
      <c r="E45" s="28">
        <f t="shared" si="2"/>
        <v>218000</v>
      </c>
      <c r="F45" s="28">
        <f t="shared" si="2"/>
        <v>218000</v>
      </c>
      <c r="G45" s="28">
        <f t="shared" si="2"/>
        <v>0</v>
      </c>
    </row>
    <row r="46" spans="1:7" s="14" customFormat="1" ht="19.5" customHeight="1">
      <c r="A46" s="49"/>
      <c r="B46" s="49" t="s">
        <v>62</v>
      </c>
      <c r="C46" s="49"/>
      <c r="D46" s="50" t="s">
        <v>63</v>
      </c>
      <c r="E46" s="17">
        <f t="shared" si="2"/>
        <v>218000</v>
      </c>
      <c r="F46" s="17">
        <f t="shared" si="2"/>
        <v>218000</v>
      </c>
      <c r="G46" s="17">
        <f t="shared" si="2"/>
        <v>0</v>
      </c>
    </row>
    <row r="47" spans="1:7" s="21" customFormat="1" ht="19.5" customHeight="1">
      <c r="A47" s="51"/>
      <c r="B47" s="51"/>
      <c r="C47" s="51" t="s">
        <v>64</v>
      </c>
      <c r="D47" s="56" t="s">
        <v>65</v>
      </c>
      <c r="E47" s="20">
        <f>SUM(F47,G47)</f>
        <v>218000</v>
      </c>
      <c r="F47" s="20">
        <v>218000</v>
      </c>
      <c r="G47" s="20">
        <v>0</v>
      </c>
    </row>
    <row r="48" spans="1:7" s="14" customFormat="1" ht="19.5" customHeight="1">
      <c r="A48" s="53" t="s">
        <v>66</v>
      </c>
      <c r="B48" s="53"/>
      <c r="C48" s="53"/>
      <c r="D48" s="55" t="s">
        <v>67</v>
      </c>
      <c r="E48" s="28">
        <f>SUM(E49,E51,E57)</f>
        <v>481457</v>
      </c>
      <c r="F48" s="28">
        <f>SUM(F49,F51,F57)</f>
        <v>481457</v>
      </c>
      <c r="G48" s="28">
        <f>SUM(G49,G51,G57)</f>
        <v>0</v>
      </c>
    </row>
    <row r="49" spans="1:7" s="14" customFormat="1" ht="19.5" customHeight="1">
      <c r="A49" s="49"/>
      <c r="B49" s="49" t="s">
        <v>68</v>
      </c>
      <c r="C49" s="49"/>
      <c r="D49" s="50" t="s">
        <v>69</v>
      </c>
      <c r="E49" s="17">
        <f>E50</f>
        <v>373400</v>
      </c>
      <c r="F49" s="17">
        <f>F50</f>
        <v>373400</v>
      </c>
      <c r="G49" s="17">
        <f>G50</f>
        <v>0</v>
      </c>
    </row>
    <row r="50" spans="1:7" s="21" customFormat="1" ht="54.75" customHeight="1">
      <c r="A50" s="51"/>
      <c r="B50" s="51"/>
      <c r="C50" s="51" t="s">
        <v>15</v>
      </c>
      <c r="D50" s="30" t="s">
        <v>70</v>
      </c>
      <c r="E50" s="20">
        <f>SUM(F50,G50)</f>
        <v>373400</v>
      </c>
      <c r="F50" s="20">
        <v>373400</v>
      </c>
      <c r="G50" s="20">
        <v>0</v>
      </c>
    </row>
    <row r="51" spans="1:7" s="14" customFormat="1" ht="19.5" customHeight="1">
      <c r="A51" s="49"/>
      <c r="B51" s="49" t="s">
        <v>71</v>
      </c>
      <c r="C51" s="49"/>
      <c r="D51" s="50" t="s">
        <v>72</v>
      </c>
      <c r="E51" s="17">
        <f>E52+E53+E54+E55+E56</f>
        <v>108057</v>
      </c>
      <c r="F51" s="17">
        <f>F52+F53+F54+F55+F56</f>
        <v>108057</v>
      </c>
      <c r="G51" s="17">
        <f>G52+G53+G54+G55+G56</f>
        <v>0</v>
      </c>
    </row>
    <row r="52" spans="1:7" s="21" customFormat="1" ht="19.5" customHeight="1">
      <c r="A52" s="51"/>
      <c r="B52" s="51"/>
      <c r="C52" s="51" t="s">
        <v>19</v>
      </c>
      <c r="D52" s="56" t="s">
        <v>20</v>
      </c>
      <c r="E52" s="20">
        <f>SUM(F52,G52)</f>
        <v>8000</v>
      </c>
      <c r="F52" s="20">
        <v>8000</v>
      </c>
      <c r="G52" s="20">
        <v>0</v>
      </c>
    </row>
    <row r="53" spans="1:7" s="21" customFormat="1" ht="64.5" customHeight="1">
      <c r="A53" s="18"/>
      <c r="B53" s="18"/>
      <c r="C53" s="18" t="s">
        <v>34</v>
      </c>
      <c r="D53" s="19" t="s">
        <v>35</v>
      </c>
      <c r="E53" s="20">
        <f>SUM(F53,G53)</f>
        <v>14952</v>
      </c>
      <c r="F53" s="20">
        <v>14952</v>
      </c>
      <c r="G53" s="20">
        <v>0</v>
      </c>
    </row>
    <row r="54" spans="1:7" s="21" customFormat="1" ht="21" customHeight="1">
      <c r="A54" s="18"/>
      <c r="B54" s="18"/>
      <c r="C54" s="18" t="s">
        <v>64</v>
      </c>
      <c r="D54" s="56" t="s">
        <v>65</v>
      </c>
      <c r="E54" s="20">
        <f>SUM(F54,G54)</f>
        <v>35400</v>
      </c>
      <c r="F54" s="20">
        <v>35400</v>
      </c>
      <c r="G54" s="20">
        <v>0</v>
      </c>
    </row>
    <row r="55" spans="1:7" s="21" customFormat="1" ht="21" customHeight="1">
      <c r="A55" s="18"/>
      <c r="B55" s="18"/>
      <c r="C55" s="18" t="s">
        <v>27</v>
      </c>
      <c r="D55" s="56" t="s">
        <v>28</v>
      </c>
      <c r="E55" s="20">
        <f>SUM(F55,G55)</f>
        <v>25000</v>
      </c>
      <c r="F55" s="20">
        <v>25000</v>
      </c>
      <c r="G55" s="20">
        <v>0</v>
      </c>
    </row>
    <row r="56" spans="1:7" s="21" customFormat="1" ht="54" customHeight="1">
      <c r="A56" s="51"/>
      <c r="B56" s="51"/>
      <c r="C56" s="57" t="s">
        <v>73</v>
      </c>
      <c r="D56" s="30" t="s">
        <v>74</v>
      </c>
      <c r="E56" s="20">
        <f>SUM(F56,G56)</f>
        <v>24705</v>
      </c>
      <c r="F56" s="20">
        <v>24705</v>
      </c>
      <c r="G56" s="20">
        <v>0</v>
      </c>
    </row>
    <row r="57" spans="1:7" s="14" customFormat="1" ht="12.75" customHeight="1" hidden="1">
      <c r="A57" s="49"/>
      <c r="B57" s="49" t="s">
        <v>75</v>
      </c>
      <c r="C57" s="58"/>
      <c r="D57" s="59" t="s">
        <v>14</v>
      </c>
      <c r="E57" s="17">
        <f>SUM(E58,E60,E62)</f>
        <v>0</v>
      </c>
      <c r="F57" s="17">
        <f>SUM(F58,F60,F62)</f>
        <v>0</v>
      </c>
      <c r="G57" s="17">
        <f>SUM(G58,G60,G62)</f>
        <v>0</v>
      </c>
    </row>
    <row r="58" spans="1:7" s="21" customFormat="1" ht="12.75" customHeight="1" hidden="1">
      <c r="A58" s="51"/>
      <c r="B58" s="51"/>
      <c r="C58" s="60">
        <v>2007</v>
      </c>
      <c r="D58" s="30" t="s">
        <v>76</v>
      </c>
      <c r="E58" s="20">
        <f>F58+G58</f>
        <v>0</v>
      </c>
      <c r="F58" s="20"/>
      <c r="G58" s="20">
        <v>0</v>
      </c>
    </row>
    <row r="59" spans="1:7" s="21" customFormat="1" ht="12.75" customHeight="1" hidden="1">
      <c r="A59" s="61"/>
      <c r="B59" s="61"/>
      <c r="C59" s="62"/>
      <c r="D59" s="31"/>
      <c r="E59" s="63"/>
      <c r="F59" s="42"/>
      <c r="G59" s="63">
        <v>0</v>
      </c>
    </row>
    <row r="60" spans="1:7" s="21" customFormat="1" ht="12.75" customHeight="1" hidden="1">
      <c r="A60" s="51"/>
      <c r="B60" s="51"/>
      <c r="C60" s="60">
        <v>2009</v>
      </c>
      <c r="D60" s="30" t="s">
        <v>76</v>
      </c>
      <c r="E60" s="20">
        <f>F60+G60</f>
        <v>0</v>
      </c>
      <c r="F60" s="20"/>
      <c r="G60" s="20">
        <v>0</v>
      </c>
    </row>
    <row r="61" spans="1:7" s="21" customFormat="1" ht="12.75" customHeight="1" hidden="1">
      <c r="A61" s="61"/>
      <c r="B61" s="61"/>
      <c r="C61" s="62"/>
      <c r="D61" s="31" t="s">
        <v>77</v>
      </c>
      <c r="E61" s="42"/>
      <c r="F61" s="42"/>
      <c r="G61" s="42"/>
    </row>
    <row r="62" spans="1:7" s="21" customFormat="1" ht="12.75" customHeight="1" hidden="1">
      <c r="A62" s="51"/>
      <c r="B62" s="51"/>
      <c r="C62" s="60">
        <v>2708</v>
      </c>
      <c r="D62" s="19" t="s">
        <v>41</v>
      </c>
      <c r="E62" s="20">
        <f>SUM(F62,G62)</f>
        <v>0</v>
      </c>
      <c r="F62" s="20"/>
      <c r="G62" s="20">
        <v>0</v>
      </c>
    </row>
    <row r="63" spans="1:7" s="21" customFormat="1" ht="12.75" customHeight="1" hidden="1">
      <c r="A63" s="46"/>
      <c r="B63" s="46"/>
      <c r="C63" s="64"/>
      <c r="D63" s="31" t="s">
        <v>78</v>
      </c>
      <c r="E63" s="42"/>
      <c r="F63" s="42"/>
      <c r="G63" s="42"/>
    </row>
    <row r="64" spans="1:7" s="14" customFormat="1" ht="30" customHeight="1">
      <c r="A64" s="65" t="s">
        <v>79</v>
      </c>
      <c r="B64" s="53"/>
      <c r="C64" s="66"/>
      <c r="D64" s="67" t="s">
        <v>80</v>
      </c>
      <c r="E64" s="28">
        <f aca="true" t="shared" si="3" ref="E64:G65">E65</f>
        <v>7116</v>
      </c>
      <c r="F64" s="28">
        <f t="shared" si="3"/>
        <v>7116</v>
      </c>
      <c r="G64" s="28">
        <f t="shared" si="3"/>
        <v>0</v>
      </c>
    </row>
    <row r="65" spans="1:7" s="14" customFormat="1" ht="28.5" customHeight="1">
      <c r="A65" s="49"/>
      <c r="B65" s="49" t="s">
        <v>81</v>
      </c>
      <c r="C65" s="58"/>
      <c r="D65" s="59" t="s">
        <v>82</v>
      </c>
      <c r="E65" s="17">
        <f t="shared" si="3"/>
        <v>7116</v>
      </c>
      <c r="F65" s="17">
        <f t="shared" si="3"/>
        <v>7116</v>
      </c>
      <c r="G65" s="17">
        <f t="shared" si="3"/>
        <v>0</v>
      </c>
    </row>
    <row r="66" spans="1:7" s="21" customFormat="1" ht="54" customHeight="1">
      <c r="A66" s="18"/>
      <c r="B66" s="18"/>
      <c r="C66" s="68">
        <v>2010</v>
      </c>
      <c r="D66" s="19" t="s">
        <v>70</v>
      </c>
      <c r="E66" s="20">
        <f>SUM(F66,G66)</f>
        <v>7116</v>
      </c>
      <c r="F66" s="20">
        <v>7116</v>
      </c>
      <c r="G66" s="20">
        <v>0</v>
      </c>
    </row>
    <row r="67" spans="1:7" s="14" customFormat="1" ht="27" customHeight="1">
      <c r="A67" s="53" t="s">
        <v>83</v>
      </c>
      <c r="B67" s="53"/>
      <c r="C67" s="54"/>
      <c r="D67" s="67" t="s">
        <v>84</v>
      </c>
      <c r="E67" s="28">
        <f>SUM(E68,E73,E75)</f>
        <v>350000</v>
      </c>
      <c r="F67" s="28">
        <f>SUM(F68,F73,F75)</f>
        <v>350000</v>
      </c>
      <c r="G67" s="28">
        <f>SUM(G68,G73,G75)</f>
        <v>0</v>
      </c>
    </row>
    <row r="68" spans="1:7" s="14" customFormat="1" ht="12.75" customHeight="1" hidden="1">
      <c r="A68" s="49"/>
      <c r="B68" s="49" t="s">
        <v>85</v>
      </c>
      <c r="C68" s="54"/>
      <c r="D68" s="59" t="s">
        <v>86</v>
      </c>
      <c r="E68" s="17">
        <f>SUM(E69,E71)</f>
        <v>0</v>
      </c>
      <c r="F68" s="17">
        <f>SUM(F69,F71)</f>
        <v>0</v>
      </c>
      <c r="G68" s="17">
        <f>SUM(G69,G71)</f>
        <v>0</v>
      </c>
    </row>
    <row r="69" spans="1:7" s="21" customFormat="1" ht="12.75" customHeight="1" hidden="1">
      <c r="A69" s="36"/>
      <c r="B69" s="36"/>
      <c r="C69" s="36" t="s">
        <v>87</v>
      </c>
      <c r="D69" s="19" t="s">
        <v>41</v>
      </c>
      <c r="E69" s="32">
        <f>SUM(F69,G69)</f>
        <v>0</v>
      </c>
      <c r="F69" s="32"/>
      <c r="G69" s="20"/>
    </row>
    <row r="70" spans="1:7" s="21" customFormat="1" ht="12.75" customHeight="1" hidden="1">
      <c r="A70" s="40"/>
      <c r="B70" s="40"/>
      <c r="C70" s="46"/>
      <c r="D70" s="31" t="s">
        <v>88</v>
      </c>
      <c r="E70" s="41"/>
      <c r="F70" s="41"/>
      <c r="G70" s="42"/>
    </row>
    <row r="71" spans="1:7" s="21" customFormat="1" ht="12.75" customHeight="1" hidden="1">
      <c r="A71" s="69"/>
      <c r="B71" s="69"/>
      <c r="C71" s="69" t="s">
        <v>89</v>
      </c>
      <c r="D71" s="52" t="s">
        <v>30</v>
      </c>
      <c r="E71" s="32">
        <f>SUM(F71,G71)</f>
        <v>0</v>
      </c>
      <c r="F71" s="32"/>
      <c r="G71" s="20"/>
    </row>
    <row r="72" spans="1:7" s="21" customFormat="1" ht="12.75" customHeight="1" hidden="1">
      <c r="A72" s="40"/>
      <c r="B72" s="40"/>
      <c r="C72" s="46"/>
      <c r="D72" s="31" t="s">
        <v>88</v>
      </c>
      <c r="E72" s="41"/>
      <c r="F72" s="41"/>
      <c r="G72" s="42"/>
    </row>
    <row r="73" spans="1:7" s="14" customFormat="1" ht="12.75" customHeight="1" hidden="1">
      <c r="A73" s="49"/>
      <c r="B73" s="49" t="s">
        <v>90</v>
      </c>
      <c r="C73" s="54"/>
      <c r="D73" s="50" t="s">
        <v>91</v>
      </c>
      <c r="E73" s="17">
        <f>E74</f>
        <v>0</v>
      </c>
      <c r="F73" s="17">
        <f>F74</f>
        <v>0</v>
      </c>
      <c r="G73" s="17">
        <f>G74</f>
        <v>0</v>
      </c>
    </row>
    <row r="74" spans="1:7" s="21" customFormat="1" ht="12.75" customHeight="1" hidden="1">
      <c r="A74" s="51"/>
      <c r="B74" s="51"/>
      <c r="C74" s="60">
        <v>2010</v>
      </c>
      <c r="D74" s="30" t="s">
        <v>70</v>
      </c>
      <c r="E74" s="20">
        <f>SUM(F74,G74)</f>
        <v>0</v>
      </c>
      <c r="F74" s="20"/>
      <c r="G74" s="20">
        <v>0</v>
      </c>
    </row>
    <row r="75" spans="1:7" s="14" customFormat="1" ht="19.5" customHeight="1">
      <c r="A75" s="49"/>
      <c r="B75" s="49" t="s">
        <v>92</v>
      </c>
      <c r="C75" s="58"/>
      <c r="D75" s="59" t="s">
        <v>93</v>
      </c>
      <c r="E75" s="17">
        <f>E76</f>
        <v>350000</v>
      </c>
      <c r="F75" s="17">
        <f>F76</f>
        <v>350000</v>
      </c>
      <c r="G75" s="17">
        <f>G76</f>
        <v>0</v>
      </c>
    </row>
    <row r="76" spans="1:7" s="21" customFormat="1" ht="31.5" customHeight="1">
      <c r="A76" s="51"/>
      <c r="B76" s="51"/>
      <c r="C76" s="57" t="s">
        <v>94</v>
      </c>
      <c r="D76" s="30" t="s">
        <v>95</v>
      </c>
      <c r="E76" s="20">
        <f>SUM(F76,G76)</f>
        <v>350000</v>
      </c>
      <c r="F76" s="20">
        <v>350000</v>
      </c>
      <c r="G76" s="20">
        <v>0</v>
      </c>
    </row>
    <row r="77" spans="1:7" s="14" customFormat="1" ht="54.75" customHeight="1">
      <c r="A77" s="65" t="s">
        <v>96</v>
      </c>
      <c r="B77" s="53"/>
      <c r="C77" s="53"/>
      <c r="D77" s="67" t="s">
        <v>97</v>
      </c>
      <c r="E77" s="28">
        <f>SUM(E78,E81,E89,E100,E107)</f>
        <v>63567830</v>
      </c>
      <c r="F77" s="28">
        <f>SUM(F78,F81,F89,F100,F107)</f>
        <v>63567830</v>
      </c>
      <c r="G77" s="28">
        <f>SUM(G78,G81,G89,G100,G107)</f>
        <v>0</v>
      </c>
    </row>
    <row r="78" spans="1:7" s="14" customFormat="1" ht="20.25" customHeight="1">
      <c r="A78" s="49"/>
      <c r="B78" s="49" t="s">
        <v>98</v>
      </c>
      <c r="C78" s="49"/>
      <c r="D78" s="50" t="s">
        <v>99</v>
      </c>
      <c r="E78" s="17">
        <f>E79+E80</f>
        <v>405000</v>
      </c>
      <c r="F78" s="17">
        <f>F79+F80</f>
        <v>405000</v>
      </c>
      <c r="G78" s="17">
        <f>G79+G80</f>
        <v>0</v>
      </c>
    </row>
    <row r="79" spans="1:7" s="21" customFormat="1" ht="30" customHeight="1">
      <c r="A79" s="51"/>
      <c r="B79" s="51"/>
      <c r="C79" s="51" t="s">
        <v>100</v>
      </c>
      <c r="D79" s="30" t="s">
        <v>101</v>
      </c>
      <c r="E79" s="20">
        <f>SUM(F79,G79)</f>
        <v>400000</v>
      </c>
      <c r="F79" s="20">
        <v>400000</v>
      </c>
      <c r="G79" s="20">
        <v>0</v>
      </c>
    </row>
    <row r="80" spans="1:7" s="21" customFormat="1" ht="28.5" customHeight="1">
      <c r="A80" s="51"/>
      <c r="B80" s="51"/>
      <c r="C80" s="57" t="s">
        <v>102</v>
      </c>
      <c r="D80" s="30" t="s">
        <v>103</v>
      </c>
      <c r="E80" s="20">
        <f>SUM(F80,G80)</f>
        <v>5000</v>
      </c>
      <c r="F80" s="20">
        <v>5000</v>
      </c>
      <c r="G80" s="20">
        <v>0</v>
      </c>
    </row>
    <row r="81" spans="1:7" s="14" customFormat="1" ht="55.5" customHeight="1">
      <c r="A81" s="49"/>
      <c r="B81" s="70" t="s">
        <v>104</v>
      </c>
      <c r="C81" s="49"/>
      <c r="D81" s="59" t="s">
        <v>105</v>
      </c>
      <c r="E81" s="17">
        <f>SUM(E82,E83,E84,E85,E86,E87,E88)</f>
        <v>20790639</v>
      </c>
      <c r="F81" s="17">
        <f>SUM(F82,F83,F84,F85,F86,F87,F88)</f>
        <v>20790639</v>
      </c>
      <c r="G81" s="17">
        <f>SUM(G82,G83,G84,G85,G86,G87,G88)</f>
        <v>0</v>
      </c>
    </row>
    <row r="82" spans="1:7" s="21" customFormat="1" ht="19.5" customHeight="1">
      <c r="A82" s="51"/>
      <c r="B82" s="51"/>
      <c r="C82" s="51" t="s">
        <v>106</v>
      </c>
      <c r="D82" s="56" t="s">
        <v>107</v>
      </c>
      <c r="E82" s="20">
        <f aca="true" t="shared" si="4" ref="E82:E88">SUM(F82,G82)</f>
        <v>20000000</v>
      </c>
      <c r="F82" s="20">
        <v>20000000</v>
      </c>
      <c r="G82" s="20">
        <v>0</v>
      </c>
    </row>
    <row r="83" spans="1:7" s="21" customFormat="1" ht="19.5" customHeight="1">
      <c r="A83" s="51"/>
      <c r="B83" s="51"/>
      <c r="C83" s="51" t="s">
        <v>108</v>
      </c>
      <c r="D83" s="56" t="s">
        <v>109</v>
      </c>
      <c r="E83" s="20">
        <f t="shared" si="4"/>
        <v>8200</v>
      </c>
      <c r="F83" s="20">
        <v>8200</v>
      </c>
      <c r="G83" s="20">
        <v>0</v>
      </c>
    </row>
    <row r="84" spans="1:7" s="21" customFormat="1" ht="19.5" customHeight="1">
      <c r="A84" s="51"/>
      <c r="B84" s="51"/>
      <c r="C84" s="51" t="s">
        <v>110</v>
      </c>
      <c r="D84" s="56" t="s">
        <v>111</v>
      </c>
      <c r="E84" s="20">
        <f t="shared" si="4"/>
        <v>60000</v>
      </c>
      <c r="F84" s="20">
        <v>60000</v>
      </c>
      <c r="G84" s="20">
        <v>0</v>
      </c>
    </row>
    <row r="85" spans="1:7" s="21" customFormat="1" ht="19.5" customHeight="1">
      <c r="A85" s="51"/>
      <c r="B85" s="51"/>
      <c r="C85" s="51" t="s">
        <v>112</v>
      </c>
      <c r="D85" s="56" t="s">
        <v>113</v>
      </c>
      <c r="E85" s="20">
        <f t="shared" si="4"/>
        <v>210000</v>
      </c>
      <c r="F85" s="20">
        <v>210000</v>
      </c>
      <c r="G85" s="20">
        <v>0</v>
      </c>
    </row>
    <row r="86" spans="1:7" s="21" customFormat="1" ht="19.5" customHeight="1">
      <c r="A86" s="51"/>
      <c r="B86" s="51"/>
      <c r="C86" s="51" t="s">
        <v>114</v>
      </c>
      <c r="D86" s="56" t="s">
        <v>115</v>
      </c>
      <c r="E86" s="20">
        <f t="shared" si="4"/>
        <v>200000</v>
      </c>
      <c r="F86" s="20">
        <v>200000</v>
      </c>
      <c r="G86" s="20">
        <v>0</v>
      </c>
    </row>
    <row r="87" spans="1:7" s="21" customFormat="1" ht="30" customHeight="1">
      <c r="A87" s="51"/>
      <c r="B87" s="51"/>
      <c r="C87" s="51" t="s">
        <v>102</v>
      </c>
      <c r="D87" s="30" t="s">
        <v>103</v>
      </c>
      <c r="E87" s="20">
        <f t="shared" si="4"/>
        <v>100000</v>
      </c>
      <c r="F87" s="20">
        <v>100000</v>
      </c>
      <c r="G87" s="20">
        <v>0</v>
      </c>
    </row>
    <row r="88" spans="1:7" s="21" customFormat="1" ht="30" customHeight="1">
      <c r="A88" s="51"/>
      <c r="B88" s="51"/>
      <c r="C88" s="51" t="s">
        <v>116</v>
      </c>
      <c r="D88" s="30" t="s">
        <v>117</v>
      </c>
      <c r="E88" s="20">
        <f t="shared" si="4"/>
        <v>212439</v>
      </c>
      <c r="F88" s="20">
        <v>212439</v>
      </c>
      <c r="G88" s="20">
        <v>0</v>
      </c>
    </row>
    <row r="89" spans="1:7" s="14" customFormat="1" ht="54.75" customHeight="1">
      <c r="A89" s="49"/>
      <c r="B89" s="49" t="s">
        <v>118</v>
      </c>
      <c r="C89" s="49"/>
      <c r="D89" s="59" t="s">
        <v>119</v>
      </c>
      <c r="E89" s="17">
        <f>SUM(E90,E91,E92,E93,E94,E95,E96,E97,E98,E99)</f>
        <v>12707600</v>
      </c>
      <c r="F89" s="17">
        <f>SUM(F90,F91,F92,F93,F94,F95,F96,F97,F98,F99)</f>
        <v>12707600</v>
      </c>
      <c r="G89" s="17">
        <f>SUM(G90,G91,G92,G93,G94,G95,G96,G97,G98,G99)</f>
        <v>0</v>
      </c>
    </row>
    <row r="90" spans="1:7" s="21" customFormat="1" ht="19.5" customHeight="1">
      <c r="A90" s="51"/>
      <c r="B90" s="51"/>
      <c r="C90" s="51" t="s">
        <v>106</v>
      </c>
      <c r="D90" s="56" t="s">
        <v>107</v>
      </c>
      <c r="E90" s="20">
        <f>SUM(F90,G90)</f>
        <v>5150000</v>
      </c>
      <c r="F90" s="20">
        <v>5150000</v>
      </c>
      <c r="G90" s="20">
        <v>0</v>
      </c>
    </row>
    <row r="91" spans="1:7" s="21" customFormat="1" ht="19.5" customHeight="1">
      <c r="A91" s="51"/>
      <c r="B91" s="51"/>
      <c r="C91" s="51" t="s">
        <v>108</v>
      </c>
      <c r="D91" s="56" t="s">
        <v>109</v>
      </c>
      <c r="E91" s="20">
        <f aca="true" t="shared" si="5" ref="E91:E99">SUM(F91,G91)</f>
        <v>27000</v>
      </c>
      <c r="F91" s="20">
        <v>27000</v>
      </c>
      <c r="G91" s="20">
        <v>0</v>
      </c>
    </row>
    <row r="92" spans="1:7" s="21" customFormat="1" ht="19.5" customHeight="1">
      <c r="A92" s="51"/>
      <c r="B92" s="51"/>
      <c r="C92" s="51" t="s">
        <v>110</v>
      </c>
      <c r="D92" s="56" t="s">
        <v>111</v>
      </c>
      <c r="E92" s="20">
        <f t="shared" si="5"/>
        <v>600</v>
      </c>
      <c r="F92" s="20">
        <v>600</v>
      </c>
      <c r="G92" s="20">
        <v>0</v>
      </c>
    </row>
    <row r="93" spans="1:7" s="21" customFormat="1" ht="19.5" customHeight="1">
      <c r="A93" s="51"/>
      <c r="B93" s="51"/>
      <c r="C93" s="51" t="s">
        <v>112</v>
      </c>
      <c r="D93" s="56" t="s">
        <v>113</v>
      </c>
      <c r="E93" s="20">
        <f t="shared" si="5"/>
        <v>150000</v>
      </c>
      <c r="F93" s="20">
        <v>150000</v>
      </c>
      <c r="G93" s="20">
        <v>0</v>
      </c>
    </row>
    <row r="94" spans="1:7" s="21" customFormat="1" ht="19.5" customHeight="1">
      <c r="A94" s="51"/>
      <c r="B94" s="51"/>
      <c r="C94" s="51" t="s">
        <v>120</v>
      </c>
      <c r="D94" s="56" t="s">
        <v>121</v>
      </c>
      <c r="E94" s="20">
        <f t="shared" si="5"/>
        <v>180000</v>
      </c>
      <c r="F94" s="20">
        <v>180000</v>
      </c>
      <c r="G94" s="20">
        <v>0</v>
      </c>
    </row>
    <row r="95" spans="1:7" s="21" customFormat="1" ht="19.5" customHeight="1">
      <c r="A95" s="51"/>
      <c r="B95" s="51"/>
      <c r="C95" s="51" t="s">
        <v>122</v>
      </c>
      <c r="D95" s="56" t="s">
        <v>123</v>
      </c>
      <c r="E95" s="20">
        <f t="shared" si="5"/>
        <v>100000</v>
      </c>
      <c r="F95" s="20">
        <v>100000</v>
      </c>
      <c r="G95" s="20">
        <v>0</v>
      </c>
    </row>
    <row r="96" spans="1:7" s="21" customFormat="1" ht="42.75" customHeight="1">
      <c r="A96" s="51"/>
      <c r="B96" s="51"/>
      <c r="C96" s="51" t="s">
        <v>124</v>
      </c>
      <c r="D96" s="30" t="s">
        <v>125</v>
      </c>
      <c r="E96" s="20">
        <f t="shared" si="5"/>
        <v>4000000</v>
      </c>
      <c r="F96" s="20">
        <v>4000000</v>
      </c>
      <c r="G96" s="20">
        <v>0</v>
      </c>
    </row>
    <row r="97" spans="1:7" s="21" customFormat="1" ht="19.5" customHeight="1">
      <c r="A97" s="51"/>
      <c r="B97" s="51"/>
      <c r="C97" s="51" t="s">
        <v>126</v>
      </c>
      <c r="D97" s="56" t="s">
        <v>127</v>
      </c>
      <c r="E97" s="20">
        <f t="shared" si="5"/>
        <v>550000</v>
      </c>
      <c r="F97" s="20">
        <v>550000</v>
      </c>
      <c r="G97" s="20">
        <v>0</v>
      </c>
    </row>
    <row r="98" spans="1:7" s="21" customFormat="1" ht="19.5" customHeight="1">
      <c r="A98" s="51"/>
      <c r="B98" s="51"/>
      <c r="C98" s="51" t="s">
        <v>114</v>
      </c>
      <c r="D98" s="56" t="s">
        <v>115</v>
      </c>
      <c r="E98" s="20">
        <f t="shared" si="5"/>
        <v>2500000</v>
      </c>
      <c r="F98" s="20">
        <v>2500000</v>
      </c>
      <c r="G98" s="20">
        <v>0</v>
      </c>
    </row>
    <row r="99" spans="1:7" s="21" customFormat="1" ht="28.5" customHeight="1">
      <c r="A99" s="51"/>
      <c r="B99" s="51"/>
      <c r="C99" s="51" t="s">
        <v>102</v>
      </c>
      <c r="D99" s="30" t="s">
        <v>103</v>
      </c>
      <c r="E99" s="20">
        <f t="shared" si="5"/>
        <v>50000</v>
      </c>
      <c r="F99" s="20">
        <v>50000</v>
      </c>
      <c r="G99" s="20">
        <v>0</v>
      </c>
    </row>
    <row r="100" spans="1:7" s="14" customFormat="1" ht="43.5" customHeight="1">
      <c r="A100" s="49"/>
      <c r="B100" s="49" t="s">
        <v>128</v>
      </c>
      <c r="C100" s="49"/>
      <c r="D100" s="59" t="s">
        <v>129</v>
      </c>
      <c r="E100" s="17">
        <f>SUM(E101,E102,E103,E104,E105,E106)</f>
        <v>2186000</v>
      </c>
      <c r="F100" s="17">
        <f>SUM(F101,F102,F103,F104,F105,F106)</f>
        <v>2186000</v>
      </c>
      <c r="G100" s="17">
        <f>SUM(G101,G102,G103,G104,G105,G106)</f>
        <v>0</v>
      </c>
    </row>
    <row r="101" spans="1:7" s="21" customFormat="1" ht="19.5" customHeight="1">
      <c r="A101" s="51"/>
      <c r="B101" s="51"/>
      <c r="C101" s="51" t="s">
        <v>130</v>
      </c>
      <c r="D101" s="56" t="s">
        <v>131</v>
      </c>
      <c r="E101" s="20">
        <f aca="true" t="shared" si="6" ref="E101:E106">SUM(F101,G101)</f>
        <v>500000</v>
      </c>
      <c r="F101" s="20">
        <v>500000</v>
      </c>
      <c r="G101" s="20">
        <v>0</v>
      </c>
    </row>
    <row r="102" spans="1:7" s="21" customFormat="1" ht="19.5" customHeight="1">
      <c r="A102" s="51"/>
      <c r="B102" s="51"/>
      <c r="C102" s="51" t="s">
        <v>132</v>
      </c>
      <c r="D102" s="56" t="s">
        <v>133</v>
      </c>
      <c r="E102" s="20">
        <f t="shared" si="6"/>
        <v>6000</v>
      </c>
      <c r="F102" s="20">
        <v>6000</v>
      </c>
      <c r="G102" s="20">
        <v>0</v>
      </c>
    </row>
    <row r="103" spans="1:7" s="21" customFormat="1" ht="28.5" customHeight="1">
      <c r="A103" s="51"/>
      <c r="B103" s="51"/>
      <c r="C103" s="51" t="s">
        <v>134</v>
      </c>
      <c r="D103" s="30" t="s">
        <v>135</v>
      </c>
      <c r="E103" s="20">
        <f t="shared" si="6"/>
        <v>1600000</v>
      </c>
      <c r="F103" s="20">
        <v>1600000</v>
      </c>
      <c r="G103" s="20">
        <v>0</v>
      </c>
    </row>
    <row r="104" spans="1:7" s="21" customFormat="1" ht="43.5" customHeight="1">
      <c r="A104" s="51"/>
      <c r="B104" s="51"/>
      <c r="C104" s="51" t="s">
        <v>136</v>
      </c>
      <c r="D104" s="30" t="s">
        <v>137</v>
      </c>
      <c r="E104" s="20">
        <f t="shared" si="6"/>
        <v>60000</v>
      </c>
      <c r="F104" s="20">
        <v>60000</v>
      </c>
      <c r="G104" s="20">
        <v>0</v>
      </c>
    </row>
    <row r="105" spans="1:7" s="21" customFormat="1" ht="19.5" customHeight="1">
      <c r="A105" s="51"/>
      <c r="B105" s="51"/>
      <c r="C105" s="57" t="s">
        <v>138</v>
      </c>
      <c r="D105" s="30" t="s">
        <v>139</v>
      </c>
      <c r="E105" s="20">
        <f t="shared" si="6"/>
        <v>20000</v>
      </c>
      <c r="F105" s="20">
        <v>20000</v>
      </c>
      <c r="G105" s="20">
        <v>0</v>
      </c>
    </row>
    <row r="106" spans="1:7" s="21" customFormat="1" ht="12.75" customHeight="1" hidden="1">
      <c r="A106" s="51"/>
      <c r="B106" s="51"/>
      <c r="C106" s="57" t="s">
        <v>19</v>
      </c>
      <c r="D106" s="25" t="s">
        <v>20</v>
      </c>
      <c r="E106" s="20">
        <f t="shared" si="6"/>
        <v>0</v>
      </c>
      <c r="F106" s="20"/>
      <c r="G106" s="20">
        <v>0</v>
      </c>
    </row>
    <row r="107" spans="1:7" s="14" customFormat="1" ht="32.25" customHeight="1">
      <c r="A107" s="49"/>
      <c r="B107" s="49" t="s">
        <v>140</v>
      </c>
      <c r="C107" s="49"/>
      <c r="D107" s="59" t="s">
        <v>141</v>
      </c>
      <c r="E107" s="17">
        <f>E108+E109</f>
        <v>27478591</v>
      </c>
      <c r="F107" s="17">
        <f>F108+F109</f>
        <v>27478591</v>
      </c>
      <c r="G107" s="17">
        <f>G108+G109</f>
        <v>0</v>
      </c>
    </row>
    <row r="108" spans="1:7" s="21" customFormat="1" ht="19.5" customHeight="1">
      <c r="A108" s="51"/>
      <c r="B108" s="51"/>
      <c r="C108" s="51" t="s">
        <v>142</v>
      </c>
      <c r="D108" s="56" t="s">
        <v>143</v>
      </c>
      <c r="E108" s="20">
        <f>SUM(F108,G108)</f>
        <v>26378591</v>
      </c>
      <c r="F108" s="20">
        <v>26378591</v>
      </c>
      <c r="G108" s="20">
        <v>0</v>
      </c>
    </row>
    <row r="109" spans="1:7" s="21" customFormat="1" ht="19.5" customHeight="1">
      <c r="A109" s="51"/>
      <c r="B109" s="51"/>
      <c r="C109" s="51" t="s">
        <v>144</v>
      </c>
      <c r="D109" s="56" t="s">
        <v>145</v>
      </c>
      <c r="E109" s="20">
        <f>SUM(F109,G109)</f>
        <v>1100000</v>
      </c>
      <c r="F109" s="20">
        <v>1100000</v>
      </c>
      <c r="G109" s="20">
        <v>0</v>
      </c>
    </row>
    <row r="110" spans="1:7" s="14" customFormat="1" ht="19.5" customHeight="1">
      <c r="A110" s="53" t="s">
        <v>146</v>
      </c>
      <c r="B110" s="53"/>
      <c r="C110" s="53"/>
      <c r="D110" s="55" t="s">
        <v>147</v>
      </c>
      <c r="E110" s="28">
        <f>SUM(E111,E113)</f>
        <v>19837266</v>
      </c>
      <c r="F110" s="28">
        <f>SUM(F111,F113)</f>
        <v>19837266</v>
      </c>
      <c r="G110" s="28">
        <f>SUM(G111,G113)</f>
        <v>0</v>
      </c>
    </row>
    <row r="111" spans="1:7" s="14" customFormat="1" ht="32.25" customHeight="1">
      <c r="A111" s="49"/>
      <c r="B111" s="49" t="s">
        <v>148</v>
      </c>
      <c r="C111" s="49"/>
      <c r="D111" s="59" t="s">
        <v>149</v>
      </c>
      <c r="E111" s="17">
        <f>E112</f>
        <v>16330975</v>
      </c>
      <c r="F111" s="17">
        <f>F112</f>
        <v>16330975</v>
      </c>
      <c r="G111" s="17">
        <f>G112</f>
        <v>0</v>
      </c>
    </row>
    <row r="112" spans="1:7" s="21" customFormat="1" ht="19.5" customHeight="1">
      <c r="A112" s="71"/>
      <c r="B112" s="71"/>
      <c r="C112" s="51" t="s">
        <v>150</v>
      </c>
      <c r="D112" s="30" t="s">
        <v>151</v>
      </c>
      <c r="E112" s="20">
        <f>SUM(F112,G112)</f>
        <v>16330975</v>
      </c>
      <c r="F112" s="20">
        <v>16330975</v>
      </c>
      <c r="G112" s="20">
        <v>0</v>
      </c>
    </row>
    <row r="113" spans="1:7" s="14" customFormat="1" ht="19.5" customHeight="1">
      <c r="A113" s="49"/>
      <c r="B113" s="49" t="s">
        <v>152</v>
      </c>
      <c r="C113" s="49"/>
      <c r="D113" s="50" t="s">
        <v>153</v>
      </c>
      <c r="E113" s="17">
        <f>SUM(E114,E115,E116)</f>
        <v>3506291</v>
      </c>
      <c r="F113" s="17">
        <f>SUM(F114,F115,F116)</f>
        <v>3506291</v>
      </c>
      <c r="G113" s="17">
        <f>SUM(G114,G115,G116)</f>
        <v>0</v>
      </c>
    </row>
    <row r="114" spans="1:7" s="21" customFormat="1" ht="19.5" customHeight="1">
      <c r="A114" s="51"/>
      <c r="B114" s="51"/>
      <c r="C114" s="51" t="s">
        <v>55</v>
      </c>
      <c r="D114" s="56" t="s">
        <v>154</v>
      </c>
      <c r="E114" s="20">
        <f>SUM(F114,G114)</f>
        <v>150000</v>
      </c>
      <c r="F114" s="20">
        <v>150000</v>
      </c>
      <c r="G114" s="20">
        <v>0</v>
      </c>
    </row>
    <row r="115" spans="1:7" s="21" customFormat="1" ht="12.75" customHeight="1" hidden="1">
      <c r="A115" s="51"/>
      <c r="B115" s="51"/>
      <c r="C115" s="51" t="s">
        <v>27</v>
      </c>
      <c r="D115" s="25" t="s">
        <v>28</v>
      </c>
      <c r="E115" s="20">
        <f>SUM(F115,G115)</f>
        <v>0</v>
      </c>
      <c r="F115" s="20">
        <v>0</v>
      </c>
      <c r="G115" s="20">
        <v>0</v>
      </c>
    </row>
    <row r="116" spans="1:7" s="21" customFormat="1" ht="27" customHeight="1">
      <c r="A116" s="51"/>
      <c r="B116" s="51"/>
      <c r="C116" s="60">
        <v>2870</v>
      </c>
      <c r="D116" s="30" t="s">
        <v>155</v>
      </c>
      <c r="E116" s="20">
        <f>SUM(F116,G116)</f>
        <v>3356291</v>
      </c>
      <c r="F116" s="20">
        <v>3356291</v>
      </c>
      <c r="G116" s="20">
        <v>0</v>
      </c>
    </row>
    <row r="117" spans="1:7" s="21" customFormat="1" ht="21.75" customHeight="1">
      <c r="A117" s="53" t="s">
        <v>156</v>
      </c>
      <c r="B117" s="53"/>
      <c r="C117" s="66"/>
      <c r="D117" s="27" t="s">
        <v>157</v>
      </c>
      <c r="E117" s="28">
        <f>SUM(E118,E121)</f>
        <v>2321704</v>
      </c>
      <c r="F117" s="28">
        <f>SUM(F118,F121)</f>
        <v>1431609</v>
      </c>
      <c r="G117" s="28">
        <f>SUM(G118,G121)</f>
        <v>890095</v>
      </c>
    </row>
    <row r="118" spans="1:7" s="21" customFormat="1" ht="22.5" customHeight="1">
      <c r="A118" s="49"/>
      <c r="B118" s="49" t="s">
        <v>158</v>
      </c>
      <c r="C118" s="58"/>
      <c r="D118" s="59" t="s">
        <v>159</v>
      </c>
      <c r="E118" s="17">
        <f>SUM(E119,E120)</f>
        <v>890095</v>
      </c>
      <c r="F118" s="17">
        <f>SUM(F119,F120)</f>
        <v>0</v>
      </c>
      <c r="G118" s="17">
        <f>SUM(G119,G120)</f>
        <v>890095</v>
      </c>
    </row>
    <row r="119" spans="1:7" s="21" customFormat="1" ht="54" customHeight="1">
      <c r="A119" s="51"/>
      <c r="B119" s="51"/>
      <c r="C119" s="60">
        <v>6298</v>
      </c>
      <c r="D119" s="19" t="s">
        <v>30</v>
      </c>
      <c r="E119" s="20">
        <f>SUM(F119,G119)</f>
        <v>765095</v>
      </c>
      <c r="F119" s="20">
        <v>0</v>
      </c>
      <c r="G119" s="20">
        <f>765095</f>
        <v>765095</v>
      </c>
    </row>
    <row r="120" spans="1:7" s="21" customFormat="1" ht="39" customHeight="1">
      <c r="A120" s="51"/>
      <c r="B120" s="51"/>
      <c r="C120" s="60">
        <v>6330</v>
      </c>
      <c r="D120" s="31" t="s">
        <v>160</v>
      </c>
      <c r="E120" s="20">
        <f>SUM(F120,G120)</f>
        <v>125000</v>
      </c>
      <c r="F120" s="20">
        <v>0</v>
      </c>
      <c r="G120" s="20">
        <v>125000</v>
      </c>
    </row>
    <row r="121" spans="1:7" s="21" customFormat="1" ht="22.5" customHeight="1">
      <c r="A121" s="49"/>
      <c r="B121" s="49" t="s">
        <v>161</v>
      </c>
      <c r="C121" s="58"/>
      <c r="D121" s="59" t="s">
        <v>162</v>
      </c>
      <c r="E121" s="17">
        <f>SUM(E122)</f>
        <v>1431609</v>
      </c>
      <c r="F121" s="17">
        <f>SUM(F122)</f>
        <v>1431609</v>
      </c>
      <c r="G121" s="17">
        <f>SUM(G122)</f>
        <v>0</v>
      </c>
    </row>
    <row r="122" spans="1:7" s="21" customFormat="1" ht="24.75" customHeight="1">
      <c r="A122" s="51"/>
      <c r="B122" s="51"/>
      <c r="C122" s="57" t="s">
        <v>64</v>
      </c>
      <c r="D122" s="30" t="s">
        <v>65</v>
      </c>
      <c r="E122" s="20">
        <f>SUM(F122,G122)</f>
        <v>1431609</v>
      </c>
      <c r="F122" s="20">
        <v>1431609</v>
      </c>
      <c r="G122" s="20">
        <v>0</v>
      </c>
    </row>
    <row r="123" spans="1:7" s="21" customFormat="1" ht="21.75" customHeight="1">
      <c r="A123" s="53" t="s">
        <v>163</v>
      </c>
      <c r="B123" s="53"/>
      <c r="C123" s="66"/>
      <c r="D123" s="27" t="s">
        <v>164</v>
      </c>
      <c r="E123" s="28">
        <f>SUM(E124,E126)</f>
        <v>126720</v>
      </c>
      <c r="F123" s="28">
        <f>SUM(F124,F126)</f>
        <v>12000</v>
      </c>
      <c r="G123" s="28">
        <f>SUM(G124,G126)</f>
        <v>114720</v>
      </c>
    </row>
    <row r="124" spans="1:7" s="21" customFormat="1" ht="22.5" customHeight="1">
      <c r="A124" s="49"/>
      <c r="B124" s="49" t="s">
        <v>165</v>
      </c>
      <c r="C124" s="58"/>
      <c r="D124" s="59" t="s">
        <v>166</v>
      </c>
      <c r="E124" s="17">
        <f aca="true" t="shared" si="7" ref="E124:G126">SUM(E125)</f>
        <v>114720</v>
      </c>
      <c r="F124" s="17">
        <f t="shared" si="7"/>
        <v>0</v>
      </c>
      <c r="G124" s="17">
        <f t="shared" si="7"/>
        <v>114720</v>
      </c>
    </row>
    <row r="125" spans="1:7" s="21" customFormat="1" ht="56.25" customHeight="1">
      <c r="A125" s="51"/>
      <c r="B125" s="51"/>
      <c r="C125" s="60">
        <v>6298</v>
      </c>
      <c r="D125" s="43" t="s">
        <v>30</v>
      </c>
      <c r="E125" s="20">
        <f>SUM(F125,G125)</f>
        <v>114720</v>
      </c>
      <c r="F125" s="20">
        <v>0</v>
      </c>
      <c r="G125" s="20">
        <v>114720</v>
      </c>
    </row>
    <row r="126" spans="1:7" s="21" customFormat="1" ht="22.5" customHeight="1">
      <c r="A126" s="49"/>
      <c r="B126" s="49" t="s">
        <v>167</v>
      </c>
      <c r="C126" s="58"/>
      <c r="D126" s="59" t="s">
        <v>14</v>
      </c>
      <c r="E126" s="17">
        <f t="shared" si="7"/>
        <v>12000</v>
      </c>
      <c r="F126" s="17">
        <f t="shared" si="7"/>
        <v>12000</v>
      </c>
      <c r="G126" s="17">
        <f t="shared" si="7"/>
        <v>0</v>
      </c>
    </row>
    <row r="127" spans="1:7" s="21" customFormat="1" ht="56.25" customHeight="1">
      <c r="A127" s="51"/>
      <c r="B127" s="51"/>
      <c r="C127" s="60">
        <v>2010</v>
      </c>
      <c r="D127" s="30" t="s">
        <v>70</v>
      </c>
      <c r="E127" s="20">
        <f>SUM(F127,G127)</f>
        <v>12000</v>
      </c>
      <c r="F127" s="20">
        <v>12000</v>
      </c>
      <c r="G127" s="20">
        <v>0</v>
      </c>
    </row>
    <row r="128" spans="1:7" s="14" customFormat="1" ht="19.5" customHeight="1">
      <c r="A128" s="53" t="s">
        <v>168</v>
      </c>
      <c r="B128" s="53"/>
      <c r="C128" s="66"/>
      <c r="D128" s="27" t="s">
        <v>169</v>
      </c>
      <c r="E128" s="28">
        <f>SUM(E129,E132,E135,E138,E141,E143,E145,E148)</f>
        <v>8061000</v>
      </c>
      <c r="F128" s="28">
        <f>SUM(F129,F132,F135,F138,F141,F143,F145,F148)</f>
        <v>8061000</v>
      </c>
      <c r="G128" s="28">
        <f>SUM(G129,G132,G135,G138,G141,G143,G145,G148)</f>
        <v>0</v>
      </c>
    </row>
    <row r="129" spans="1:7" s="14" customFormat="1" ht="19.5" customHeight="1">
      <c r="A129" s="49"/>
      <c r="B129" s="49" t="s">
        <v>170</v>
      </c>
      <c r="C129" s="58"/>
      <c r="D129" s="59" t="s">
        <v>171</v>
      </c>
      <c r="E129" s="17">
        <f>SUM(E130,E131)</f>
        <v>187000</v>
      </c>
      <c r="F129" s="17">
        <f>SUM(F130,F131)</f>
        <v>187000</v>
      </c>
      <c r="G129" s="17">
        <f>SUM(G130,G131)</f>
        <v>0</v>
      </c>
    </row>
    <row r="130" spans="1:7" s="21" customFormat="1" ht="19.5" customHeight="1">
      <c r="A130" s="51"/>
      <c r="B130" s="51"/>
      <c r="C130" s="57" t="s">
        <v>64</v>
      </c>
      <c r="D130" s="30" t="s">
        <v>65</v>
      </c>
      <c r="E130" s="20">
        <f>SUM(F130,G130)</f>
        <v>19000</v>
      </c>
      <c r="F130" s="20">
        <v>19000</v>
      </c>
      <c r="G130" s="20">
        <v>0</v>
      </c>
    </row>
    <row r="131" spans="1:7" s="21" customFormat="1" ht="57.75" customHeight="1">
      <c r="A131" s="51"/>
      <c r="B131" s="51"/>
      <c r="C131" s="60">
        <v>2010</v>
      </c>
      <c r="D131" s="30" t="s">
        <v>70</v>
      </c>
      <c r="E131" s="20">
        <f>SUM(F131,G131)</f>
        <v>168000</v>
      </c>
      <c r="F131" s="20">
        <v>168000</v>
      </c>
      <c r="G131" s="20">
        <v>0</v>
      </c>
    </row>
    <row r="132" spans="1:7" s="14" customFormat="1" ht="46.5" customHeight="1">
      <c r="A132" s="49"/>
      <c r="B132" s="49" t="s">
        <v>172</v>
      </c>
      <c r="C132" s="58"/>
      <c r="D132" s="72" t="s">
        <v>173</v>
      </c>
      <c r="E132" s="17">
        <f>SUM(E133,E134)</f>
        <v>5600000</v>
      </c>
      <c r="F132" s="17">
        <f>SUM(F133,F134)</f>
        <v>5600000</v>
      </c>
      <c r="G132" s="17">
        <f>SUM(G133,G134)</f>
        <v>0</v>
      </c>
    </row>
    <row r="133" spans="1:7" s="21" customFormat="1" ht="56.25" customHeight="1">
      <c r="A133" s="51"/>
      <c r="B133" s="51"/>
      <c r="C133" s="60">
        <v>2010</v>
      </c>
      <c r="D133" s="30" t="s">
        <v>70</v>
      </c>
      <c r="E133" s="20">
        <f>SUM(F133,G133)</f>
        <v>5575000</v>
      </c>
      <c r="F133" s="20">
        <v>5575000</v>
      </c>
      <c r="G133" s="20">
        <v>0</v>
      </c>
    </row>
    <row r="134" spans="1:7" s="21" customFormat="1" ht="56.25" customHeight="1">
      <c r="A134" s="51"/>
      <c r="B134" s="51"/>
      <c r="C134" s="60">
        <v>2360</v>
      </c>
      <c r="D134" s="30" t="s">
        <v>74</v>
      </c>
      <c r="E134" s="20">
        <f>SUM(F134,G134)</f>
        <v>25000</v>
      </c>
      <c r="F134" s="20">
        <v>25000</v>
      </c>
      <c r="G134" s="20">
        <v>0</v>
      </c>
    </row>
    <row r="135" spans="1:7" s="14" customFormat="1" ht="69" customHeight="1">
      <c r="A135" s="49"/>
      <c r="B135" s="49" t="s">
        <v>174</v>
      </c>
      <c r="C135" s="58"/>
      <c r="D135" s="29" t="s">
        <v>175</v>
      </c>
      <c r="E135" s="17">
        <f>E136+E137</f>
        <v>118000</v>
      </c>
      <c r="F135" s="17">
        <f>F136+F137</f>
        <v>118000</v>
      </c>
      <c r="G135" s="17">
        <f>G136+G137</f>
        <v>0</v>
      </c>
    </row>
    <row r="136" spans="1:7" s="21" customFormat="1" ht="54.75" customHeight="1">
      <c r="A136" s="51"/>
      <c r="B136" s="51"/>
      <c r="C136" s="60">
        <v>2010</v>
      </c>
      <c r="D136" s="30" t="s">
        <v>70</v>
      </c>
      <c r="E136" s="20">
        <f>SUM(F136,G136)</f>
        <v>29000</v>
      </c>
      <c r="F136" s="20">
        <v>29000</v>
      </c>
      <c r="G136" s="20">
        <v>0</v>
      </c>
    </row>
    <row r="137" spans="1:7" s="21" customFormat="1" ht="42" customHeight="1">
      <c r="A137" s="51"/>
      <c r="B137" s="51"/>
      <c r="C137" s="60">
        <v>2030</v>
      </c>
      <c r="D137" s="30" t="s">
        <v>176</v>
      </c>
      <c r="E137" s="20">
        <f>SUM(F137,G137)</f>
        <v>89000</v>
      </c>
      <c r="F137" s="20">
        <v>89000</v>
      </c>
      <c r="G137" s="20">
        <v>0</v>
      </c>
    </row>
    <row r="138" spans="1:7" s="14" customFormat="1" ht="32.25" customHeight="1">
      <c r="A138" s="51"/>
      <c r="B138" s="49" t="s">
        <v>177</v>
      </c>
      <c r="C138" s="60"/>
      <c r="D138" s="29" t="s">
        <v>178</v>
      </c>
      <c r="E138" s="17">
        <f>+E139+E140</f>
        <v>262000</v>
      </c>
      <c r="F138" s="17">
        <f>+F139+F140</f>
        <v>262000</v>
      </c>
      <c r="G138" s="17">
        <f>+G139+G140</f>
        <v>0</v>
      </c>
    </row>
    <row r="139" spans="1:7" s="21" customFormat="1" ht="12.75" customHeight="1" hidden="1">
      <c r="A139" s="51"/>
      <c r="B139" s="51"/>
      <c r="C139" s="60">
        <v>2010</v>
      </c>
      <c r="D139" s="30" t="s">
        <v>70</v>
      </c>
      <c r="E139" s="20">
        <f>SUM(F139,G139)</f>
        <v>0</v>
      </c>
      <c r="F139" s="20">
        <v>0</v>
      </c>
      <c r="G139" s="20">
        <v>0</v>
      </c>
    </row>
    <row r="140" spans="1:7" s="21" customFormat="1" ht="41.25" customHeight="1">
      <c r="A140" s="51"/>
      <c r="B140" s="51"/>
      <c r="C140" s="60">
        <v>2030</v>
      </c>
      <c r="D140" s="30" t="s">
        <v>176</v>
      </c>
      <c r="E140" s="20">
        <f>SUM(F140,G140)</f>
        <v>262000</v>
      </c>
      <c r="F140" s="20">
        <v>262000</v>
      </c>
      <c r="G140" s="20">
        <v>0</v>
      </c>
    </row>
    <row r="141" spans="1:7" s="14" customFormat="1" ht="19.5" customHeight="1">
      <c r="A141" s="49"/>
      <c r="B141" s="49" t="s">
        <v>179</v>
      </c>
      <c r="C141" s="58"/>
      <c r="D141" s="29" t="s">
        <v>180</v>
      </c>
      <c r="E141" s="17">
        <f>E142</f>
        <v>782000</v>
      </c>
      <c r="F141" s="17">
        <f>F142</f>
        <v>782000</v>
      </c>
      <c r="G141" s="17">
        <f>G142</f>
        <v>0</v>
      </c>
    </row>
    <row r="142" spans="1:7" s="21" customFormat="1" ht="45.75" customHeight="1">
      <c r="A142" s="51"/>
      <c r="B142" s="51"/>
      <c r="C142" s="57" t="s">
        <v>181</v>
      </c>
      <c r="D142" s="30" t="s">
        <v>176</v>
      </c>
      <c r="E142" s="20">
        <f>SUM(F142,G142)</f>
        <v>782000</v>
      </c>
      <c r="F142" s="20">
        <v>782000</v>
      </c>
      <c r="G142" s="20"/>
    </row>
    <row r="143" spans="1:7" s="14" customFormat="1" ht="19.5" customHeight="1">
      <c r="A143" s="49"/>
      <c r="B143" s="49" t="s">
        <v>182</v>
      </c>
      <c r="C143" s="58"/>
      <c r="D143" s="29" t="s">
        <v>183</v>
      </c>
      <c r="E143" s="17">
        <f>E144</f>
        <v>585000</v>
      </c>
      <c r="F143" s="17">
        <f>F144</f>
        <v>585000</v>
      </c>
      <c r="G143" s="17">
        <f>G144</f>
        <v>0</v>
      </c>
    </row>
    <row r="144" spans="1:7" s="21" customFormat="1" ht="43.5" customHeight="1">
      <c r="A144" s="51"/>
      <c r="B144" s="51"/>
      <c r="C144" s="57" t="s">
        <v>181</v>
      </c>
      <c r="D144" s="30" t="s">
        <v>176</v>
      </c>
      <c r="E144" s="20">
        <f>SUM(F144,G144)</f>
        <v>585000</v>
      </c>
      <c r="F144" s="20">
        <v>585000</v>
      </c>
      <c r="G144" s="20">
        <v>0</v>
      </c>
    </row>
    <row r="145" spans="1:7" s="14" customFormat="1" ht="29.25" customHeight="1">
      <c r="A145" s="49"/>
      <c r="B145" s="49" t="s">
        <v>184</v>
      </c>
      <c r="C145" s="58"/>
      <c r="D145" s="29" t="s">
        <v>185</v>
      </c>
      <c r="E145" s="17">
        <f>E146+E147</f>
        <v>153000</v>
      </c>
      <c r="F145" s="17">
        <f>F146+F147</f>
        <v>153000</v>
      </c>
      <c r="G145" s="17">
        <f>G146+G147</f>
        <v>0</v>
      </c>
    </row>
    <row r="146" spans="1:7" s="21" customFormat="1" ht="19.5" customHeight="1">
      <c r="A146" s="51"/>
      <c r="B146" s="51"/>
      <c r="C146" s="57" t="s">
        <v>64</v>
      </c>
      <c r="D146" s="19" t="s">
        <v>65</v>
      </c>
      <c r="E146" s="20">
        <f>SUM(F146,G146)</f>
        <v>76000</v>
      </c>
      <c r="F146" s="20">
        <v>76000</v>
      </c>
      <c r="G146" s="20">
        <v>0</v>
      </c>
    </row>
    <row r="147" spans="1:7" s="21" customFormat="1" ht="57.75" customHeight="1">
      <c r="A147" s="51"/>
      <c r="B147" s="51"/>
      <c r="C147" s="57" t="s">
        <v>15</v>
      </c>
      <c r="D147" s="30" t="s">
        <v>70</v>
      </c>
      <c r="E147" s="20">
        <f>SUM(F147,G147)</f>
        <v>77000</v>
      </c>
      <c r="F147" s="20">
        <v>77000</v>
      </c>
      <c r="G147" s="20">
        <v>0</v>
      </c>
    </row>
    <row r="148" spans="1:7" s="14" customFormat="1" ht="19.5" customHeight="1">
      <c r="A148" s="49"/>
      <c r="B148" s="49" t="s">
        <v>186</v>
      </c>
      <c r="C148" s="70"/>
      <c r="D148" s="29" t="s">
        <v>14</v>
      </c>
      <c r="E148" s="17">
        <f>SUM(E149,E150)</f>
        <v>374000</v>
      </c>
      <c r="F148" s="17">
        <f>SUM(F149,F150)</f>
        <v>374000</v>
      </c>
      <c r="G148" s="17">
        <f>SUM(G149,G150)</f>
        <v>0</v>
      </c>
    </row>
    <row r="149" spans="1:7" s="21" customFormat="1" ht="44.25" customHeight="1">
      <c r="A149" s="51"/>
      <c r="B149" s="51"/>
      <c r="C149" s="57" t="s">
        <v>181</v>
      </c>
      <c r="D149" s="30" t="s">
        <v>176</v>
      </c>
      <c r="E149" s="20">
        <f>SUM(F149,G149)</f>
        <v>374000</v>
      </c>
      <c r="F149" s="20">
        <v>374000</v>
      </c>
      <c r="G149" s="20">
        <v>0</v>
      </c>
    </row>
    <row r="150" spans="1:7" s="21" customFormat="1" ht="12.75" customHeight="1" hidden="1">
      <c r="A150" s="51"/>
      <c r="B150" s="51"/>
      <c r="C150" s="57" t="s">
        <v>58</v>
      </c>
      <c r="D150" s="52" t="s">
        <v>30</v>
      </c>
      <c r="E150" s="20">
        <f>SUM(F150,G150)</f>
        <v>0</v>
      </c>
      <c r="F150" s="20">
        <v>0</v>
      </c>
      <c r="G150" s="20">
        <v>0</v>
      </c>
    </row>
    <row r="151" spans="1:7" s="14" customFormat="1" ht="19.5" customHeight="1">
      <c r="A151" s="53" t="s">
        <v>187</v>
      </c>
      <c r="B151" s="53"/>
      <c r="C151" s="53"/>
      <c r="D151" s="67" t="s">
        <v>188</v>
      </c>
      <c r="E151" s="28">
        <f>SUM(E152,E154)</f>
        <v>1098754</v>
      </c>
      <c r="F151" s="28">
        <f>SUM(F152,F154)</f>
        <v>959771</v>
      </c>
      <c r="G151" s="28">
        <f>SUM(G152,G154)</f>
        <v>138983</v>
      </c>
    </row>
    <row r="152" spans="1:7" s="14" customFormat="1" ht="21.75" customHeight="1">
      <c r="A152" s="49"/>
      <c r="B152" s="49" t="s">
        <v>189</v>
      </c>
      <c r="C152" s="58"/>
      <c r="D152" s="59" t="s">
        <v>190</v>
      </c>
      <c r="E152" s="17">
        <f>SUM(E153)</f>
        <v>617798</v>
      </c>
      <c r="F152" s="17">
        <f>SUM(F153)</f>
        <v>617798</v>
      </c>
      <c r="G152" s="17">
        <f>SUM(G153)</f>
        <v>0</v>
      </c>
    </row>
    <row r="153" spans="1:7" s="21" customFormat="1" ht="19.5" customHeight="1">
      <c r="A153" s="18"/>
      <c r="B153" s="18"/>
      <c r="C153" s="57" t="s">
        <v>64</v>
      </c>
      <c r="D153" s="19" t="s">
        <v>65</v>
      </c>
      <c r="E153" s="20">
        <f>SUM(F153,G153)</f>
        <v>617798</v>
      </c>
      <c r="F153" s="20">
        <v>617798</v>
      </c>
      <c r="G153" s="20">
        <v>0</v>
      </c>
    </row>
    <row r="154" spans="1:7" s="14" customFormat="1" ht="21.75" customHeight="1">
      <c r="A154" s="49"/>
      <c r="B154" s="49" t="s">
        <v>191</v>
      </c>
      <c r="C154" s="58"/>
      <c r="D154" s="59" t="s">
        <v>14</v>
      </c>
      <c r="E154" s="17">
        <f>SUM(E155,E156,E157)</f>
        <v>480956</v>
      </c>
      <c r="F154" s="17">
        <f>SUM(F155,F156,F157)</f>
        <v>341973</v>
      </c>
      <c r="G154" s="17">
        <f>SUM(G155,G156,G157)</f>
        <v>138983</v>
      </c>
    </row>
    <row r="155" spans="1:7" s="21" customFormat="1" ht="66.75" customHeight="1">
      <c r="A155" s="18"/>
      <c r="B155" s="18"/>
      <c r="C155" s="57" t="s">
        <v>192</v>
      </c>
      <c r="D155" s="19" t="s">
        <v>193</v>
      </c>
      <c r="E155" s="20">
        <f>SUM(F155,G155)</f>
        <v>290677</v>
      </c>
      <c r="F155" s="20">
        <v>290677</v>
      </c>
      <c r="G155" s="20">
        <v>0</v>
      </c>
    </row>
    <row r="156" spans="1:7" s="21" customFormat="1" ht="64.5" customHeight="1">
      <c r="A156" s="18"/>
      <c r="B156" s="18"/>
      <c r="C156" s="57" t="s">
        <v>194</v>
      </c>
      <c r="D156" s="19" t="s">
        <v>193</v>
      </c>
      <c r="E156" s="20">
        <f>SUM(F156,G156)</f>
        <v>51296</v>
      </c>
      <c r="F156" s="20">
        <v>51296</v>
      </c>
      <c r="G156" s="20">
        <v>0</v>
      </c>
    </row>
    <row r="157" spans="1:7" s="21" customFormat="1" ht="52.5" customHeight="1">
      <c r="A157" s="18"/>
      <c r="B157" s="18"/>
      <c r="C157" s="57" t="s">
        <v>29</v>
      </c>
      <c r="D157" s="52" t="s">
        <v>30</v>
      </c>
      <c r="E157" s="20">
        <f>SUM(F157,G157)</f>
        <v>138983</v>
      </c>
      <c r="F157" s="20">
        <v>0</v>
      </c>
      <c r="G157" s="20">
        <v>138983</v>
      </c>
    </row>
    <row r="158" spans="1:7" s="14" customFormat="1" ht="19.5" customHeight="1">
      <c r="A158" s="53" t="s">
        <v>195</v>
      </c>
      <c r="B158" s="53"/>
      <c r="C158" s="53"/>
      <c r="D158" s="67" t="s">
        <v>196</v>
      </c>
      <c r="E158" s="28">
        <f>SUM(E159,E164,E168,E170)</f>
        <v>14838893</v>
      </c>
      <c r="F158" s="28">
        <f>SUM(F159,F164,F168,F170)</f>
        <v>11298893</v>
      </c>
      <c r="G158" s="28">
        <f>SUM(G159,G164,G168,G170)</f>
        <v>3540000</v>
      </c>
    </row>
    <row r="159" spans="1:7" s="14" customFormat="1" ht="21.75" customHeight="1">
      <c r="A159" s="49"/>
      <c r="B159" s="49" t="s">
        <v>197</v>
      </c>
      <c r="C159" s="58"/>
      <c r="D159" s="59" t="s">
        <v>198</v>
      </c>
      <c r="E159" s="17">
        <f>E160+E161+E162+E163</f>
        <v>2540000</v>
      </c>
      <c r="F159" s="17">
        <f>F160+F161+F162+F163</f>
        <v>0</v>
      </c>
      <c r="G159" s="17">
        <f>G160+G161+G162+G163</f>
        <v>2540000</v>
      </c>
    </row>
    <row r="160" spans="1:7" s="21" customFormat="1" ht="12.75" customHeight="1" hidden="1">
      <c r="A160" s="18"/>
      <c r="B160" s="18"/>
      <c r="C160" s="18" t="s">
        <v>199</v>
      </c>
      <c r="D160" s="19" t="s">
        <v>200</v>
      </c>
      <c r="E160" s="20">
        <f>SUM(F160,G160)</f>
        <v>0</v>
      </c>
      <c r="F160" s="20">
        <v>0</v>
      </c>
      <c r="G160" s="20">
        <v>0</v>
      </c>
    </row>
    <row r="161" spans="1:7" s="21" customFormat="1" ht="12.75" customHeight="1" hidden="1">
      <c r="A161" s="18"/>
      <c r="B161" s="18"/>
      <c r="C161" s="18" t="s">
        <v>201</v>
      </c>
      <c r="D161" s="19" t="s">
        <v>202</v>
      </c>
      <c r="E161" s="20">
        <f>SUM(F161,G161)</f>
        <v>0</v>
      </c>
      <c r="F161" s="20">
        <v>0</v>
      </c>
      <c r="G161" s="20">
        <v>0</v>
      </c>
    </row>
    <row r="162" spans="1:7" s="14" customFormat="1" ht="50.25" customHeight="1">
      <c r="A162" s="73"/>
      <c r="B162" s="73"/>
      <c r="C162" s="57" t="s">
        <v>29</v>
      </c>
      <c r="D162" s="52" t="s">
        <v>30</v>
      </c>
      <c r="E162" s="32">
        <f>SUM(F162,G162)</f>
        <v>2540000</v>
      </c>
      <c r="F162" s="32">
        <v>0</v>
      </c>
      <c r="G162" s="20">
        <v>2540000</v>
      </c>
    </row>
    <row r="163" spans="1:7" s="14" customFormat="1" ht="12.75" customHeight="1" hidden="1">
      <c r="A163" s="61"/>
      <c r="B163" s="61"/>
      <c r="C163" s="74"/>
      <c r="D163" s="31" t="s">
        <v>203</v>
      </c>
      <c r="E163" s="63"/>
      <c r="F163" s="63"/>
      <c r="G163" s="63"/>
    </row>
    <row r="164" spans="1:7" s="14" customFormat="1" ht="27" customHeight="1">
      <c r="A164" s="75"/>
      <c r="B164" s="75" t="s">
        <v>204</v>
      </c>
      <c r="C164" s="76"/>
      <c r="D164" s="77" t="s">
        <v>205</v>
      </c>
      <c r="E164" s="78">
        <f>SUM(E165,E166,E167)</f>
        <v>10796693</v>
      </c>
      <c r="F164" s="78">
        <f>SUM(F165,F166,F167)</f>
        <v>10796693</v>
      </c>
      <c r="G164" s="78">
        <f>SUM(G165,G166,G167)</f>
        <v>0</v>
      </c>
    </row>
    <row r="165" spans="1:7" s="21" customFormat="1" ht="12.75" customHeight="1" hidden="1">
      <c r="A165" s="61"/>
      <c r="B165" s="61"/>
      <c r="C165" s="57" t="s">
        <v>94</v>
      </c>
      <c r="D165" s="30" t="s">
        <v>95</v>
      </c>
      <c r="E165" s="20">
        <f>SUM(F165:G165)</f>
        <v>0</v>
      </c>
      <c r="F165" s="42">
        <v>0</v>
      </c>
      <c r="G165" s="42">
        <v>0</v>
      </c>
    </row>
    <row r="166" spans="1:7" s="21" customFormat="1" ht="26.25" customHeight="1">
      <c r="A166" s="51"/>
      <c r="B166" s="51"/>
      <c r="C166" s="57" t="s">
        <v>206</v>
      </c>
      <c r="D166" s="30" t="s">
        <v>207</v>
      </c>
      <c r="E166" s="20">
        <f>SUM(F166:G166)</f>
        <v>6000</v>
      </c>
      <c r="F166" s="20">
        <v>6000</v>
      </c>
      <c r="G166" s="20">
        <v>0</v>
      </c>
    </row>
    <row r="167" spans="1:7" s="21" customFormat="1" ht="17.25" customHeight="1">
      <c r="A167" s="61"/>
      <c r="B167" s="61"/>
      <c r="C167" s="74" t="s">
        <v>19</v>
      </c>
      <c r="D167" s="79" t="s">
        <v>20</v>
      </c>
      <c r="E167" s="63">
        <f>SUM(F167:G167)</f>
        <v>10790693</v>
      </c>
      <c r="F167" s="42">
        <v>10790693</v>
      </c>
      <c r="G167" s="63"/>
    </row>
    <row r="168" spans="1:7" s="14" customFormat="1" ht="27" customHeight="1">
      <c r="A168" s="49"/>
      <c r="B168" s="49" t="s">
        <v>208</v>
      </c>
      <c r="C168" s="58"/>
      <c r="D168" s="59" t="s">
        <v>209</v>
      </c>
      <c r="E168" s="17">
        <f>E169</f>
        <v>16000</v>
      </c>
      <c r="F168" s="17">
        <f>F169</f>
        <v>16000</v>
      </c>
      <c r="G168" s="17">
        <f>G169</f>
        <v>0</v>
      </c>
    </row>
    <row r="169" spans="1:7" s="21" customFormat="1" ht="19.5" customHeight="1">
      <c r="A169" s="51"/>
      <c r="B169" s="51"/>
      <c r="C169" s="57" t="s">
        <v>210</v>
      </c>
      <c r="D169" s="30" t="s">
        <v>211</v>
      </c>
      <c r="E169" s="39">
        <f>SUM(F169,G169)</f>
        <v>16000</v>
      </c>
      <c r="F169" s="39">
        <v>16000</v>
      </c>
      <c r="G169" s="39">
        <v>0</v>
      </c>
    </row>
    <row r="170" spans="1:7" s="14" customFormat="1" ht="19.5" customHeight="1">
      <c r="A170" s="49"/>
      <c r="B170" s="49" t="s">
        <v>212</v>
      </c>
      <c r="C170" s="49"/>
      <c r="D170" s="50" t="s">
        <v>14</v>
      </c>
      <c r="E170" s="17">
        <f>E171+E172+E173</f>
        <v>1486200</v>
      </c>
      <c r="F170" s="17">
        <f>F171+F172+F173</f>
        <v>486200</v>
      </c>
      <c r="G170" s="17">
        <f>G171+G172+G173</f>
        <v>1000000</v>
      </c>
    </row>
    <row r="171" spans="1:7" s="21" customFormat="1" ht="69.75" customHeight="1">
      <c r="A171" s="51"/>
      <c r="B171" s="51"/>
      <c r="C171" s="57" t="s">
        <v>34</v>
      </c>
      <c r="D171" s="30" t="s">
        <v>35</v>
      </c>
      <c r="E171" s="20">
        <f>SUM(F171,G171)</f>
        <v>2200</v>
      </c>
      <c r="F171" s="20">
        <v>2200</v>
      </c>
      <c r="G171" s="20">
        <v>0</v>
      </c>
    </row>
    <row r="172" spans="1:7" s="21" customFormat="1" ht="19.5" customHeight="1">
      <c r="A172" s="51"/>
      <c r="B172" s="51"/>
      <c r="C172" s="51" t="s">
        <v>27</v>
      </c>
      <c r="D172" s="56" t="s">
        <v>28</v>
      </c>
      <c r="E172" s="20">
        <f>SUM(F172,G172)</f>
        <v>484000</v>
      </c>
      <c r="F172" s="20">
        <v>484000</v>
      </c>
      <c r="G172" s="20">
        <v>0</v>
      </c>
    </row>
    <row r="173" spans="1:7" s="21" customFormat="1" ht="52.5" customHeight="1">
      <c r="A173" s="18"/>
      <c r="B173" s="18"/>
      <c r="C173" s="57" t="s">
        <v>29</v>
      </c>
      <c r="D173" s="52" t="s">
        <v>30</v>
      </c>
      <c r="E173" s="20">
        <f>SUM(F173,G173)</f>
        <v>1000000</v>
      </c>
      <c r="F173" s="20">
        <v>0</v>
      </c>
      <c r="G173" s="20">
        <v>1000000</v>
      </c>
    </row>
    <row r="174" spans="1:7" s="81" customFormat="1" ht="12.75" customHeight="1" hidden="1">
      <c r="A174" s="22" t="s">
        <v>213</v>
      </c>
      <c r="B174" s="22"/>
      <c r="C174" s="22"/>
      <c r="D174" s="80" t="s">
        <v>214</v>
      </c>
      <c r="E174" s="24">
        <f aca="true" t="shared" si="8" ref="E174:G175">SUM(E175)</f>
        <v>0</v>
      </c>
      <c r="F174" s="24">
        <f t="shared" si="8"/>
        <v>0</v>
      </c>
      <c r="G174" s="24">
        <f t="shared" si="8"/>
        <v>0</v>
      </c>
    </row>
    <row r="175" spans="1:7" s="14" customFormat="1" ht="12.75" customHeight="1" hidden="1">
      <c r="A175" s="82"/>
      <c r="B175" s="82" t="s">
        <v>215</v>
      </c>
      <c r="C175" s="82"/>
      <c r="D175" s="77" t="s">
        <v>216</v>
      </c>
      <c r="E175" s="78">
        <f t="shared" si="8"/>
        <v>0</v>
      </c>
      <c r="F175" s="78">
        <f t="shared" si="8"/>
        <v>0</v>
      </c>
      <c r="G175" s="78">
        <f t="shared" si="8"/>
        <v>0</v>
      </c>
    </row>
    <row r="176" spans="1:7" s="21" customFormat="1" ht="12.75" customHeight="1" hidden="1">
      <c r="A176" s="46"/>
      <c r="B176" s="46"/>
      <c r="C176" s="46" t="s">
        <v>29</v>
      </c>
      <c r="D176" s="52" t="s">
        <v>30</v>
      </c>
      <c r="E176" s="42">
        <f>SUM(F176:G176)</f>
        <v>0</v>
      </c>
      <c r="F176" s="42"/>
      <c r="G176" s="42">
        <v>0</v>
      </c>
    </row>
    <row r="177" spans="1:7" s="21" customFormat="1" ht="12.75" customHeight="1" hidden="1">
      <c r="A177" s="46"/>
      <c r="B177" s="46"/>
      <c r="C177" s="46"/>
      <c r="D177" s="31" t="s">
        <v>203</v>
      </c>
      <c r="E177" s="42"/>
      <c r="F177" s="42"/>
      <c r="G177" s="42"/>
    </row>
    <row r="178" spans="1:7" s="21" customFormat="1" ht="21.75" customHeight="1">
      <c r="A178" s="22" t="s">
        <v>217</v>
      </c>
      <c r="B178" s="22"/>
      <c r="C178" s="22"/>
      <c r="D178" s="80" t="s">
        <v>218</v>
      </c>
      <c r="E178" s="24">
        <f>SUM(E179)</f>
        <v>666000</v>
      </c>
      <c r="F178" s="24">
        <f>SUM(F179)</f>
        <v>0</v>
      </c>
      <c r="G178" s="24">
        <f>SUM(G179)</f>
        <v>666000</v>
      </c>
    </row>
    <row r="179" spans="1:7" s="21" customFormat="1" ht="20.25" customHeight="1">
      <c r="A179" s="15"/>
      <c r="B179" s="15" t="s">
        <v>219</v>
      </c>
      <c r="C179" s="15"/>
      <c r="D179" s="83" t="s">
        <v>220</v>
      </c>
      <c r="E179" s="17">
        <f>SUM(E180,E181,E182)</f>
        <v>666000</v>
      </c>
      <c r="F179" s="17">
        <f>SUM(F180,F181,F182)</f>
        <v>0</v>
      </c>
      <c r="G179" s="17">
        <f>SUM(G180,G181,G182)</f>
        <v>666000</v>
      </c>
    </row>
    <row r="180" spans="1:7" s="21" customFormat="1" ht="12.75" customHeight="1" hidden="1">
      <c r="A180" s="15"/>
      <c r="B180" s="15"/>
      <c r="C180" s="18" t="s">
        <v>29</v>
      </c>
      <c r="D180" s="30" t="s">
        <v>30</v>
      </c>
      <c r="E180" s="20">
        <f>SUM(F180,G180)</f>
        <v>0</v>
      </c>
      <c r="F180" s="20">
        <v>0</v>
      </c>
      <c r="G180" s="20">
        <v>0</v>
      </c>
    </row>
    <row r="181" spans="1:7" s="21" customFormat="1" ht="63.75" customHeight="1">
      <c r="A181" s="15"/>
      <c r="B181" s="15"/>
      <c r="C181" s="18" t="s">
        <v>221</v>
      </c>
      <c r="D181" s="30" t="s">
        <v>222</v>
      </c>
      <c r="E181" s="20">
        <f>SUM(F181,G181)</f>
        <v>333000</v>
      </c>
      <c r="F181" s="20"/>
      <c r="G181" s="20">
        <v>333000</v>
      </c>
    </row>
    <row r="182" spans="1:7" s="21" customFormat="1" ht="46.5" customHeight="1">
      <c r="A182" s="84"/>
      <c r="B182" s="84"/>
      <c r="C182" s="85">
        <v>6330</v>
      </c>
      <c r="D182" s="86" t="s">
        <v>223</v>
      </c>
      <c r="E182" s="87">
        <f>SUM(F182,G182)</f>
        <v>333000</v>
      </c>
      <c r="F182" s="87">
        <v>0</v>
      </c>
      <c r="G182" s="87">
        <v>333000</v>
      </c>
    </row>
    <row r="183" spans="1:8" s="90" customFormat="1" ht="26.25" customHeight="1">
      <c r="A183" s="358" t="s">
        <v>224</v>
      </c>
      <c r="B183" s="358"/>
      <c r="C183" s="358"/>
      <c r="D183" s="358"/>
      <c r="E183" s="88">
        <f>SUM(E184,E199,E202,E216,E226,E229,E236,E246,E252,E255,E262,E269)</f>
        <v>64968104</v>
      </c>
      <c r="F183" s="88">
        <f>SUM(F184,F199,F202,F216,F226,F229,F236,F246,F252,F255,F262,F269)</f>
        <v>61433104</v>
      </c>
      <c r="G183" s="88">
        <f>SUM(G184,G199,G202,G216,G226,G229,G236,G246,G252,G255,G262,G269)</f>
        <v>3535000</v>
      </c>
      <c r="H183" s="89"/>
    </row>
    <row r="184" spans="1:7" s="21" customFormat="1" ht="21.75" customHeight="1">
      <c r="A184" s="11" t="s">
        <v>23</v>
      </c>
      <c r="B184" s="11"/>
      <c r="C184" s="11"/>
      <c r="D184" s="80" t="s">
        <v>24</v>
      </c>
      <c r="E184" s="13">
        <f>SUM(E185,E188)</f>
        <v>4430000</v>
      </c>
      <c r="F184" s="13">
        <f>SUM(F185,F188)</f>
        <v>906000</v>
      </c>
      <c r="G184" s="13">
        <f>SUM(G185,G188)</f>
        <v>3524000</v>
      </c>
    </row>
    <row r="185" spans="1:7" s="21" customFormat="1" ht="12.75" customHeight="1" hidden="1">
      <c r="A185" s="15"/>
      <c r="B185" s="15" t="s">
        <v>225</v>
      </c>
      <c r="C185" s="15"/>
      <c r="D185" s="83" t="s">
        <v>226</v>
      </c>
      <c r="E185" s="17">
        <f>SUM(E186)</f>
        <v>0</v>
      </c>
      <c r="F185" s="17">
        <f>SUM(F186)</f>
        <v>0</v>
      </c>
      <c r="G185" s="17">
        <f>SUM(G186)</f>
        <v>0</v>
      </c>
    </row>
    <row r="186" spans="1:7" s="21" customFormat="1" ht="12.75" customHeight="1" hidden="1">
      <c r="A186" s="18"/>
      <c r="B186" s="18"/>
      <c r="C186" s="18" t="s">
        <v>29</v>
      </c>
      <c r="D186" s="30" t="s">
        <v>30</v>
      </c>
      <c r="E186" s="20">
        <f>SUM(F186,G186)</f>
        <v>0</v>
      </c>
      <c r="F186" s="20">
        <v>0</v>
      </c>
      <c r="G186" s="20">
        <v>0</v>
      </c>
    </row>
    <row r="187" spans="1:7" s="21" customFormat="1" ht="12.75" customHeight="1" hidden="1">
      <c r="A187" s="18"/>
      <c r="B187" s="18"/>
      <c r="C187" s="18"/>
      <c r="D187" s="31" t="s">
        <v>59</v>
      </c>
      <c r="E187" s="32"/>
      <c r="F187" s="32"/>
      <c r="G187" s="20"/>
    </row>
    <row r="188" spans="1:7" s="14" customFormat="1" ht="38.25" customHeight="1">
      <c r="A188" s="15"/>
      <c r="B188" s="15" t="s">
        <v>227</v>
      </c>
      <c r="C188" s="15"/>
      <c r="D188" s="29" t="s">
        <v>228</v>
      </c>
      <c r="E188" s="17">
        <f>SUM(E189,E190,E191,E192,E193,E194,E195,E196)</f>
        <v>4430000</v>
      </c>
      <c r="F188" s="17">
        <f>SUM(F189,F190,F191,F192,F193,F194,F195,F196)</f>
        <v>906000</v>
      </c>
      <c r="G188" s="17">
        <f>SUM(G189,G190,G191,G192,G193,G194,G195,G196)</f>
        <v>3524000</v>
      </c>
    </row>
    <row r="189" spans="1:7" s="21" customFormat="1" ht="19.5" customHeight="1">
      <c r="A189" s="18"/>
      <c r="B189" s="18"/>
      <c r="C189" s="18" t="s">
        <v>19</v>
      </c>
      <c r="D189" s="19" t="s">
        <v>20</v>
      </c>
      <c r="E189" s="20">
        <f aca="true" t="shared" si="9" ref="E189:E194">SUM(F189,G189)</f>
        <v>450000</v>
      </c>
      <c r="F189" s="20">
        <v>450000</v>
      </c>
      <c r="G189" s="20">
        <v>0</v>
      </c>
    </row>
    <row r="190" spans="1:7" s="21" customFormat="1" ht="67.5" customHeight="1">
      <c r="A190" s="18"/>
      <c r="B190" s="18"/>
      <c r="C190" s="18" t="s">
        <v>34</v>
      </c>
      <c r="D190" s="19" t="s">
        <v>35</v>
      </c>
      <c r="E190" s="20">
        <f t="shared" si="9"/>
        <v>370000</v>
      </c>
      <c r="F190" s="20">
        <v>370000</v>
      </c>
      <c r="G190" s="20">
        <v>0</v>
      </c>
    </row>
    <row r="191" spans="1:7" s="21" customFormat="1" ht="19.5" customHeight="1">
      <c r="A191" s="18"/>
      <c r="B191" s="18"/>
      <c r="C191" s="18" t="s">
        <v>64</v>
      </c>
      <c r="D191" s="19" t="s">
        <v>65</v>
      </c>
      <c r="E191" s="20">
        <f t="shared" si="9"/>
        <v>85500</v>
      </c>
      <c r="F191" s="20">
        <v>85500</v>
      </c>
      <c r="G191" s="20">
        <v>0</v>
      </c>
    </row>
    <row r="192" spans="1:7" s="21" customFormat="1" ht="12.75" customHeight="1" hidden="1">
      <c r="A192" s="91"/>
      <c r="B192" s="91"/>
      <c r="C192" s="91" t="s">
        <v>229</v>
      </c>
      <c r="D192" s="37" t="s">
        <v>230</v>
      </c>
      <c r="E192" s="20">
        <f t="shared" si="9"/>
        <v>0</v>
      </c>
      <c r="F192" s="39">
        <v>0</v>
      </c>
      <c r="G192" s="39">
        <v>0</v>
      </c>
    </row>
    <row r="193" spans="1:7" s="21" customFormat="1" ht="19.5" customHeight="1">
      <c r="A193" s="91"/>
      <c r="B193" s="91"/>
      <c r="C193" s="91" t="s">
        <v>21</v>
      </c>
      <c r="D193" s="37" t="s">
        <v>22</v>
      </c>
      <c r="E193" s="20">
        <f t="shared" si="9"/>
        <v>4000</v>
      </c>
      <c r="F193" s="39">
        <v>0</v>
      </c>
      <c r="G193" s="39">
        <v>4000</v>
      </c>
    </row>
    <row r="194" spans="1:7" s="21" customFormat="1" ht="19.5" customHeight="1">
      <c r="A194" s="91"/>
      <c r="B194" s="91"/>
      <c r="C194" s="91" t="s">
        <v>55</v>
      </c>
      <c r="D194" s="37" t="s">
        <v>56</v>
      </c>
      <c r="E194" s="20">
        <f t="shared" si="9"/>
        <v>500</v>
      </c>
      <c r="F194" s="39">
        <v>500</v>
      </c>
      <c r="G194" s="39">
        <v>0</v>
      </c>
    </row>
    <row r="195" spans="1:7" s="21" customFormat="1" ht="12.75" customHeight="1" hidden="1">
      <c r="A195" s="91"/>
      <c r="B195" s="91"/>
      <c r="C195" s="91" t="s">
        <v>58</v>
      </c>
      <c r="D195" s="92" t="s">
        <v>30</v>
      </c>
      <c r="E195" s="20">
        <f>SUM(F195:G195)</f>
        <v>0</v>
      </c>
      <c r="F195" s="39"/>
      <c r="G195" s="39">
        <v>0</v>
      </c>
    </row>
    <row r="196" spans="1:7" s="21" customFormat="1" ht="50.25" customHeight="1">
      <c r="A196" s="18"/>
      <c r="B196" s="18"/>
      <c r="C196" s="18" t="s">
        <v>29</v>
      </c>
      <c r="D196" s="30" t="s">
        <v>30</v>
      </c>
      <c r="E196" s="20">
        <f>SUM(F196:G196)</f>
        <v>3520000</v>
      </c>
      <c r="F196" s="20">
        <v>0</v>
      </c>
      <c r="G196" s="20">
        <v>3520000</v>
      </c>
    </row>
    <row r="197" spans="1:7" s="21" customFormat="1" ht="12.75" customHeight="1" hidden="1">
      <c r="A197" s="46"/>
      <c r="B197" s="46"/>
      <c r="C197" s="46"/>
      <c r="D197" s="31" t="s">
        <v>31</v>
      </c>
      <c r="E197" s="42"/>
      <c r="F197" s="42"/>
      <c r="G197" s="42"/>
    </row>
    <row r="198" spans="1:7" s="21" customFormat="1" ht="12.75" customHeight="1" hidden="1">
      <c r="A198" s="18"/>
      <c r="B198" s="18"/>
      <c r="C198" s="18" t="s">
        <v>231</v>
      </c>
      <c r="D198" s="19" t="s">
        <v>232</v>
      </c>
      <c r="E198" s="20">
        <f>F198+G198</f>
        <v>0</v>
      </c>
      <c r="F198" s="20"/>
      <c r="G198" s="20">
        <v>0</v>
      </c>
    </row>
    <row r="199" spans="1:7" s="14" customFormat="1" ht="19.5" customHeight="1">
      <c r="A199" s="26" t="s">
        <v>45</v>
      </c>
      <c r="B199" s="26"/>
      <c r="C199" s="26"/>
      <c r="D199" s="93" t="s">
        <v>46</v>
      </c>
      <c r="E199" s="28">
        <f aca="true" t="shared" si="10" ref="E199:G200">E200</f>
        <v>42000</v>
      </c>
      <c r="F199" s="28">
        <f t="shared" si="10"/>
        <v>42000</v>
      </c>
      <c r="G199" s="28">
        <f t="shared" si="10"/>
        <v>0</v>
      </c>
    </row>
    <row r="200" spans="1:7" s="14" customFormat="1" ht="19.5" customHeight="1">
      <c r="A200" s="18"/>
      <c r="B200" s="15" t="s">
        <v>47</v>
      </c>
      <c r="C200" s="15"/>
      <c r="D200" s="16" t="s">
        <v>48</v>
      </c>
      <c r="E200" s="17">
        <f t="shared" si="10"/>
        <v>42000</v>
      </c>
      <c r="F200" s="17">
        <f t="shared" si="10"/>
        <v>42000</v>
      </c>
      <c r="G200" s="17">
        <f t="shared" si="10"/>
        <v>0</v>
      </c>
    </row>
    <row r="201" spans="1:7" s="21" customFormat="1" ht="54.75" customHeight="1">
      <c r="A201" s="51"/>
      <c r="B201" s="51"/>
      <c r="C201" s="60">
        <v>2110</v>
      </c>
      <c r="D201" s="30" t="s">
        <v>233</v>
      </c>
      <c r="E201" s="20">
        <f>SUM(F201,G201)</f>
        <v>42000</v>
      </c>
      <c r="F201" s="20">
        <v>42000</v>
      </c>
      <c r="G201" s="20">
        <v>0</v>
      </c>
    </row>
    <row r="202" spans="1:7" s="14" customFormat="1" ht="19.5" customHeight="1">
      <c r="A202" s="53" t="s">
        <v>60</v>
      </c>
      <c r="B202" s="53"/>
      <c r="C202" s="54"/>
      <c r="D202" s="55" t="s">
        <v>61</v>
      </c>
      <c r="E202" s="28">
        <f>SUM(E203,E205,E211,E214)</f>
        <v>760000</v>
      </c>
      <c r="F202" s="28">
        <f>SUM(F203,F205,F211,F214)</f>
        <v>749000</v>
      </c>
      <c r="G202" s="28">
        <f>SUM(G203,G205,G211,G214)</f>
        <v>11000</v>
      </c>
    </row>
    <row r="203" spans="1:7" s="14" customFormat="1" ht="19.5" customHeight="1">
      <c r="A203" s="49"/>
      <c r="B203" s="49" t="s">
        <v>234</v>
      </c>
      <c r="C203" s="49"/>
      <c r="D203" s="50" t="s">
        <v>235</v>
      </c>
      <c r="E203" s="17">
        <f>E204</f>
        <v>57000</v>
      </c>
      <c r="F203" s="17">
        <f>F204</f>
        <v>57000</v>
      </c>
      <c r="G203" s="17">
        <f>G204</f>
        <v>0</v>
      </c>
    </row>
    <row r="204" spans="1:7" s="21" customFormat="1" ht="55.5" customHeight="1">
      <c r="A204" s="51"/>
      <c r="B204" s="51"/>
      <c r="C204" s="51" t="s">
        <v>236</v>
      </c>
      <c r="D204" s="30" t="s">
        <v>233</v>
      </c>
      <c r="E204" s="20">
        <f>SUM(F204,G204)</f>
        <v>57000</v>
      </c>
      <c r="F204" s="20">
        <v>57000</v>
      </c>
      <c r="G204" s="20">
        <v>0</v>
      </c>
    </row>
    <row r="205" spans="1:7" s="14" customFormat="1" ht="20.25" customHeight="1">
      <c r="A205" s="49"/>
      <c r="B205" s="49" t="s">
        <v>237</v>
      </c>
      <c r="C205" s="49"/>
      <c r="D205" s="59" t="s">
        <v>238</v>
      </c>
      <c r="E205" s="17">
        <f>SUM(E206,E207,E208,E209,E210)</f>
        <v>315000</v>
      </c>
      <c r="F205" s="17">
        <f>SUM(F206,F207,F208,F209,F210)</f>
        <v>315000</v>
      </c>
      <c r="G205" s="17">
        <f>SUM(G206,G207,G208,G209,G210)</f>
        <v>0</v>
      </c>
    </row>
    <row r="206" spans="1:7" s="21" customFormat="1" ht="19.5" customHeight="1">
      <c r="A206" s="51"/>
      <c r="B206" s="51"/>
      <c r="C206" s="51" t="s">
        <v>64</v>
      </c>
      <c r="D206" s="30" t="s">
        <v>65</v>
      </c>
      <c r="E206" s="20">
        <f>SUM(F206,G206)</f>
        <v>240000</v>
      </c>
      <c r="F206" s="20">
        <v>240000</v>
      </c>
      <c r="G206" s="20">
        <v>0</v>
      </c>
    </row>
    <row r="207" spans="1:7" s="21" customFormat="1" ht="19.5" customHeight="1">
      <c r="A207" s="51"/>
      <c r="B207" s="51"/>
      <c r="C207" s="51" t="s">
        <v>55</v>
      </c>
      <c r="D207" s="30" t="s">
        <v>56</v>
      </c>
      <c r="E207" s="20">
        <f>SUM(F207,G207)</f>
        <v>7000</v>
      </c>
      <c r="F207" s="20">
        <v>7000</v>
      </c>
      <c r="G207" s="20">
        <v>0</v>
      </c>
    </row>
    <row r="208" spans="1:7" s="21" customFormat="1" ht="21" customHeight="1">
      <c r="A208" s="51"/>
      <c r="B208" s="51"/>
      <c r="C208" s="51" t="s">
        <v>27</v>
      </c>
      <c r="D208" s="30" t="s">
        <v>28</v>
      </c>
      <c r="E208" s="20">
        <f>SUM(F208,G208)</f>
        <v>54000</v>
      </c>
      <c r="F208" s="20">
        <v>54000</v>
      </c>
      <c r="G208" s="20">
        <v>0</v>
      </c>
    </row>
    <row r="209" spans="1:7" s="21" customFormat="1" ht="55.5" customHeight="1">
      <c r="A209" s="51"/>
      <c r="B209" s="51"/>
      <c r="C209" s="51" t="s">
        <v>236</v>
      </c>
      <c r="D209" s="19" t="s">
        <v>233</v>
      </c>
      <c r="E209" s="20">
        <f>SUM(F209,G209)</f>
        <v>14000</v>
      </c>
      <c r="F209" s="20">
        <v>14000</v>
      </c>
      <c r="G209" s="20">
        <v>0</v>
      </c>
    </row>
    <row r="210" spans="1:7" s="21" customFormat="1" ht="12.75" customHeight="1" hidden="1">
      <c r="A210" s="51"/>
      <c r="B210" s="51"/>
      <c r="C210" s="51" t="s">
        <v>201</v>
      </c>
      <c r="D210" s="19" t="s">
        <v>239</v>
      </c>
      <c r="E210" s="20">
        <f>SUM(F210,G210)</f>
        <v>0</v>
      </c>
      <c r="F210" s="20">
        <v>0</v>
      </c>
      <c r="G210" s="20">
        <v>0</v>
      </c>
    </row>
    <row r="211" spans="1:7" s="14" customFormat="1" ht="19.5" customHeight="1">
      <c r="A211" s="49"/>
      <c r="B211" s="49" t="s">
        <v>240</v>
      </c>
      <c r="C211" s="49"/>
      <c r="D211" s="50" t="s">
        <v>241</v>
      </c>
      <c r="E211" s="17">
        <f>SUM(E212,E213)</f>
        <v>388000</v>
      </c>
      <c r="F211" s="17">
        <f>SUM(F212,F213)</f>
        <v>377000</v>
      </c>
      <c r="G211" s="17">
        <f>SUM(G212,G213)</f>
        <v>11000</v>
      </c>
    </row>
    <row r="212" spans="1:7" s="21" customFormat="1" ht="51" customHeight="1">
      <c r="A212" s="51"/>
      <c r="B212" s="51"/>
      <c r="C212" s="51" t="s">
        <v>236</v>
      </c>
      <c r="D212" s="19" t="s">
        <v>233</v>
      </c>
      <c r="E212" s="20">
        <f>SUM(F212,G212)</f>
        <v>377000</v>
      </c>
      <c r="F212" s="20">
        <v>377000</v>
      </c>
      <c r="G212" s="20">
        <v>0</v>
      </c>
    </row>
    <row r="213" spans="1:7" s="21" customFormat="1" ht="51.75" customHeight="1">
      <c r="A213" s="51"/>
      <c r="B213" s="51"/>
      <c r="C213" s="51" t="s">
        <v>242</v>
      </c>
      <c r="D213" s="19" t="s">
        <v>243</v>
      </c>
      <c r="E213" s="20">
        <f>SUM(F213:G213)</f>
        <v>11000</v>
      </c>
      <c r="F213" s="20">
        <v>0</v>
      </c>
      <c r="G213" s="20">
        <v>11000</v>
      </c>
    </row>
    <row r="214" spans="1:7" s="14" customFormat="1" ht="12.75" customHeight="1" hidden="1">
      <c r="A214" s="49"/>
      <c r="B214" s="49" t="s">
        <v>244</v>
      </c>
      <c r="C214" s="49"/>
      <c r="D214" s="50" t="s">
        <v>14</v>
      </c>
      <c r="E214" s="17">
        <f>SUM(E215)</f>
        <v>0</v>
      </c>
      <c r="F214" s="17">
        <f>SUM(F215)</f>
        <v>0</v>
      </c>
      <c r="G214" s="17">
        <f>SUM(G215)</f>
        <v>0</v>
      </c>
    </row>
    <row r="215" spans="1:7" s="21" customFormat="1" ht="12.75" customHeight="1" hidden="1">
      <c r="A215" s="51"/>
      <c r="B215" s="51"/>
      <c r="C215" s="51" t="s">
        <v>242</v>
      </c>
      <c r="D215" s="19" t="s">
        <v>243</v>
      </c>
      <c r="E215" s="20">
        <f>SUM(F215:G215)</f>
        <v>0</v>
      </c>
      <c r="F215" s="20">
        <v>0</v>
      </c>
      <c r="G215" s="20">
        <v>0</v>
      </c>
    </row>
    <row r="216" spans="1:7" s="14" customFormat="1" ht="19.5" customHeight="1">
      <c r="A216" s="53" t="s">
        <v>66</v>
      </c>
      <c r="B216" s="53"/>
      <c r="C216" s="53"/>
      <c r="D216" s="55" t="s">
        <v>67</v>
      </c>
      <c r="E216" s="28">
        <f>SUM(E217,E219,E223)</f>
        <v>933443</v>
      </c>
      <c r="F216" s="28">
        <f>SUM(F217,F219,F223)</f>
        <v>933443</v>
      </c>
      <c r="G216" s="28">
        <f>SUM(G217,G219,G223)</f>
        <v>0</v>
      </c>
    </row>
    <row r="217" spans="1:7" s="14" customFormat="1" ht="19.5" customHeight="1">
      <c r="A217" s="49"/>
      <c r="B217" s="49" t="s">
        <v>68</v>
      </c>
      <c r="C217" s="49"/>
      <c r="D217" s="50" t="s">
        <v>69</v>
      </c>
      <c r="E217" s="17">
        <f>E218</f>
        <v>82900</v>
      </c>
      <c r="F217" s="17">
        <f>F218</f>
        <v>82900</v>
      </c>
      <c r="G217" s="17">
        <f>G218</f>
        <v>0</v>
      </c>
    </row>
    <row r="218" spans="1:7" s="21" customFormat="1" ht="54.75" customHeight="1">
      <c r="A218" s="51"/>
      <c r="B218" s="51"/>
      <c r="C218" s="51" t="s">
        <v>236</v>
      </c>
      <c r="D218" s="19" t="s">
        <v>233</v>
      </c>
      <c r="E218" s="20">
        <f>SUM(F218,G218)</f>
        <v>82900</v>
      </c>
      <c r="F218" s="20">
        <v>82900</v>
      </c>
      <c r="G218" s="20">
        <v>0</v>
      </c>
    </row>
    <row r="219" spans="1:7" s="14" customFormat="1" ht="19.5" customHeight="1">
      <c r="A219" s="49"/>
      <c r="B219" s="49" t="s">
        <v>245</v>
      </c>
      <c r="C219" s="49"/>
      <c r="D219" s="50" t="s">
        <v>246</v>
      </c>
      <c r="E219" s="17">
        <f>SUM(E220,E221,E222)</f>
        <v>829043</v>
      </c>
      <c r="F219" s="17">
        <f>SUM(F220,F221,F222)</f>
        <v>829043</v>
      </c>
      <c r="G219" s="17">
        <f>SUM(G220,G221,G222)</f>
        <v>0</v>
      </c>
    </row>
    <row r="220" spans="1:7" s="21" customFormat="1" ht="19.5" customHeight="1">
      <c r="A220" s="51"/>
      <c r="B220" s="51"/>
      <c r="C220" s="51" t="s">
        <v>19</v>
      </c>
      <c r="D220" s="56" t="s">
        <v>20</v>
      </c>
      <c r="E220" s="20">
        <f>SUM(F220,G220)</f>
        <v>1375</v>
      </c>
      <c r="F220" s="20">
        <v>1375</v>
      </c>
      <c r="G220" s="20">
        <v>0</v>
      </c>
    </row>
    <row r="221" spans="1:7" s="21" customFormat="1" ht="69.75" customHeight="1">
      <c r="A221" s="18"/>
      <c r="B221" s="18"/>
      <c r="C221" s="18" t="s">
        <v>34</v>
      </c>
      <c r="D221" s="19" t="s">
        <v>35</v>
      </c>
      <c r="E221" s="20">
        <f>SUM(F221,G221)</f>
        <v>27568</v>
      </c>
      <c r="F221" s="20">
        <v>27568</v>
      </c>
      <c r="G221" s="20">
        <v>0</v>
      </c>
    </row>
    <row r="222" spans="1:7" s="21" customFormat="1" ht="54.75" customHeight="1">
      <c r="A222" s="51"/>
      <c r="B222" s="51"/>
      <c r="C222" s="51" t="s">
        <v>73</v>
      </c>
      <c r="D222" s="30" t="s">
        <v>74</v>
      </c>
      <c r="E222" s="20">
        <f>SUM(F222,G222)</f>
        <v>800100</v>
      </c>
      <c r="F222" s="20">
        <v>800100</v>
      </c>
      <c r="G222" s="20">
        <v>0</v>
      </c>
    </row>
    <row r="223" spans="1:7" s="14" customFormat="1" ht="19.5" customHeight="1">
      <c r="A223" s="49"/>
      <c r="B223" s="49" t="s">
        <v>247</v>
      </c>
      <c r="C223" s="54"/>
      <c r="D223" s="50" t="s">
        <v>248</v>
      </c>
      <c r="E223" s="17">
        <f>E224+E225</f>
        <v>21500</v>
      </c>
      <c r="F223" s="17">
        <f>F224+F225</f>
        <v>21500</v>
      </c>
      <c r="G223" s="17">
        <f>G224+G225</f>
        <v>0</v>
      </c>
    </row>
    <row r="224" spans="1:7" s="21" customFormat="1" ht="56.25" customHeight="1">
      <c r="A224" s="51"/>
      <c r="B224" s="51"/>
      <c r="C224" s="60">
        <v>2110</v>
      </c>
      <c r="D224" s="19" t="s">
        <v>233</v>
      </c>
      <c r="E224" s="20">
        <f>SUM(F224,G224)</f>
        <v>19000</v>
      </c>
      <c r="F224" s="20">
        <v>19000</v>
      </c>
      <c r="G224" s="20">
        <v>0</v>
      </c>
    </row>
    <row r="225" spans="1:7" s="21" customFormat="1" ht="54" customHeight="1">
      <c r="A225" s="51"/>
      <c r="B225" s="51"/>
      <c r="C225" s="60">
        <v>2120</v>
      </c>
      <c r="D225" s="30" t="s">
        <v>249</v>
      </c>
      <c r="E225" s="20">
        <f>SUM(F225,G225)</f>
        <v>2500</v>
      </c>
      <c r="F225" s="20">
        <v>2500</v>
      </c>
      <c r="G225" s="20">
        <v>0</v>
      </c>
    </row>
    <row r="226" spans="1:7" s="14" customFormat="1" ht="28.5" customHeight="1">
      <c r="A226" s="53" t="s">
        <v>83</v>
      </c>
      <c r="B226" s="53"/>
      <c r="C226" s="54"/>
      <c r="D226" s="67" t="s">
        <v>84</v>
      </c>
      <c r="E226" s="28">
        <f aca="true" t="shared" si="11" ref="E226:G227">E227</f>
        <v>3795000</v>
      </c>
      <c r="F226" s="28">
        <f t="shared" si="11"/>
        <v>3795000</v>
      </c>
      <c r="G226" s="28">
        <f t="shared" si="11"/>
        <v>0</v>
      </c>
    </row>
    <row r="227" spans="1:7" s="14" customFormat="1" ht="19.5" customHeight="1">
      <c r="A227" s="49"/>
      <c r="B227" s="49" t="s">
        <v>250</v>
      </c>
      <c r="C227" s="54"/>
      <c r="D227" s="59" t="s">
        <v>251</v>
      </c>
      <c r="E227" s="17">
        <f t="shared" si="11"/>
        <v>3795000</v>
      </c>
      <c r="F227" s="17">
        <f t="shared" si="11"/>
        <v>3795000</v>
      </c>
      <c r="G227" s="17">
        <f t="shared" si="11"/>
        <v>0</v>
      </c>
    </row>
    <row r="228" spans="1:7" s="21" customFormat="1" ht="55.5" customHeight="1">
      <c r="A228" s="51"/>
      <c r="B228" s="51"/>
      <c r="C228" s="60">
        <v>2110</v>
      </c>
      <c r="D228" s="19" t="s">
        <v>233</v>
      </c>
      <c r="E228" s="20">
        <f>SUM(F228,G228)</f>
        <v>3795000</v>
      </c>
      <c r="F228" s="20">
        <v>3795000</v>
      </c>
      <c r="G228" s="20">
        <v>0</v>
      </c>
    </row>
    <row r="229" spans="1:7" s="14" customFormat="1" ht="54" customHeight="1">
      <c r="A229" s="65" t="s">
        <v>96</v>
      </c>
      <c r="B229" s="53"/>
      <c r="C229" s="53"/>
      <c r="D229" s="67" t="s">
        <v>97</v>
      </c>
      <c r="E229" s="28">
        <f>E230+E233</f>
        <v>8153741</v>
      </c>
      <c r="F229" s="28">
        <f>F230+F233</f>
        <v>8153741</v>
      </c>
      <c r="G229" s="28">
        <f>G230+G233</f>
        <v>0</v>
      </c>
    </row>
    <row r="230" spans="1:7" s="14" customFormat="1" ht="42.75" customHeight="1">
      <c r="A230" s="49"/>
      <c r="B230" s="49" t="s">
        <v>128</v>
      </c>
      <c r="C230" s="49"/>
      <c r="D230" s="59" t="s">
        <v>129</v>
      </c>
      <c r="E230" s="17">
        <f>SUM(E231,E232)</f>
        <v>697150</v>
      </c>
      <c r="F230" s="17">
        <f>SUM(F231,F232)</f>
        <v>697150</v>
      </c>
      <c r="G230" s="17">
        <f>SUM(G231,G232)</f>
        <v>0</v>
      </c>
    </row>
    <row r="231" spans="1:7" s="21" customFormat="1" ht="19.5" customHeight="1">
      <c r="A231" s="51"/>
      <c r="B231" s="51"/>
      <c r="C231" s="51" t="s">
        <v>252</v>
      </c>
      <c r="D231" s="56" t="s">
        <v>253</v>
      </c>
      <c r="E231" s="20">
        <f>SUM(F231,G231)</f>
        <v>697150</v>
      </c>
      <c r="F231" s="20">
        <v>697150</v>
      </c>
      <c r="G231" s="20">
        <v>0</v>
      </c>
    </row>
    <row r="232" spans="1:7" s="21" customFormat="1" ht="12.75" customHeight="1" hidden="1">
      <c r="A232" s="51"/>
      <c r="B232" s="51"/>
      <c r="C232" s="51" t="s">
        <v>19</v>
      </c>
      <c r="D232" s="56" t="s">
        <v>20</v>
      </c>
      <c r="E232" s="20">
        <f>SUM(F232,G232)</f>
        <v>0</v>
      </c>
      <c r="F232" s="20"/>
      <c r="G232" s="20">
        <v>0</v>
      </c>
    </row>
    <row r="233" spans="1:7" s="14" customFormat="1" ht="32.25" customHeight="1">
      <c r="A233" s="49"/>
      <c r="B233" s="49" t="s">
        <v>254</v>
      </c>
      <c r="C233" s="49"/>
      <c r="D233" s="59" t="s">
        <v>255</v>
      </c>
      <c r="E233" s="17">
        <f>E234+E235</f>
        <v>7456591</v>
      </c>
      <c r="F233" s="17">
        <f>F234+F235</f>
        <v>7456591</v>
      </c>
      <c r="G233" s="17">
        <f>G234+G235</f>
        <v>0</v>
      </c>
    </row>
    <row r="234" spans="1:7" s="21" customFormat="1" ht="19.5" customHeight="1">
      <c r="A234" s="51"/>
      <c r="B234" s="51"/>
      <c r="C234" s="51" t="s">
        <v>142</v>
      </c>
      <c r="D234" s="30" t="s">
        <v>143</v>
      </c>
      <c r="E234" s="20">
        <f>SUM(F234,G234)</f>
        <v>7256591</v>
      </c>
      <c r="F234" s="20">
        <v>7256591</v>
      </c>
      <c r="G234" s="20">
        <v>0</v>
      </c>
    </row>
    <row r="235" spans="1:7" s="21" customFormat="1" ht="19.5" customHeight="1">
      <c r="A235" s="51"/>
      <c r="B235" s="51"/>
      <c r="C235" s="51" t="s">
        <v>144</v>
      </c>
      <c r="D235" s="56" t="s">
        <v>145</v>
      </c>
      <c r="E235" s="20">
        <f>SUM(F235,G235)</f>
        <v>200000</v>
      </c>
      <c r="F235" s="20">
        <v>200000</v>
      </c>
      <c r="G235" s="20">
        <v>0</v>
      </c>
    </row>
    <row r="236" spans="1:7" s="14" customFormat="1" ht="19.5" customHeight="1">
      <c r="A236" s="53" t="s">
        <v>146</v>
      </c>
      <c r="B236" s="53"/>
      <c r="C236" s="53"/>
      <c r="D236" s="55" t="s">
        <v>147</v>
      </c>
      <c r="E236" s="28">
        <f>SUM(E237,E239,E242,E244)</f>
        <v>45175854</v>
      </c>
      <c r="F236" s="28">
        <f>SUM(F237,F239,F242,F244)</f>
        <v>45175854</v>
      </c>
      <c r="G236" s="28">
        <f>SUM(G237,G239,G242,G244)</f>
        <v>0</v>
      </c>
    </row>
    <row r="237" spans="1:7" s="14" customFormat="1" ht="32.25" customHeight="1">
      <c r="A237" s="49"/>
      <c r="B237" s="49" t="s">
        <v>148</v>
      </c>
      <c r="C237" s="49"/>
      <c r="D237" s="59" t="s">
        <v>149</v>
      </c>
      <c r="E237" s="17">
        <f>E238</f>
        <v>19416523</v>
      </c>
      <c r="F237" s="17">
        <f>F238</f>
        <v>19416523</v>
      </c>
      <c r="G237" s="17">
        <f>G238</f>
        <v>0</v>
      </c>
    </row>
    <row r="238" spans="1:7" s="21" customFormat="1" ht="19.5" customHeight="1">
      <c r="A238" s="71"/>
      <c r="B238" s="71"/>
      <c r="C238" s="51" t="s">
        <v>150</v>
      </c>
      <c r="D238" s="30" t="s">
        <v>151</v>
      </c>
      <c r="E238" s="20">
        <f>SUM(F238,G238)</f>
        <v>19416523</v>
      </c>
      <c r="F238" s="20">
        <v>19416523</v>
      </c>
      <c r="G238" s="20">
        <v>0</v>
      </c>
    </row>
    <row r="239" spans="1:7" s="14" customFormat="1" ht="32.25" customHeight="1">
      <c r="A239" s="49"/>
      <c r="B239" s="49" t="s">
        <v>256</v>
      </c>
      <c r="C239" s="49"/>
      <c r="D239" s="59" t="s">
        <v>257</v>
      </c>
      <c r="E239" s="17">
        <f>SUM(E240,E241)</f>
        <v>22000000</v>
      </c>
      <c r="F239" s="17">
        <f>SUM(F240,F241)</f>
        <v>22000000</v>
      </c>
      <c r="G239" s="17">
        <f>SUM(G240,G241)</f>
        <v>0</v>
      </c>
    </row>
    <row r="240" spans="1:7" s="21" customFormat="1" ht="54.75" customHeight="1">
      <c r="A240" s="51"/>
      <c r="B240" s="51"/>
      <c r="C240" s="51" t="s">
        <v>258</v>
      </c>
      <c r="D240" s="30" t="s">
        <v>259</v>
      </c>
      <c r="E240" s="20">
        <f>SUM(F240,G240)</f>
        <v>22000000</v>
      </c>
      <c r="F240" s="20">
        <v>22000000</v>
      </c>
      <c r="G240" s="20">
        <v>0</v>
      </c>
    </row>
    <row r="241" spans="1:7" s="21" customFormat="1" ht="12.75" customHeight="1" hidden="1">
      <c r="A241" s="51"/>
      <c r="B241" s="51"/>
      <c r="C241" s="51" t="s">
        <v>260</v>
      </c>
      <c r="D241" s="30" t="s">
        <v>261</v>
      </c>
      <c r="E241" s="20">
        <f>F241+G241</f>
        <v>0</v>
      </c>
      <c r="F241" s="20">
        <v>0</v>
      </c>
      <c r="G241" s="20">
        <v>0</v>
      </c>
    </row>
    <row r="242" spans="1:7" s="14" customFormat="1" ht="30" customHeight="1">
      <c r="A242" s="49"/>
      <c r="B242" s="49" t="s">
        <v>262</v>
      </c>
      <c r="C242" s="49"/>
      <c r="D242" s="59" t="s">
        <v>263</v>
      </c>
      <c r="E242" s="17">
        <f>SUM(E243)</f>
        <v>185250</v>
      </c>
      <c r="F242" s="17">
        <f>SUM(F243)</f>
        <v>185250</v>
      </c>
      <c r="G242" s="17">
        <f>SUM(G243)</f>
        <v>0</v>
      </c>
    </row>
    <row r="243" spans="1:7" s="21" customFormat="1" ht="24" customHeight="1">
      <c r="A243" s="51"/>
      <c r="B243" s="51"/>
      <c r="C243" s="57" t="s">
        <v>150</v>
      </c>
      <c r="D243" s="30" t="s">
        <v>264</v>
      </c>
      <c r="E243" s="20">
        <f>SUM(F243,G243)</f>
        <v>185250</v>
      </c>
      <c r="F243" s="20">
        <v>185250</v>
      </c>
      <c r="G243" s="20">
        <v>0</v>
      </c>
    </row>
    <row r="244" spans="1:7" s="14" customFormat="1" ht="28.5" customHeight="1">
      <c r="A244" s="49"/>
      <c r="B244" s="49" t="s">
        <v>265</v>
      </c>
      <c r="C244" s="70"/>
      <c r="D244" s="59" t="s">
        <v>266</v>
      </c>
      <c r="E244" s="17">
        <f>E245</f>
        <v>3574081</v>
      </c>
      <c r="F244" s="17">
        <f>F245</f>
        <v>3574081</v>
      </c>
      <c r="G244" s="17">
        <f>G245</f>
        <v>0</v>
      </c>
    </row>
    <row r="245" spans="1:7" s="21" customFormat="1" ht="20.25" customHeight="1">
      <c r="A245" s="51"/>
      <c r="B245" s="51"/>
      <c r="C245" s="57" t="s">
        <v>150</v>
      </c>
      <c r="D245" s="30" t="s">
        <v>264</v>
      </c>
      <c r="E245" s="20">
        <f>SUM(F245,G245)</f>
        <v>3574081</v>
      </c>
      <c r="F245" s="20">
        <v>3574081</v>
      </c>
      <c r="G245" s="20">
        <v>0</v>
      </c>
    </row>
    <row r="246" spans="1:7" s="14" customFormat="1" ht="12.75" customHeight="1" hidden="1">
      <c r="A246" s="53" t="s">
        <v>156</v>
      </c>
      <c r="B246" s="53"/>
      <c r="C246" s="54"/>
      <c r="D246" s="55" t="s">
        <v>267</v>
      </c>
      <c r="E246" s="28">
        <f>SUM(E247)</f>
        <v>0</v>
      </c>
      <c r="F246" s="28">
        <f>SUM(F247)</f>
        <v>0</v>
      </c>
      <c r="G246" s="28">
        <f>SUM(G247)</f>
        <v>0</v>
      </c>
    </row>
    <row r="247" spans="1:7" s="14" customFormat="1" ht="12.75" customHeight="1" hidden="1">
      <c r="A247" s="49"/>
      <c r="B247" s="70" t="s">
        <v>268</v>
      </c>
      <c r="C247" s="54"/>
      <c r="D247" s="59" t="s">
        <v>269</v>
      </c>
      <c r="E247" s="17">
        <f>SUM(E248,E250)</f>
        <v>0</v>
      </c>
      <c r="F247" s="17">
        <f>SUM(F248,F250)</f>
        <v>0</v>
      </c>
      <c r="G247" s="17">
        <f>SUM(G248,G250)</f>
        <v>0</v>
      </c>
    </row>
    <row r="248" spans="1:7" s="21" customFormat="1" ht="12.75" customHeight="1" hidden="1">
      <c r="A248" s="51"/>
      <c r="B248" s="51"/>
      <c r="C248" s="60">
        <v>2008</v>
      </c>
      <c r="D248" s="30" t="s">
        <v>270</v>
      </c>
      <c r="E248" s="20">
        <f>SUM(F248,G248)</f>
        <v>0</v>
      </c>
      <c r="F248" s="20"/>
      <c r="G248" s="20">
        <v>0</v>
      </c>
    </row>
    <row r="249" spans="1:7" s="21" customFormat="1" ht="12.75" customHeight="1" hidden="1">
      <c r="A249" s="61"/>
      <c r="B249" s="61"/>
      <c r="C249" s="62"/>
      <c r="D249" s="31" t="s">
        <v>203</v>
      </c>
      <c r="E249" s="42"/>
      <c r="F249" s="42"/>
      <c r="G249" s="42"/>
    </row>
    <row r="250" spans="1:7" s="21" customFormat="1" ht="12.75" customHeight="1" hidden="1">
      <c r="A250" s="51"/>
      <c r="B250" s="51"/>
      <c r="C250" s="60">
        <v>6209</v>
      </c>
      <c r="D250" s="19" t="s">
        <v>233</v>
      </c>
      <c r="E250" s="20"/>
      <c r="F250" s="20"/>
      <c r="G250" s="20"/>
    </row>
    <row r="251" spans="1:7" s="21" customFormat="1" ht="12.75" customHeight="1" hidden="1">
      <c r="A251" s="51"/>
      <c r="B251" s="51"/>
      <c r="C251" s="60"/>
      <c r="D251" s="31" t="s">
        <v>77</v>
      </c>
      <c r="E251" s="20"/>
      <c r="F251" s="20"/>
      <c r="G251" s="20"/>
    </row>
    <row r="252" spans="1:7" s="14" customFormat="1" ht="19.5" customHeight="1">
      <c r="A252" s="53" t="s">
        <v>163</v>
      </c>
      <c r="B252" s="53"/>
      <c r="C252" s="54"/>
      <c r="D252" s="55" t="s">
        <v>164</v>
      </c>
      <c r="E252" s="28">
        <f aca="true" t="shared" si="12" ref="E252:G253">E253</f>
        <v>740000</v>
      </c>
      <c r="F252" s="28">
        <f t="shared" si="12"/>
        <v>740000</v>
      </c>
      <c r="G252" s="28">
        <f t="shared" si="12"/>
        <v>0</v>
      </c>
    </row>
    <row r="253" spans="1:7" s="14" customFormat="1" ht="40.5" customHeight="1">
      <c r="A253" s="49"/>
      <c r="B253" s="70" t="s">
        <v>271</v>
      </c>
      <c r="C253" s="54"/>
      <c r="D253" s="59" t="s">
        <v>272</v>
      </c>
      <c r="E253" s="17">
        <f t="shared" si="12"/>
        <v>740000</v>
      </c>
      <c r="F253" s="17">
        <f t="shared" si="12"/>
        <v>740000</v>
      </c>
      <c r="G253" s="17">
        <f t="shared" si="12"/>
        <v>0</v>
      </c>
    </row>
    <row r="254" spans="1:7" s="21" customFormat="1" ht="53.25" customHeight="1">
      <c r="A254" s="51"/>
      <c r="B254" s="51"/>
      <c r="C254" s="60">
        <v>2110</v>
      </c>
      <c r="D254" s="19" t="s">
        <v>233</v>
      </c>
      <c r="E254" s="20">
        <f>SUM(F254,G254)</f>
        <v>740000</v>
      </c>
      <c r="F254" s="20">
        <v>740000</v>
      </c>
      <c r="G254" s="20">
        <v>0</v>
      </c>
    </row>
    <row r="255" spans="1:7" s="14" customFormat="1" ht="19.5" customHeight="1">
      <c r="A255" s="53" t="s">
        <v>168</v>
      </c>
      <c r="B255" s="53"/>
      <c r="C255" s="66"/>
      <c r="D255" s="27" t="s">
        <v>169</v>
      </c>
      <c r="E255" s="28">
        <f>SUM(E256,E258,E260)</f>
        <v>452328</v>
      </c>
      <c r="F255" s="28">
        <f>SUM(F256,F258,F260)</f>
        <v>452328</v>
      </c>
      <c r="G255" s="28">
        <f>SUM(G256,G258,G260)</f>
        <v>0</v>
      </c>
    </row>
    <row r="256" spans="1:7" s="14" customFormat="1" ht="12.75" customHeight="1" hidden="1">
      <c r="A256" s="49"/>
      <c r="B256" s="49" t="s">
        <v>170</v>
      </c>
      <c r="C256" s="58"/>
      <c r="D256" s="59" t="s">
        <v>171</v>
      </c>
      <c r="E256" s="17">
        <f>SUM(E257)</f>
        <v>0</v>
      </c>
      <c r="F256" s="17">
        <f>SUM(F257)</f>
        <v>0</v>
      </c>
      <c r="G256" s="17">
        <f>SUM(G257)</f>
        <v>0</v>
      </c>
    </row>
    <row r="257" spans="1:7" s="14" customFormat="1" ht="12.75" customHeight="1" hidden="1">
      <c r="A257" s="51"/>
      <c r="B257" s="51"/>
      <c r="C257" s="60">
        <v>2110</v>
      </c>
      <c r="D257" s="19" t="s">
        <v>233</v>
      </c>
      <c r="E257" s="20">
        <f>SUM(F257,G257)</f>
        <v>0</v>
      </c>
      <c r="F257" s="20">
        <v>0</v>
      </c>
      <c r="G257" s="20">
        <v>0</v>
      </c>
    </row>
    <row r="258" spans="1:7" s="14" customFormat="1" ht="19.5" customHeight="1">
      <c r="A258" s="49"/>
      <c r="B258" s="49" t="s">
        <v>273</v>
      </c>
      <c r="C258" s="58"/>
      <c r="D258" s="59" t="s">
        <v>274</v>
      </c>
      <c r="E258" s="17">
        <f>E259</f>
        <v>134328</v>
      </c>
      <c r="F258" s="17">
        <f>F259</f>
        <v>134328</v>
      </c>
      <c r="G258" s="17">
        <f>G259</f>
        <v>0</v>
      </c>
    </row>
    <row r="259" spans="1:7" s="21" customFormat="1" ht="54" customHeight="1">
      <c r="A259" s="51"/>
      <c r="B259" s="51"/>
      <c r="C259" s="51" t="s">
        <v>275</v>
      </c>
      <c r="D259" s="30" t="s">
        <v>276</v>
      </c>
      <c r="E259" s="20">
        <f>SUM(F259,G259)</f>
        <v>134328</v>
      </c>
      <c r="F259" s="20">
        <v>134328</v>
      </c>
      <c r="G259" s="20">
        <v>0</v>
      </c>
    </row>
    <row r="260" spans="1:7" s="14" customFormat="1" ht="29.25" customHeight="1">
      <c r="A260" s="49"/>
      <c r="B260" s="49" t="s">
        <v>277</v>
      </c>
      <c r="C260" s="58"/>
      <c r="D260" s="59" t="s">
        <v>278</v>
      </c>
      <c r="E260" s="17">
        <f>E261</f>
        <v>318000</v>
      </c>
      <c r="F260" s="17">
        <f>F261</f>
        <v>318000</v>
      </c>
      <c r="G260" s="17">
        <f>G261</f>
        <v>0</v>
      </c>
    </row>
    <row r="261" spans="1:7" s="21" customFormat="1" ht="58.5" customHeight="1">
      <c r="A261" s="51"/>
      <c r="B261" s="51"/>
      <c r="C261" s="60">
        <v>2110</v>
      </c>
      <c r="D261" s="19" t="s">
        <v>233</v>
      </c>
      <c r="E261" s="20">
        <f>SUM(F261,G261)</f>
        <v>318000</v>
      </c>
      <c r="F261" s="20">
        <v>318000</v>
      </c>
      <c r="G261" s="20">
        <v>0</v>
      </c>
    </row>
    <row r="262" spans="1:7" s="14" customFormat="1" ht="21.75" customHeight="1">
      <c r="A262" s="53" t="s">
        <v>187</v>
      </c>
      <c r="B262" s="53"/>
      <c r="C262" s="53"/>
      <c r="D262" s="67" t="s">
        <v>188</v>
      </c>
      <c r="E262" s="28">
        <f>SUM(E263,E265,E267)</f>
        <v>185738</v>
      </c>
      <c r="F262" s="28">
        <f>SUM(F263,F265,F267)</f>
        <v>185738</v>
      </c>
      <c r="G262" s="28">
        <f>SUM(G263,G265,G267)</f>
        <v>0</v>
      </c>
    </row>
    <row r="263" spans="1:7" s="14" customFormat="1" ht="21.75" customHeight="1">
      <c r="A263" s="49"/>
      <c r="B263" s="70" t="s">
        <v>279</v>
      </c>
      <c r="C263" s="54"/>
      <c r="D263" s="59" t="s">
        <v>280</v>
      </c>
      <c r="E263" s="17">
        <f>E264</f>
        <v>36000</v>
      </c>
      <c r="F263" s="17">
        <f>F264</f>
        <v>36000</v>
      </c>
      <c r="G263" s="17">
        <f>G264</f>
        <v>0</v>
      </c>
    </row>
    <row r="264" spans="1:7" s="21" customFormat="1" ht="56.25" customHeight="1">
      <c r="A264" s="51"/>
      <c r="B264" s="51"/>
      <c r="C264" s="60">
        <v>2110</v>
      </c>
      <c r="D264" s="19" t="s">
        <v>233</v>
      </c>
      <c r="E264" s="20">
        <f>SUM(F264,G264)</f>
        <v>36000</v>
      </c>
      <c r="F264" s="20">
        <v>36000</v>
      </c>
      <c r="G264" s="20">
        <v>0</v>
      </c>
    </row>
    <row r="265" spans="1:7" s="14" customFormat="1" ht="21" customHeight="1">
      <c r="A265" s="49"/>
      <c r="B265" s="70" t="s">
        <v>281</v>
      </c>
      <c r="C265" s="54"/>
      <c r="D265" s="59" t="s">
        <v>282</v>
      </c>
      <c r="E265" s="17">
        <f>E266</f>
        <v>62300</v>
      </c>
      <c r="F265" s="17">
        <f>F266</f>
        <v>62300</v>
      </c>
      <c r="G265" s="17">
        <f>G266</f>
        <v>0</v>
      </c>
    </row>
    <row r="266" spans="1:7" s="21" customFormat="1" ht="57" customHeight="1">
      <c r="A266" s="51"/>
      <c r="B266" s="51"/>
      <c r="C266" s="60">
        <v>2690</v>
      </c>
      <c r="D266" s="19" t="s">
        <v>283</v>
      </c>
      <c r="E266" s="20">
        <f>SUM(F266,G266)</f>
        <v>62300</v>
      </c>
      <c r="F266" s="20">
        <v>62300</v>
      </c>
      <c r="G266" s="20">
        <v>0</v>
      </c>
    </row>
    <row r="267" spans="1:7" s="14" customFormat="1" ht="21" customHeight="1">
      <c r="A267" s="49"/>
      <c r="B267" s="70" t="s">
        <v>191</v>
      </c>
      <c r="C267" s="54"/>
      <c r="D267" s="59" t="s">
        <v>14</v>
      </c>
      <c r="E267" s="17">
        <f>SUM(E268)</f>
        <v>87438</v>
      </c>
      <c r="F267" s="17">
        <f>SUM(F268)</f>
        <v>87438</v>
      </c>
      <c r="G267" s="17">
        <f>SUM(G268)</f>
        <v>0</v>
      </c>
    </row>
    <row r="268" spans="1:7" s="21" customFormat="1" ht="66.75" customHeight="1">
      <c r="A268" s="73"/>
      <c r="B268" s="73"/>
      <c r="C268" s="60">
        <v>2008</v>
      </c>
      <c r="D268" s="19" t="s">
        <v>193</v>
      </c>
      <c r="E268" s="20">
        <f>SUM(F268,G268)</f>
        <v>87438</v>
      </c>
      <c r="F268" s="20">
        <v>87438</v>
      </c>
      <c r="G268" s="20">
        <v>0</v>
      </c>
    </row>
    <row r="269" spans="1:7" s="14" customFormat="1" ht="19.5" customHeight="1">
      <c r="A269" s="94" t="s">
        <v>195</v>
      </c>
      <c r="B269" s="94"/>
      <c r="C269" s="94"/>
      <c r="D269" s="95" t="s">
        <v>196</v>
      </c>
      <c r="E269" s="24">
        <f aca="true" t="shared" si="13" ref="E269:G270">SUM(E270)</f>
        <v>300000</v>
      </c>
      <c r="F269" s="24">
        <f t="shared" si="13"/>
        <v>300000</v>
      </c>
      <c r="G269" s="24">
        <f t="shared" si="13"/>
        <v>0</v>
      </c>
    </row>
    <row r="270" spans="1:7" s="14" customFormat="1" ht="27" customHeight="1">
      <c r="A270" s="49"/>
      <c r="B270" s="49" t="s">
        <v>204</v>
      </c>
      <c r="C270" s="70"/>
      <c r="D270" s="29" t="s">
        <v>205</v>
      </c>
      <c r="E270" s="17">
        <f t="shared" si="13"/>
        <v>300000</v>
      </c>
      <c r="F270" s="17">
        <f t="shared" si="13"/>
        <v>300000</v>
      </c>
      <c r="G270" s="17">
        <f t="shared" si="13"/>
        <v>0</v>
      </c>
    </row>
    <row r="271" spans="1:7" s="21" customFormat="1" ht="22.5" customHeight="1">
      <c r="A271" s="96"/>
      <c r="B271" s="96"/>
      <c r="C271" s="97" t="s">
        <v>19</v>
      </c>
      <c r="D271" s="98" t="s">
        <v>20</v>
      </c>
      <c r="E271" s="99">
        <f>SUM(F271:G271)</f>
        <v>300000</v>
      </c>
      <c r="F271" s="99">
        <v>300000</v>
      </c>
      <c r="G271" s="99">
        <v>0</v>
      </c>
    </row>
    <row r="272" spans="1:8" s="90" customFormat="1" ht="22.5" customHeight="1">
      <c r="A272" s="359" t="s">
        <v>284</v>
      </c>
      <c r="B272" s="359"/>
      <c r="C272" s="359"/>
      <c r="D272" s="359"/>
      <c r="E272" s="9">
        <f>E183+E7</f>
        <v>244193650</v>
      </c>
      <c r="F272" s="9">
        <f>F183+F7</f>
        <v>173678586</v>
      </c>
      <c r="G272" s="9">
        <f>G183+G7</f>
        <v>70515064</v>
      </c>
      <c r="H272" s="89"/>
    </row>
    <row r="273" s="5" customFormat="1" ht="12">
      <c r="E273" s="100"/>
    </row>
    <row r="274" spans="5:7" s="5" customFormat="1" ht="12">
      <c r="E274" s="100"/>
      <c r="F274" s="100"/>
      <c r="G274" s="100"/>
    </row>
    <row r="275" spans="5:7" s="5" customFormat="1" ht="12">
      <c r="E275" s="100"/>
      <c r="F275" s="100"/>
      <c r="G275" s="100"/>
    </row>
    <row r="276" spans="5:7" s="5" customFormat="1" ht="12">
      <c r="E276" s="100"/>
      <c r="F276" s="100"/>
      <c r="G276" s="100"/>
    </row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</sheetData>
  <sheetProtection sheet="1" objects="1" scenarios="1"/>
  <mergeCells count="10">
    <mergeCell ref="A7:D7"/>
    <mergeCell ref="A183:D183"/>
    <mergeCell ref="A272:D272"/>
    <mergeCell ref="A1:G1"/>
    <mergeCell ref="A4:A5"/>
    <mergeCell ref="B4:B5"/>
    <mergeCell ref="C4:C5"/>
    <mergeCell ref="D4:D5"/>
    <mergeCell ref="E4:E5"/>
    <mergeCell ref="F4:G4"/>
  </mergeCells>
  <printOptions horizontalCentered="1"/>
  <pageMargins left="0.5511811023622047" right="0.5511811023622047" top="1.8110236220472442" bottom="0.5905511811023623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XIX/144/2011     
Rady Miasta Świnoujście 
z dnia 22 grudnia 2011 roku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4.00390625" style="231" customWidth="1"/>
    <col min="2" max="2" width="7.25390625" style="231" customWidth="1"/>
    <col min="3" max="3" width="9.125" style="231" customWidth="1"/>
    <col min="4" max="4" width="52.125" style="231" customWidth="1"/>
    <col min="5" max="5" width="20.375" style="231" customWidth="1"/>
    <col min="6" max="6" width="0" style="231" hidden="1" customWidth="1"/>
    <col min="7" max="16384" width="9.125" style="231" customWidth="1"/>
  </cols>
  <sheetData>
    <row r="1" spans="1:5" s="169" customFormat="1" ht="42" customHeight="1">
      <c r="A1" s="375" t="s">
        <v>629</v>
      </c>
      <c r="B1" s="375"/>
      <c r="C1" s="375"/>
      <c r="D1" s="375"/>
      <c r="E1" s="375"/>
    </row>
    <row r="2" spans="4:5" s="169" customFormat="1" ht="19.5" customHeight="1">
      <c r="D2" s="276"/>
      <c r="E2" s="276"/>
    </row>
    <row r="3" s="169" customFormat="1" ht="19.5" customHeight="1">
      <c r="E3" s="277" t="s">
        <v>447</v>
      </c>
    </row>
    <row r="4" spans="1:5" s="169" customFormat="1" ht="19.5" customHeight="1">
      <c r="A4" s="173" t="s">
        <v>448</v>
      </c>
      <c r="B4" s="173" t="s">
        <v>2</v>
      </c>
      <c r="C4" s="173" t="s">
        <v>3</v>
      </c>
      <c r="D4" s="173" t="s">
        <v>630</v>
      </c>
      <c r="E4" s="173" t="s">
        <v>631</v>
      </c>
    </row>
    <row r="5" spans="1:5" s="169" customFormat="1" ht="7.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</row>
    <row r="6" spans="1:5" s="169" customFormat="1" ht="30" customHeight="1">
      <c r="A6" s="387" t="s">
        <v>585</v>
      </c>
      <c r="B6" s="387"/>
      <c r="C6" s="387"/>
      <c r="D6" s="387"/>
      <c r="E6" s="278">
        <f>SUM(E7,E8,E9,E10,E11,E12)</f>
        <v>3181082</v>
      </c>
    </row>
    <row r="7" spans="1:6" s="169" customFormat="1" ht="30" customHeight="1">
      <c r="A7" s="182" t="s">
        <v>455</v>
      </c>
      <c r="B7" s="182">
        <v>801</v>
      </c>
      <c r="C7" s="182">
        <v>80110</v>
      </c>
      <c r="D7" s="184" t="s">
        <v>632</v>
      </c>
      <c r="E7" s="279">
        <v>174382</v>
      </c>
      <c r="F7" s="169" t="s">
        <v>633</v>
      </c>
    </row>
    <row r="8" spans="1:6" s="169" customFormat="1" ht="30" customHeight="1">
      <c r="A8" s="182" t="s">
        <v>457</v>
      </c>
      <c r="B8" s="182">
        <v>851</v>
      </c>
      <c r="C8" s="182">
        <v>85153</v>
      </c>
      <c r="D8" s="184" t="s">
        <v>634</v>
      </c>
      <c r="E8" s="279">
        <v>1500</v>
      </c>
      <c r="F8" s="169" t="s">
        <v>635</v>
      </c>
    </row>
    <row r="9" spans="1:6" s="169" customFormat="1" ht="30" customHeight="1">
      <c r="A9" s="182" t="s">
        <v>459</v>
      </c>
      <c r="B9" s="182">
        <v>851</v>
      </c>
      <c r="C9" s="182">
        <v>85154</v>
      </c>
      <c r="D9" s="184" t="s">
        <v>634</v>
      </c>
      <c r="E9" s="279">
        <v>5200</v>
      </c>
      <c r="F9" s="169" t="s">
        <v>635</v>
      </c>
    </row>
    <row r="10" spans="1:6" s="169" customFormat="1" ht="30" customHeight="1">
      <c r="A10" s="182" t="s">
        <v>461</v>
      </c>
      <c r="B10" s="182">
        <v>921</v>
      </c>
      <c r="C10" s="182">
        <v>92109</v>
      </c>
      <c r="D10" s="223" t="s">
        <v>636</v>
      </c>
      <c r="E10" s="279">
        <v>1420000</v>
      </c>
      <c r="F10" s="169" t="s">
        <v>637</v>
      </c>
    </row>
    <row r="11" spans="1:6" s="169" customFormat="1" ht="30" customHeight="1">
      <c r="A11" s="182" t="s">
        <v>463</v>
      </c>
      <c r="B11" s="182">
        <v>921</v>
      </c>
      <c r="C11" s="182">
        <v>92116</v>
      </c>
      <c r="D11" s="223" t="s">
        <v>638</v>
      </c>
      <c r="E11" s="279">
        <v>1180000</v>
      </c>
      <c r="F11" s="169" t="s">
        <v>637</v>
      </c>
    </row>
    <row r="12" spans="1:6" s="169" customFormat="1" ht="30" customHeight="1">
      <c r="A12" s="182" t="s">
        <v>465</v>
      </c>
      <c r="B12" s="182">
        <v>921</v>
      </c>
      <c r="C12" s="182">
        <v>92118</v>
      </c>
      <c r="D12" s="223" t="s">
        <v>639</v>
      </c>
      <c r="E12" s="279">
        <v>400000</v>
      </c>
      <c r="F12" s="169" t="s">
        <v>637</v>
      </c>
    </row>
    <row r="13" spans="1:5" s="169" customFormat="1" ht="30" customHeight="1">
      <c r="A13" s="387" t="s">
        <v>587</v>
      </c>
      <c r="B13" s="387"/>
      <c r="C13" s="387"/>
      <c r="D13" s="387"/>
      <c r="E13" s="278">
        <f>SUM(E14,E15,E16,E17)</f>
        <v>954275</v>
      </c>
    </row>
    <row r="14" spans="1:6" s="169" customFormat="1" ht="38.25" customHeight="1">
      <c r="A14" s="280" t="s">
        <v>467</v>
      </c>
      <c r="B14" s="280">
        <v>801</v>
      </c>
      <c r="C14" s="280">
        <v>80130</v>
      </c>
      <c r="D14" s="281" t="s">
        <v>640</v>
      </c>
      <c r="E14" s="282">
        <v>785804</v>
      </c>
      <c r="F14" s="226" t="s">
        <v>633</v>
      </c>
    </row>
    <row r="15" spans="1:6" s="169" customFormat="1" ht="38.25" customHeight="1">
      <c r="A15" s="283" t="s">
        <v>469</v>
      </c>
      <c r="B15" s="283">
        <v>801</v>
      </c>
      <c r="C15" s="283">
        <v>80130</v>
      </c>
      <c r="D15" s="281" t="s">
        <v>641</v>
      </c>
      <c r="E15" s="284">
        <v>110471</v>
      </c>
      <c r="F15" s="226" t="s">
        <v>633</v>
      </c>
    </row>
    <row r="16" spans="1:6" s="169" customFormat="1" ht="35.25" customHeight="1">
      <c r="A16" s="283" t="s">
        <v>471</v>
      </c>
      <c r="B16" s="283">
        <v>851</v>
      </c>
      <c r="C16" s="283">
        <v>85111</v>
      </c>
      <c r="D16" s="272" t="s">
        <v>642</v>
      </c>
      <c r="E16" s="284">
        <v>55000</v>
      </c>
      <c r="F16" s="226" t="s">
        <v>635</v>
      </c>
    </row>
    <row r="17" spans="1:6" s="169" customFormat="1" ht="35.25" customHeight="1">
      <c r="A17" s="283" t="s">
        <v>473</v>
      </c>
      <c r="B17" s="283">
        <v>851</v>
      </c>
      <c r="C17" s="283">
        <v>85117</v>
      </c>
      <c r="D17" s="272" t="s">
        <v>643</v>
      </c>
      <c r="E17" s="284">
        <v>3000</v>
      </c>
      <c r="F17" s="226" t="s">
        <v>635</v>
      </c>
    </row>
    <row r="18" spans="1:5" s="169" customFormat="1" ht="30" customHeight="1">
      <c r="A18" s="374" t="s">
        <v>644</v>
      </c>
      <c r="B18" s="374"/>
      <c r="C18" s="374"/>
      <c r="D18" s="374"/>
      <c r="E18" s="278">
        <f>SUM(E6,E13)</f>
        <v>4135357</v>
      </c>
    </row>
    <row r="20" ht="12.75">
      <c r="A20" s="285"/>
    </row>
    <row r="21" ht="12.75">
      <c r="A21" s="255"/>
    </row>
    <row r="23" ht="12.75">
      <c r="A23" s="255"/>
    </row>
  </sheetData>
  <sheetProtection sheet="1" objects="1" scenarios="1"/>
  <mergeCells count="4">
    <mergeCell ref="A1:E1"/>
    <mergeCell ref="A6:D6"/>
    <mergeCell ref="A13:D13"/>
    <mergeCell ref="A18:D18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 Nr XIX/144/2011
Rady Miasta Świnoujście
z dnia 22 grudnia 2011 roku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3.375" style="286" customWidth="1"/>
    <col min="2" max="2" width="6.25390625" style="286" customWidth="1"/>
    <col min="3" max="3" width="8.375" style="286" customWidth="1"/>
    <col min="4" max="4" width="23.875" style="233" customWidth="1"/>
    <col min="5" max="5" width="37.625" style="233" customWidth="1"/>
    <col min="6" max="6" width="17.625" style="233" customWidth="1"/>
    <col min="7" max="16384" width="9.125" style="233" customWidth="1"/>
  </cols>
  <sheetData>
    <row r="1" spans="1:6" ht="49.5" customHeight="1">
      <c r="A1" s="375" t="s">
        <v>645</v>
      </c>
      <c r="B1" s="375"/>
      <c r="C1" s="375"/>
      <c r="D1" s="375"/>
      <c r="E1" s="375"/>
      <c r="F1" s="375"/>
    </row>
    <row r="2" spans="4:6" ht="19.5" customHeight="1">
      <c r="D2" s="169"/>
      <c r="E2" s="169"/>
      <c r="F2" s="277" t="s">
        <v>447</v>
      </c>
    </row>
    <row r="3" spans="1:6" ht="19.5" customHeight="1">
      <c r="A3" s="378" t="s">
        <v>448</v>
      </c>
      <c r="B3" s="378" t="s">
        <v>2</v>
      </c>
      <c r="C3" s="378" t="s">
        <v>3</v>
      </c>
      <c r="D3" s="379" t="s">
        <v>646</v>
      </c>
      <c r="E3" s="379" t="s">
        <v>647</v>
      </c>
      <c r="F3" s="379" t="s">
        <v>648</v>
      </c>
    </row>
    <row r="4" spans="1:6" ht="19.5" customHeight="1">
      <c r="A4" s="378"/>
      <c r="B4" s="378"/>
      <c r="C4" s="378"/>
      <c r="D4" s="379"/>
      <c r="E4" s="379"/>
      <c r="F4" s="379"/>
    </row>
    <row r="5" spans="1:6" ht="19.5" customHeight="1">
      <c r="A5" s="378"/>
      <c r="B5" s="378"/>
      <c r="C5" s="378"/>
      <c r="D5" s="379"/>
      <c r="E5" s="379"/>
      <c r="F5" s="379"/>
    </row>
    <row r="6" spans="1:6" ht="7.5" customHeight="1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</row>
    <row r="7" spans="1:6" ht="30" customHeight="1">
      <c r="A7" s="384" t="s">
        <v>585</v>
      </c>
      <c r="B7" s="384"/>
      <c r="C7" s="384"/>
      <c r="D7" s="384"/>
      <c r="E7" s="384"/>
      <c r="F7" s="384"/>
    </row>
    <row r="8" spans="1:6" s="169" customFormat="1" ht="78" customHeight="1">
      <c r="A8" s="182" t="s">
        <v>455</v>
      </c>
      <c r="B8" s="182">
        <v>700</v>
      </c>
      <c r="C8" s="182">
        <v>70001</v>
      </c>
      <c r="D8" s="287" t="s">
        <v>649</v>
      </c>
      <c r="E8" s="184" t="s">
        <v>650</v>
      </c>
      <c r="F8" s="279">
        <v>1077000</v>
      </c>
    </row>
    <row r="9" spans="1:6" s="169" customFormat="1" ht="102" customHeight="1">
      <c r="A9" s="182" t="s">
        <v>457</v>
      </c>
      <c r="B9" s="182">
        <v>926</v>
      </c>
      <c r="C9" s="182">
        <v>92605</v>
      </c>
      <c r="D9" s="287" t="s">
        <v>651</v>
      </c>
      <c r="E9" s="184" t="s">
        <v>652</v>
      </c>
      <c r="F9" s="279">
        <v>900000</v>
      </c>
    </row>
    <row r="10" spans="1:6" s="169" customFormat="1" ht="30" customHeight="1">
      <c r="A10" s="374" t="s">
        <v>653</v>
      </c>
      <c r="B10" s="374"/>
      <c r="C10" s="374"/>
      <c r="D10" s="374"/>
      <c r="E10" s="374"/>
      <c r="F10" s="210">
        <f>SUM(F8,F9)</f>
        <v>1977000</v>
      </c>
    </row>
    <row r="12" ht="12.75">
      <c r="A12" s="288"/>
    </row>
  </sheetData>
  <sheetProtection sheet="1" objects="1" scenarios="1"/>
  <mergeCells count="9">
    <mergeCell ref="A7:F7"/>
    <mergeCell ref="A10:E10"/>
    <mergeCell ref="A1:F1"/>
    <mergeCell ref="A3:A5"/>
    <mergeCell ref="B3:B5"/>
    <mergeCell ref="C3:C5"/>
    <mergeCell ref="D3:D5"/>
    <mergeCell ref="E3:E5"/>
    <mergeCell ref="F3:F5"/>
  </mergeCells>
  <printOptions horizontalCentered="1"/>
  <pageMargins left="0.3937007874015748" right="0.3937007874015748" top="2.204724409448819" bottom="0.98425196850393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XIX/144/2011
Rady Miasta Świnoujście
z dnia 22 grudnia 2011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5.25390625" style="232" customWidth="1"/>
    <col min="2" max="2" width="8.125" style="232" customWidth="1"/>
    <col min="3" max="3" width="9.375" style="232" customWidth="1"/>
    <col min="4" max="4" width="42.75390625" style="232" customWidth="1"/>
    <col min="5" max="5" width="13.75390625" style="232" customWidth="1"/>
    <col min="6" max="6" width="12.00390625" style="232" customWidth="1"/>
    <col min="7" max="7" width="0" style="231" hidden="1" customWidth="1"/>
    <col min="8" max="16384" width="9.125" style="232" customWidth="1"/>
  </cols>
  <sheetData>
    <row r="1" spans="1:7" s="233" customFormat="1" ht="57.75" customHeight="1">
      <c r="A1" s="375" t="s">
        <v>654</v>
      </c>
      <c r="B1" s="375"/>
      <c r="C1" s="375"/>
      <c r="D1" s="375"/>
      <c r="E1" s="375"/>
      <c r="F1" s="375"/>
      <c r="G1" s="169"/>
    </row>
    <row r="2" spans="4:7" s="233" customFormat="1" ht="19.5" customHeight="1">
      <c r="D2" s="276"/>
      <c r="E2" s="276"/>
      <c r="G2" s="169"/>
    </row>
    <row r="3" spans="4:7" s="233" customFormat="1" ht="19.5" customHeight="1">
      <c r="D3" s="169"/>
      <c r="E3" s="259"/>
      <c r="F3" s="259" t="s">
        <v>447</v>
      </c>
      <c r="G3" s="169"/>
    </row>
    <row r="4" spans="1:6" s="233" customFormat="1" ht="22.5" customHeight="1">
      <c r="A4" s="378" t="s">
        <v>448</v>
      </c>
      <c r="B4" s="378" t="s">
        <v>2</v>
      </c>
      <c r="C4" s="378" t="s">
        <v>3</v>
      </c>
      <c r="D4" s="379" t="s">
        <v>655</v>
      </c>
      <c r="E4" s="379" t="s">
        <v>656</v>
      </c>
      <c r="F4" s="379"/>
    </row>
    <row r="5" spans="1:6" s="233" customFormat="1" ht="20.25" customHeight="1">
      <c r="A5" s="378"/>
      <c r="B5" s="378"/>
      <c r="C5" s="378"/>
      <c r="D5" s="378"/>
      <c r="E5" s="289" t="s">
        <v>657</v>
      </c>
      <c r="F5" s="289" t="s">
        <v>658</v>
      </c>
    </row>
    <row r="6" spans="1:7" s="291" customFormat="1" ht="7.5" customHeight="1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  <c r="G6" s="290"/>
    </row>
    <row r="7" spans="1:7" s="233" customFormat="1" ht="21.75" customHeight="1">
      <c r="A7" s="387" t="s">
        <v>585</v>
      </c>
      <c r="B7" s="387"/>
      <c r="C7" s="387"/>
      <c r="D7" s="387"/>
      <c r="E7" s="210">
        <f>SUM(E8,E9,E10,E11,E12,E13)</f>
        <v>0</v>
      </c>
      <c r="F7" s="210">
        <f>SUM(F8,F9,F10,F11,F12,F13)</f>
        <v>2851365</v>
      </c>
      <c r="G7" s="169"/>
    </row>
    <row r="8" spans="1:7" s="297" customFormat="1" ht="54.75" customHeight="1">
      <c r="A8" s="292" t="s">
        <v>455</v>
      </c>
      <c r="B8" s="293">
        <v>700</v>
      </c>
      <c r="C8" s="292">
        <v>70001</v>
      </c>
      <c r="D8" s="294" t="s">
        <v>659</v>
      </c>
      <c r="E8" s="295">
        <v>0</v>
      </c>
      <c r="F8" s="295">
        <v>2026365</v>
      </c>
      <c r="G8" s="296" t="s">
        <v>660</v>
      </c>
    </row>
    <row r="9" spans="1:7" s="297" customFormat="1" ht="32.25" customHeight="1">
      <c r="A9" s="292" t="s">
        <v>457</v>
      </c>
      <c r="B9" s="293">
        <v>754</v>
      </c>
      <c r="C9" s="298">
        <v>75415</v>
      </c>
      <c r="D9" s="299" t="s">
        <v>661</v>
      </c>
      <c r="E9" s="295">
        <v>0</v>
      </c>
      <c r="F9" s="295">
        <v>40000</v>
      </c>
      <c r="G9" s="296"/>
    </row>
    <row r="10" spans="1:7" s="297" customFormat="1" ht="52.5" customHeight="1">
      <c r="A10" s="292" t="s">
        <v>459</v>
      </c>
      <c r="B10" s="293">
        <v>921</v>
      </c>
      <c r="C10" s="298">
        <v>92109</v>
      </c>
      <c r="D10" s="299" t="s">
        <v>662</v>
      </c>
      <c r="E10" s="295">
        <v>0</v>
      </c>
      <c r="F10" s="295">
        <v>30000</v>
      </c>
      <c r="G10" s="296" t="s">
        <v>660</v>
      </c>
    </row>
    <row r="11" spans="1:7" s="297" customFormat="1" ht="46.5" customHeight="1">
      <c r="A11" s="292" t="s">
        <v>461</v>
      </c>
      <c r="B11" s="293">
        <v>921</v>
      </c>
      <c r="C11" s="298">
        <v>92116</v>
      </c>
      <c r="D11" s="299" t="s">
        <v>663</v>
      </c>
      <c r="E11" s="295">
        <v>0</v>
      </c>
      <c r="F11" s="295">
        <v>62000</v>
      </c>
      <c r="G11" s="296" t="s">
        <v>660</v>
      </c>
    </row>
    <row r="12" spans="1:7" s="297" customFormat="1" ht="43.5" customHeight="1">
      <c r="A12" s="292" t="s">
        <v>463</v>
      </c>
      <c r="B12" s="293">
        <v>921</v>
      </c>
      <c r="C12" s="298">
        <v>92118</v>
      </c>
      <c r="D12" s="299" t="s">
        <v>664</v>
      </c>
      <c r="E12" s="295">
        <v>0</v>
      </c>
      <c r="F12" s="295">
        <v>213000</v>
      </c>
      <c r="G12" s="296" t="s">
        <v>660</v>
      </c>
    </row>
    <row r="13" spans="1:7" s="169" customFormat="1" ht="33" customHeight="1">
      <c r="A13" s="292" t="s">
        <v>465</v>
      </c>
      <c r="B13" s="182">
        <v>926</v>
      </c>
      <c r="C13" s="300">
        <v>92605</v>
      </c>
      <c r="D13" s="301" t="s">
        <v>665</v>
      </c>
      <c r="E13" s="295">
        <v>0</v>
      </c>
      <c r="F13" s="295">
        <v>480000</v>
      </c>
      <c r="G13" s="296" t="s">
        <v>660</v>
      </c>
    </row>
    <row r="14" spans="1:6" s="169" customFormat="1" ht="22.5" customHeight="1">
      <c r="A14" s="387" t="s">
        <v>587</v>
      </c>
      <c r="B14" s="387"/>
      <c r="C14" s="387"/>
      <c r="D14" s="387"/>
      <c r="E14" s="278">
        <f>SUM(E15,E16,E17,E18)</f>
        <v>706520</v>
      </c>
      <c r="F14" s="278">
        <f>SUM(F15,F16,F17,F18)</f>
        <v>109000</v>
      </c>
    </row>
    <row r="15" spans="1:7" s="169" customFormat="1" ht="38.25" customHeight="1">
      <c r="A15" s="302" t="s">
        <v>467</v>
      </c>
      <c r="B15" s="302">
        <v>851</v>
      </c>
      <c r="C15" s="302">
        <v>85111</v>
      </c>
      <c r="D15" s="303" t="s">
        <v>666</v>
      </c>
      <c r="E15" s="304">
        <v>0</v>
      </c>
      <c r="F15" s="304">
        <v>40000</v>
      </c>
      <c r="G15" s="169" t="s">
        <v>667</v>
      </c>
    </row>
    <row r="16" spans="1:7" s="296" customFormat="1" ht="36" customHeight="1">
      <c r="A16" s="302" t="s">
        <v>469</v>
      </c>
      <c r="B16" s="305">
        <v>851</v>
      </c>
      <c r="C16" s="306">
        <v>85117</v>
      </c>
      <c r="D16" s="307" t="s">
        <v>668</v>
      </c>
      <c r="E16" s="295">
        <v>0</v>
      </c>
      <c r="F16" s="295">
        <v>69000</v>
      </c>
      <c r="G16" s="169" t="s">
        <v>667</v>
      </c>
    </row>
    <row r="17" spans="1:7" s="169" customFormat="1" ht="34.5" customHeight="1">
      <c r="A17" s="302" t="s">
        <v>471</v>
      </c>
      <c r="B17" s="302">
        <v>852</v>
      </c>
      <c r="C17" s="308">
        <v>85201</v>
      </c>
      <c r="D17" s="184" t="s">
        <v>669</v>
      </c>
      <c r="E17" s="279">
        <v>570496</v>
      </c>
      <c r="F17" s="279">
        <v>0</v>
      </c>
      <c r="G17" s="169" t="s">
        <v>670</v>
      </c>
    </row>
    <row r="18" spans="1:7" s="169" customFormat="1" ht="30" customHeight="1">
      <c r="A18" s="302" t="s">
        <v>473</v>
      </c>
      <c r="B18" s="308">
        <v>852</v>
      </c>
      <c r="C18" s="308">
        <v>85204</v>
      </c>
      <c r="D18" s="184" t="s">
        <v>671</v>
      </c>
      <c r="E18" s="279">
        <v>136024</v>
      </c>
      <c r="F18" s="279">
        <v>0</v>
      </c>
      <c r="G18" s="169" t="s">
        <v>670</v>
      </c>
    </row>
    <row r="19" spans="1:7" s="233" customFormat="1" ht="27.75" customHeight="1">
      <c r="A19" s="374" t="s">
        <v>644</v>
      </c>
      <c r="B19" s="374"/>
      <c r="C19" s="374"/>
      <c r="D19" s="374"/>
      <c r="E19" s="278">
        <f>SUM(E7,E14)</f>
        <v>706520</v>
      </c>
      <c r="F19" s="278">
        <f>SUM(F7,F14)</f>
        <v>2960365</v>
      </c>
      <c r="G19" s="169"/>
    </row>
    <row r="20" spans="1:6" s="181" customFormat="1" ht="27" customHeight="1">
      <c r="A20" s="374" t="s">
        <v>672</v>
      </c>
      <c r="B20" s="374"/>
      <c r="C20" s="374"/>
      <c r="D20" s="374"/>
      <c r="E20" s="388">
        <f>E19+F19</f>
        <v>3666885</v>
      </c>
      <c r="F20" s="388"/>
    </row>
    <row r="21" ht="12.75">
      <c r="A21" s="255"/>
    </row>
  </sheetData>
  <sheetProtection sheet="1" objects="1" scenarios="1"/>
  <mergeCells count="11">
    <mergeCell ref="E20:F20"/>
    <mergeCell ref="A7:D7"/>
    <mergeCell ref="A14:D14"/>
    <mergeCell ref="A19:D19"/>
    <mergeCell ref="A20:D20"/>
    <mergeCell ref="A1:F1"/>
    <mergeCell ref="A4:A5"/>
    <mergeCell ref="B4:B5"/>
    <mergeCell ref="C4:C5"/>
    <mergeCell ref="D4:D5"/>
    <mergeCell ref="E4:F4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XIX/144/2011
Rady Miasta Świnoujście
z dnia 22 grudnia 2011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4.875" style="233" customWidth="1"/>
    <col min="2" max="2" width="6.875" style="233" customWidth="1"/>
    <col min="3" max="3" width="9.125" style="233" customWidth="1"/>
    <col min="4" max="4" width="43.00390625" style="233" customWidth="1"/>
    <col min="5" max="5" width="13.25390625" style="233" customWidth="1"/>
    <col min="6" max="6" width="13.625" style="233" customWidth="1"/>
    <col min="7" max="7" width="0" style="169" hidden="1" customWidth="1"/>
    <col min="8" max="8" width="21.00390625" style="233" customWidth="1"/>
    <col min="9" max="16384" width="9.125" style="233" customWidth="1"/>
  </cols>
  <sheetData>
    <row r="1" spans="1:6" ht="58.5" customHeight="1">
      <c r="A1" s="375" t="s">
        <v>673</v>
      </c>
      <c r="B1" s="375"/>
      <c r="C1" s="375"/>
      <c r="D1" s="375"/>
      <c r="E1" s="375"/>
      <c r="F1" s="375"/>
    </row>
    <row r="2" spans="4:5" ht="9.75" customHeight="1">
      <c r="D2" s="276"/>
      <c r="E2" s="276"/>
    </row>
    <row r="3" spans="4:6" ht="19.5" customHeight="1">
      <c r="D3" s="169"/>
      <c r="E3" s="259"/>
      <c r="F3" s="259" t="s">
        <v>447</v>
      </c>
    </row>
    <row r="4" spans="1:6" ht="22.5" customHeight="1">
      <c r="A4" s="378" t="s">
        <v>448</v>
      </c>
      <c r="B4" s="378" t="s">
        <v>2</v>
      </c>
      <c r="C4" s="378" t="s">
        <v>3</v>
      </c>
      <c r="D4" s="378" t="s">
        <v>674</v>
      </c>
      <c r="E4" s="379" t="s">
        <v>656</v>
      </c>
      <c r="F4" s="379"/>
    </row>
    <row r="5" spans="1:6" ht="20.25" customHeight="1">
      <c r="A5" s="378"/>
      <c r="B5" s="378"/>
      <c r="C5" s="378"/>
      <c r="D5" s="378"/>
      <c r="E5" s="289" t="s">
        <v>657</v>
      </c>
      <c r="F5" s="289" t="s">
        <v>658</v>
      </c>
    </row>
    <row r="6" spans="1:7" s="291" customFormat="1" ht="10.5" customHeight="1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309">
        <v>6</v>
      </c>
      <c r="G6" s="290"/>
    </row>
    <row r="7" spans="1:6" ht="26.25" customHeight="1">
      <c r="A7" s="387" t="s">
        <v>585</v>
      </c>
      <c r="B7" s="387"/>
      <c r="C7" s="387"/>
      <c r="D7" s="387"/>
      <c r="E7" s="310">
        <f>SUM(E8,E9,E10,E11,E12,E13,E14,E15,E16,E17,E18)</f>
        <v>2990740</v>
      </c>
      <c r="F7" s="278">
        <f>SUM(F8,F9,F10,F11,F12,F13,F14,F15,F16,F17,F18)</f>
        <v>0</v>
      </c>
    </row>
    <row r="8" spans="1:6" s="169" customFormat="1" ht="28.5" customHeight="1">
      <c r="A8" s="302" t="s">
        <v>455</v>
      </c>
      <c r="B8" s="182">
        <v>801</v>
      </c>
      <c r="C8" s="182">
        <v>80195</v>
      </c>
      <c r="D8" s="223" t="s">
        <v>675</v>
      </c>
      <c r="E8" s="279">
        <v>4000</v>
      </c>
      <c r="F8" s="279">
        <v>0</v>
      </c>
    </row>
    <row r="9" spans="1:7" s="169" customFormat="1" ht="28.5" customHeight="1">
      <c r="A9" s="302" t="s">
        <v>457</v>
      </c>
      <c r="B9" s="182">
        <v>851</v>
      </c>
      <c r="C9" s="182">
        <v>85149</v>
      </c>
      <c r="D9" s="223" t="s">
        <v>354</v>
      </c>
      <c r="E9" s="279">
        <v>9100</v>
      </c>
      <c r="F9" s="279">
        <v>0</v>
      </c>
      <c r="G9" s="169" t="s">
        <v>676</v>
      </c>
    </row>
    <row r="10" spans="1:7" s="169" customFormat="1" ht="28.5" customHeight="1">
      <c r="A10" s="302" t="s">
        <v>459</v>
      </c>
      <c r="B10" s="182">
        <v>851</v>
      </c>
      <c r="C10" s="182">
        <v>85153</v>
      </c>
      <c r="D10" s="311" t="s">
        <v>677</v>
      </c>
      <c r="E10" s="295">
        <v>12100</v>
      </c>
      <c r="F10" s="295">
        <v>0</v>
      </c>
      <c r="G10" s="169" t="s">
        <v>676</v>
      </c>
    </row>
    <row r="11" spans="1:7" s="169" customFormat="1" ht="30" customHeight="1">
      <c r="A11" s="302" t="s">
        <v>461</v>
      </c>
      <c r="B11" s="267">
        <v>851</v>
      </c>
      <c r="C11" s="312">
        <v>85154</v>
      </c>
      <c r="D11" s="311" t="s">
        <v>678</v>
      </c>
      <c r="E11" s="295">
        <v>614800</v>
      </c>
      <c r="F11" s="295">
        <v>0</v>
      </c>
      <c r="G11" s="169" t="s">
        <v>676</v>
      </c>
    </row>
    <row r="12" spans="1:7" s="169" customFormat="1" ht="30" customHeight="1">
      <c r="A12" s="302" t="s">
        <v>463</v>
      </c>
      <c r="B12" s="267">
        <v>851</v>
      </c>
      <c r="C12" s="312">
        <v>85195</v>
      </c>
      <c r="D12" s="203" t="s">
        <v>679</v>
      </c>
      <c r="E12" s="295">
        <v>20000</v>
      </c>
      <c r="F12" s="295">
        <v>0</v>
      </c>
      <c r="G12" s="169" t="s">
        <v>676</v>
      </c>
    </row>
    <row r="13" spans="1:7" s="169" customFormat="1" ht="28.5" customHeight="1">
      <c r="A13" s="302" t="s">
        <v>465</v>
      </c>
      <c r="B13" s="267">
        <v>853</v>
      </c>
      <c r="C13" s="312">
        <v>85395</v>
      </c>
      <c r="D13" s="311" t="s">
        <v>680</v>
      </c>
      <c r="E13" s="295">
        <v>700000</v>
      </c>
      <c r="F13" s="295">
        <v>0</v>
      </c>
      <c r="G13" s="169" t="s">
        <v>676</v>
      </c>
    </row>
    <row r="14" spans="1:7" s="169" customFormat="1" ht="28.5" customHeight="1">
      <c r="A14" s="302" t="s">
        <v>467</v>
      </c>
      <c r="B14" s="267">
        <v>900</v>
      </c>
      <c r="C14" s="312">
        <v>90013</v>
      </c>
      <c r="D14" s="311" t="s">
        <v>382</v>
      </c>
      <c r="E14" s="295">
        <v>340000</v>
      </c>
      <c r="F14" s="295">
        <v>0</v>
      </c>
      <c r="G14" s="169" t="s">
        <v>676</v>
      </c>
    </row>
    <row r="15" spans="1:7" s="169" customFormat="1" ht="33.75" customHeight="1">
      <c r="A15" s="302" t="s">
        <v>469</v>
      </c>
      <c r="B15" s="267">
        <v>900</v>
      </c>
      <c r="C15" s="312">
        <v>90095</v>
      </c>
      <c r="D15" s="203" t="s">
        <v>681</v>
      </c>
      <c r="E15" s="295">
        <v>50000</v>
      </c>
      <c r="F15" s="295">
        <v>0</v>
      </c>
      <c r="G15" s="169" t="s">
        <v>676</v>
      </c>
    </row>
    <row r="16" spans="1:7" s="169" customFormat="1" ht="12.75" customHeight="1" hidden="1">
      <c r="A16" s="302" t="s">
        <v>471</v>
      </c>
      <c r="B16" s="267">
        <v>921</v>
      </c>
      <c r="C16" s="312">
        <v>92120</v>
      </c>
      <c r="D16" s="203" t="s">
        <v>682</v>
      </c>
      <c r="E16" s="295">
        <v>0</v>
      </c>
      <c r="F16" s="295">
        <v>0</v>
      </c>
      <c r="G16" s="169" t="s">
        <v>683</v>
      </c>
    </row>
    <row r="17" spans="1:7" s="169" customFormat="1" ht="35.25" customHeight="1">
      <c r="A17" s="302" t="s">
        <v>471</v>
      </c>
      <c r="B17" s="267">
        <v>921</v>
      </c>
      <c r="C17" s="312">
        <v>92195</v>
      </c>
      <c r="D17" s="203" t="s">
        <v>684</v>
      </c>
      <c r="E17" s="295">
        <v>84240</v>
      </c>
      <c r="F17" s="295">
        <v>0</v>
      </c>
      <c r="G17" s="169" t="s">
        <v>685</v>
      </c>
    </row>
    <row r="18" spans="1:7" s="169" customFormat="1" ht="28.5" customHeight="1">
      <c r="A18" s="302" t="s">
        <v>473</v>
      </c>
      <c r="B18" s="182">
        <v>926</v>
      </c>
      <c r="C18" s="312">
        <v>92605</v>
      </c>
      <c r="D18" s="311" t="s">
        <v>393</v>
      </c>
      <c r="E18" s="295">
        <v>1156500</v>
      </c>
      <c r="F18" s="295">
        <v>0</v>
      </c>
      <c r="G18" s="169" t="s">
        <v>685</v>
      </c>
    </row>
    <row r="19" spans="1:6" ht="31.5" customHeight="1">
      <c r="A19" s="374" t="s">
        <v>686</v>
      </c>
      <c r="B19" s="374"/>
      <c r="C19" s="374"/>
      <c r="D19" s="374"/>
      <c r="E19" s="388">
        <f>SUM(E7,F7)</f>
        <v>2990740</v>
      </c>
      <c r="F19" s="388"/>
    </row>
    <row r="21" spans="1:8" s="315" customFormat="1" ht="12.75">
      <c r="A21" s="313"/>
      <c r="B21" s="314"/>
      <c r="C21" s="314"/>
      <c r="E21" s="316"/>
      <c r="G21" s="169"/>
      <c r="H21" s="317"/>
    </row>
  </sheetData>
  <sheetProtection sheet="1" objects="1" scenarios="1"/>
  <mergeCells count="9">
    <mergeCell ref="A7:D7"/>
    <mergeCell ref="A19:D19"/>
    <mergeCell ref="E19:F19"/>
    <mergeCell ref="A1:F1"/>
    <mergeCell ref="A4:A5"/>
    <mergeCell ref="B4:B5"/>
    <mergeCell ref="C4:C5"/>
    <mergeCell ref="D4:D5"/>
    <mergeCell ref="E4:F4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XIX/144/2011
Rady Miasta Świnoujście
z dnia 22 grudnia 2011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ySplit="5" topLeftCell="A29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4.00390625" style="231" customWidth="1"/>
    <col min="2" max="2" width="5.125" style="231" customWidth="1"/>
    <col min="3" max="3" width="8.625" style="231" customWidth="1"/>
    <col min="4" max="4" width="41.875" style="231" customWidth="1"/>
    <col min="5" max="5" width="24.125" style="231" customWidth="1"/>
    <col min="6" max="6" width="12.625" style="231" customWidth="1"/>
    <col min="7" max="7" width="0" style="231" hidden="1" customWidth="1"/>
    <col min="8" max="16384" width="9.125" style="231" customWidth="1"/>
  </cols>
  <sheetData>
    <row r="1" spans="1:6" s="169" customFormat="1" ht="83.25" customHeight="1">
      <c r="A1" s="375" t="s">
        <v>687</v>
      </c>
      <c r="B1" s="375"/>
      <c r="C1" s="375"/>
      <c r="D1" s="375"/>
      <c r="E1" s="375"/>
      <c r="F1" s="375"/>
    </row>
    <row r="2" spans="4:6" s="169" customFormat="1" ht="4.5" customHeight="1">
      <c r="D2" s="276"/>
      <c r="E2" s="276"/>
      <c r="F2" s="276"/>
    </row>
    <row r="3" s="169" customFormat="1" ht="19.5" customHeight="1">
      <c r="F3" s="277" t="s">
        <v>447</v>
      </c>
    </row>
    <row r="4" spans="1:6" s="169" customFormat="1" ht="27.75" customHeight="1">
      <c r="A4" s="173" t="s">
        <v>448</v>
      </c>
      <c r="B4" s="173" t="s">
        <v>2</v>
      </c>
      <c r="C4" s="173" t="s">
        <v>3</v>
      </c>
      <c r="D4" s="173" t="s">
        <v>688</v>
      </c>
      <c r="E4" s="174" t="s">
        <v>689</v>
      </c>
      <c r="F4" s="174" t="s">
        <v>631</v>
      </c>
    </row>
    <row r="5" spans="1:6" s="169" customFormat="1" ht="7.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</row>
    <row r="6" spans="1:6" s="169" customFormat="1" ht="21.75" customHeight="1">
      <c r="A6" s="374" t="s">
        <v>585</v>
      </c>
      <c r="B6" s="374"/>
      <c r="C6" s="374"/>
      <c r="D6" s="374"/>
      <c r="E6" s="374"/>
      <c r="F6" s="278">
        <f>SUM(F7,F8,F9,F10,F11,F12,F13,F14,F15,F16)</f>
        <v>1271939</v>
      </c>
    </row>
    <row r="7" spans="1:7" s="169" customFormat="1" ht="28.5" customHeight="1">
      <c r="A7" s="220" t="s">
        <v>455</v>
      </c>
      <c r="B7" s="220">
        <v>801</v>
      </c>
      <c r="C7" s="220">
        <v>80101</v>
      </c>
      <c r="D7" s="318" t="s">
        <v>690</v>
      </c>
      <c r="E7" s="391" t="s">
        <v>691</v>
      </c>
      <c r="F7" s="319">
        <v>333840</v>
      </c>
      <c r="G7" s="226" t="s">
        <v>692</v>
      </c>
    </row>
    <row r="8" spans="1:7" s="169" customFormat="1" ht="28.5" customHeight="1">
      <c r="A8" s="267" t="s">
        <v>457</v>
      </c>
      <c r="B8" s="182">
        <v>801</v>
      </c>
      <c r="C8" s="182">
        <v>80103</v>
      </c>
      <c r="D8" s="320" t="s">
        <v>690</v>
      </c>
      <c r="E8" s="391"/>
      <c r="F8" s="279">
        <v>53670</v>
      </c>
      <c r="G8" s="226" t="s">
        <v>692</v>
      </c>
    </row>
    <row r="9" spans="1:7" s="169" customFormat="1" ht="24.75" customHeight="1">
      <c r="A9" s="267" t="s">
        <v>459</v>
      </c>
      <c r="B9" s="182">
        <v>801</v>
      </c>
      <c r="C9" s="182">
        <v>80104</v>
      </c>
      <c r="D9" s="321" t="s">
        <v>693</v>
      </c>
      <c r="E9" s="391"/>
      <c r="F9" s="279">
        <v>176091</v>
      </c>
      <c r="G9" s="226" t="s">
        <v>692</v>
      </c>
    </row>
    <row r="10" spans="1:7" s="169" customFormat="1" ht="24.75" customHeight="1">
      <c r="A10" s="182" t="s">
        <v>461</v>
      </c>
      <c r="B10" s="182">
        <v>801</v>
      </c>
      <c r="C10" s="182">
        <v>80104</v>
      </c>
      <c r="D10" s="223" t="s">
        <v>694</v>
      </c>
      <c r="E10" s="391"/>
      <c r="F10" s="279">
        <v>78847</v>
      </c>
      <c r="G10" s="226" t="s">
        <v>692</v>
      </c>
    </row>
    <row r="11" spans="1:7" s="169" customFormat="1" ht="24.75" customHeight="1">
      <c r="A11" s="267" t="s">
        <v>463</v>
      </c>
      <c r="B11" s="280">
        <v>801</v>
      </c>
      <c r="C11" s="280">
        <v>80105</v>
      </c>
      <c r="D11" s="322" t="s">
        <v>695</v>
      </c>
      <c r="E11" s="391"/>
      <c r="F11" s="282">
        <v>310064</v>
      </c>
      <c r="G11" s="226" t="s">
        <v>692</v>
      </c>
    </row>
    <row r="12" spans="1:9" s="169" customFormat="1" ht="28.5" customHeight="1">
      <c r="A12" s="267" t="s">
        <v>465</v>
      </c>
      <c r="B12" s="182">
        <v>801</v>
      </c>
      <c r="C12" s="182">
        <v>80110</v>
      </c>
      <c r="D12" s="320" t="s">
        <v>696</v>
      </c>
      <c r="E12" s="391"/>
      <c r="F12" s="279">
        <v>115774</v>
      </c>
      <c r="G12" s="226" t="s">
        <v>692</v>
      </c>
      <c r="I12" s="226">
        <f>SUM(F12:F15)</f>
        <v>283427</v>
      </c>
    </row>
    <row r="13" spans="1:7" s="169" customFormat="1" ht="21" customHeight="1">
      <c r="A13" s="267" t="s">
        <v>467</v>
      </c>
      <c r="B13" s="182">
        <v>801</v>
      </c>
      <c r="C13" s="182">
        <v>80110</v>
      </c>
      <c r="D13" s="321" t="s">
        <v>697</v>
      </c>
      <c r="E13" s="391"/>
      <c r="F13" s="279">
        <v>100174</v>
      </c>
      <c r="G13" s="226" t="s">
        <v>692</v>
      </c>
    </row>
    <row r="14" spans="1:7" s="169" customFormat="1" ht="22.5" customHeight="1">
      <c r="A14" s="267" t="s">
        <v>469</v>
      </c>
      <c r="B14" s="182">
        <v>801</v>
      </c>
      <c r="C14" s="182">
        <v>80110</v>
      </c>
      <c r="D14" s="321" t="s">
        <v>698</v>
      </c>
      <c r="E14" s="391"/>
      <c r="F14" s="279">
        <v>26135</v>
      </c>
      <c r="G14" s="226" t="s">
        <v>692</v>
      </c>
    </row>
    <row r="15" spans="1:7" s="169" customFormat="1" ht="22.5" customHeight="1">
      <c r="A15" s="323" t="s">
        <v>471</v>
      </c>
      <c r="B15" s="225">
        <v>801</v>
      </c>
      <c r="C15" s="225">
        <v>80110</v>
      </c>
      <c r="D15" s="324" t="s">
        <v>699</v>
      </c>
      <c r="E15" s="391"/>
      <c r="F15" s="325">
        <v>41344</v>
      </c>
      <c r="G15" s="226" t="s">
        <v>692</v>
      </c>
    </row>
    <row r="16" spans="1:7" s="169" customFormat="1" ht="27.75" customHeight="1">
      <c r="A16" s="267" t="s">
        <v>473</v>
      </c>
      <c r="B16" s="323">
        <v>853</v>
      </c>
      <c r="C16" s="323">
        <v>85305</v>
      </c>
      <c r="D16" s="301" t="s">
        <v>700</v>
      </c>
      <c r="E16" s="326" t="s">
        <v>701</v>
      </c>
      <c r="F16" s="325">
        <v>36000</v>
      </c>
      <c r="G16" s="226" t="s">
        <v>702</v>
      </c>
    </row>
    <row r="17" spans="1:6" s="169" customFormat="1" ht="21.75" customHeight="1">
      <c r="A17" s="374" t="s">
        <v>587</v>
      </c>
      <c r="B17" s="374"/>
      <c r="C17" s="374"/>
      <c r="D17" s="374"/>
      <c r="E17" s="374"/>
      <c r="F17" s="278">
        <f>SUM(F19,F20,F21,F22,F23,F24,F26,F27,F29,F30,F31,F32,F33)</f>
        <v>3135795</v>
      </c>
    </row>
    <row r="18" spans="1:7" ht="12.75" customHeight="1" hidden="1">
      <c r="A18" s="327"/>
      <c r="B18" s="328"/>
      <c r="C18" s="328"/>
      <c r="D18" s="329"/>
      <c r="E18" s="389" t="s">
        <v>691</v>
      </c>
      <c r="F18" s="331"/>
      <c r="G18" s="332" t="s">
        <v>692</v>
      </c>
    </row>
    <row r="19" spans="1:9" s="169" customFormat="1" ht="28.5" customHeight="1">
      <c r="A19" s="182" t="s">
        <v>475</v>
      </c>
      <c r="B19" s="283">
        <v>801</v>
      </c>
      <c r="C19" s="283">
        <v>80120</v>
      </c>
      <c r="D19" s="333" t="s">
        <v>703</v>
      </c>
      <c r="E19" s="389"/>
      <c r="F19" s="284">
        <v>236240</v>
      </c>
      <c r="G19" s="226" t="s">
        <v>692</v>
      </c>
      <c r="I19" s="226">
        <f>SUM(F19:F29)</f>
        <v>1540115</v>
      </c>
    </row>
    <row r="20" spans="1:7" s="169" customFormat="1" ht="19.5" customHeight="1">
      <c r="A20" s="182" t="s">
        <v>477</v>
      </c>
      <c r="B20" s="182">
        <v>801</v>
      </c>
      <c r="C20" s="182">
        <v>80120</v>
      </c>
      <c r="D20" s="334" t="s">
        <v>704</v>
      </c>
      <c r="E20" s="389"/>
      <c r="F20" s="279">
        <v>239320</v>
      </c>
      <c r="G20" s="226" t="s">
        <v>692</v>
      </c>
    </row>
    <row r="21" spans="1:7" s="169" customFormat="1" ht="28.5" customHeight="1">
      <c r="A21" s="182" t="s">
        <v>479</v>
      </c>
      <c r="B21" s="280">
        <v>801</v>
      </c>
      <c r="C21" s="280">
        <v>80120</v>
      </c>
      <c r="D21" s="335" t="s">
        <v>705</v>
      </c>
      <c r="E21" s="389"/>
      <c r="F21" s="282">
        <v>146680</v>
      </c>
      <c r="G21" s="226" t="s">
        <v>692</v>
      </c>
    </row>
    <row r="22" spans="1:7" s="169" customFormat="1" ht="49.5" customHeight="1">
      <c r="A22" s="182" t="s">
        <v>481</v>
      </c>
      <c r="B22" s="283">
        <v>801</v>
      </c>
      <c r="C22" s="283">
        <v>80120</v>
      </c>
      <c r="D22" s="333" t="s">
        <v>706</v>
      </c>
      <c r="E22" s="389"/>
      <c r="F22" s="284">
        <v>123520</v>
      </c>
      <c r="G22" s="226" t="s">
        <v>692</v>
      </c>
    </row>
    <row r="23" spans="1:7" s="169" customFormat="1" ht="28.5" customHeight="1">
      <c r="A23" s="182" t="s">
        <v>483</v>
      </c>
      <c r="B23" s="182">
        <v>801</v>
      </c>
      <c r="C23" s="182">
        <v>80120</v>
      </c>
      <c r="D23" s="333" t="s">
        <v>707</v>
      </c>
      <c r="E23" s="389"/>
      <c r="F23" s="279">
        <v>53780</v>
      </c>
      <c r="G23" s="226" t="s">
        <v>692</v>
      </c>
    </row>
    <row r="24" spans="1:7" s="169" customFormat="1" ht="28.5" customHeight="1">
      <c r="A24" s="182" t="s">
        <v>485</v>
      </c>
      <c r="B24" s="283">
        <v>801</v>
      </c>
      <c r="C24" s="283">
        <v>80120</v>
      </c>
      <c r="D24" s="335" t="s">
        <v>708</v>
      </c>
      <c r="E24" s="389"/>
      <c r="F24" s="284">
        <v>30725</v>
      </c>
      <c r="G24" s="226" t="s">
        <v>692</v>
      </c>
    </row>
    <row r="25" spans="1:7" ht="12.75" customHeight="1" hidden="1">
      <c r="A25" s="182" t="s">
        <v>487</v>
      </c>
      <c r="B25" s="336">
        <v>801</v>
      </c>
      <c r="C25" s="336">
        <v>80120</v>
      </c>
      <c r="D25" s="337" t="s">
        <v>709</v>
      </c>
      <c r="E25" s="389"/>
      <c r="F25" s="338">
        <v>0</v>
      </c>
      <c r="G25" s="332"/>
    </row>
    <row r="26" spans="1:7" s="169" customFormat="1" ht="28.5" customHeight="1">
      <c r="A26" s="182" t="s">
        <v>489</v>
      </c>
      <c r="B26" s="283">
        <v>801</v>
      </c>
      <c r="C26" s="283">
        <v>80120</v>
      </c>
      <c r="D26" s="335" t="s">
        <v>710</v>
      </c>
      <c r="E26" s="389"/>
      <c r="F26" s="284">
        <v>399500</v>
      </c>
      <c r="G26" s="226"/>
    </row>
    <row r="27" spans="1:7" s="169" customFormat="1" ht="28.5" customHeight="1">
      <c r="A27" s="182" t="s">
        <v>491</v>
      </c>
      <c r="B27" s="225">
        <v>801</v>
      </c>
      <c r="C27" s="225">
        <v>80120</v>
      </c>
      <c r="D27" s="339" t="s">
        <v>711</v>
      </c>
      <c r="E27" s="389"/>
      <c r="F27" s="340">
        <v>292100</v>
      </c>
      <c r="G27" s="226"/>
    </row>
    <row r="28" spans="1:7" ht="12.75" customHeight="1" hidden="1">
      <c r="A28" s="182" t="s">
        <v>493</v>
      </c>
      <c r="B28" s="341">
        <v>801</v>
      </c>
      <c r="C28" s="341">
        <v>80120</v>
      </c>
      <c r="D28" s="337" t="s">
        <v>712</v>
      </c>
      <c r="E28" s="389" t="s">
        <v>691</v>
      </c>
      <c r="F28" s="342">
        <v>0</v>
      </c>
      <c r="G28" s="332"/>
    </row>
    <row r="29" spans="1:7" s="169" customFormat="1" ht="37.5" customHeight="1">
      <c r="A29" s="182" t="s">
        <v>495</v>
      </c>
      <c r="B29" s="283">
        <v>801</v>
      </c>
      <c r="C29" s="283">
        <v>80120</v>
      </c>
      <c r="D29" s="281" t="s">
        <v>713</v>
      </c>
      <c r="E29" s="389"/>
      <c r="F29" s="284">
        <v>18250</v>
      </c>
      <c r="G29" s="226" t="s">
        <v>692</v>
      </c>
    </row>
    <row r="30" spans="1:7" s="169" customFormat="1" ht="28.5" customHeight="1">
      <c r="A30" s="182" t="s">
        <v>497</v>
      </c>
      <c r="B30" s="182">
        <v>801</v>
      </c>
      <c r="C30" s="182">
        <v>80130</v>
      </c>
      <c r="D30" s="343" t="s">
        <v>714</v>
      </c>
      <c r="E30" s="389"/>
      <c r="F30" s="284">
        <v>833300</v>
      </c>
      <c r="G30" s="226" t="s">
        <v>692</v>
      </c>
    </row>
    <row r="31" spans="1:7" s="169" customFormat="1" ht="58.5" customHeight="1">
      <c r="A31" s="182" t="s">
        <v>499</v>
      </c>
      <c r="B31" s="280">
        <v>854</v>
      </c>
      <c r="C31" s="280">
        <v>85404</v>
      </c>
      <c r="D31" s="344" t="s">
        <v>715</v>
      </c>
      <c r="E31" s="389"/>
      <c r="F31" s="284">
        <v>30000</v>
      </c>
      <c r="G31" s="226" t="s">
        <v>692</v>
      </c>
    </row>
    <row r="32" spans="1:7" s="169" customFormat="1" ht="59.25" customHeight="1">
      <c r="A32" s="182" t="s">
        <v>501</v>
      </c>
      <c r="B32" s="283">
        <v>854</v>
      </c>
      <c r="C32" s="283">
        <v>85419</v>
      </c>
      <c r="D32" s="272" t="s">
        <v>715</v>
      </c>
      <c r="E32" s="389"/>
      <c r="F32" s="284">
        <v>691280</v>
      </c>
      <c r="G32" s="226" t="s">
        <v>692</v>
      </c>
    </row>
    <row r="33" spans="1:7" s="169" customFormat="1" ht="52.5" customHeight="1">
      <c r="A33" s="225" t="s">
        <v>503</v>
      </c>
      <c r="B33" s="345">
        <v>853</v>
      </c>
      <c r="C33" s="345">
        <v>85312</v>
      </c>
      <c r="D33" s="346" t="s">
        <v>716</v>
      </c>
      <c r="E33" s="330" t="s">
        <v>717</v>
      </c>
      <c r="F33" s="347">
        <v>41100</v>
      </c>
      <c r="G33" s="226" t="s">
        <v>702</v>
      </c>
    </row>
    <row r="34" spans="1:7" s="169" customFormat="1" ht="21.75" customHeight="1">
      <c r="A34" s="390" t="s">
        <v>644</v>
      </c>
      <c r="B34" s="390"/>
      <c r="C34" s="390"/>
      <c r="D34" s="390"/>
      <c r="E34" s="390"/>
      <c r="F34" s="348">
        <f>SUM(F6,F17)</f>
        <v>4407734</v>
      </c>
      <c r="G34" s="226"/>
    </row>
    <row r="36" ht="12.75">
      <c r="A36" s="285"/>
    </row>
    <row r="37" ht="12.75">
      <c r="A37" s="255"/>
    </row>
    <row r="39" ht="12.75">
      <c r="A39" s="255"/>
    </row>
  </sheetData>
  <sheetProtection sheet="1" objects="1" scenarios="1"/>
  <mergeCells count="7">
    <mergeCell ref="E18:E27"/>
    <mergeCell ref="E28:E32"/>
    <mergeCell ref="A34:E34"/>
    <mergeCell ref="A1:F1"/>
    <mergeCell ref="A6:E6"/>
    <mergeCell ref="E7:E15"/>
    <mergeCell ref="A17:E17"/>
  </mergeCells>
  <printOptions horizontalCentered="1"/>
  <pageMargins left="0.5511811023622047" right="0.31496062992125984" top="1.4173228346456694" bottom="0.98425196850393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 Nr XIX/144/2011
Rady Miasta Świnoujście
z dnia 22 grudnia 2011 roku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5.25390625" style="232" customWidth="1"/>
    <col min="2" max="2" width="9.125" style="232" customWidth="1"/>
    <col min="3" max="3" width="11.00390625" style="232" customWidth="1"/>
    <col min="4" max="4" width="53.25390625" style="232" customWidth="1"/>
    <col min="5" max="5" width="15.625" style="232" customWidth="1"/>
    <col min="6" max="6" width="0" style="232" hidden="1" customWidth="1"/>
    <col min="7" max="16384" width="9.125" style="232" customWidth="1"/>
  </cols>
  <sheetData>
    <row r="1" spans="1:5" s="233" customFormat="1" ht="48.75" customHeight="1">
      <c r="A1" s="375" t="s">
        <v>718</v>
      </c>
      <c r="B1" s="375"/>
      <c r="C1" s="375"/>
      <c r="D1" s="375"/>
      <c r="E1" s="375"/>
    </row>
    <row r="2" spans="4:5" s="233" customFormat="1" ht="19.5" customHeight="1">
      <c r="D2" s="276"/>
      <c r="E2" s="276"/>
    </row>
    <row r="3" spans="4:5" s="233" customFormat="1" ht="19.5" customHeight="1">
      <c r="D3" s="169"/>
      <c r="E3" s="259" t="s">
        <v>447</v>
      </c>
    </row>
    <row r="4" spans="1:5" s="233" customFormat="1" ht="42.75" customHeight="1">
      <c r="A4" s="173" t="s">
        <v>448</v>
      </c>
      <c r="B4" s="173" t="s">
        <v>2</v>
      </c>
      <c r="C4" s="173" t="s">
        <v>3</v>
      </c>
      <c r="D4" s="173" t="s">
        <v>674</v>
      </c>
      <c r="E4" s="174" t="s">
        <v>719</v>
      </c>
    </row>
    <row r="5" spans="1:5" s="291" customFormat="1" ht="7.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</row>
    <row r="6" spans="1:5" s="233" customFormat="1" ht="30" customHeight="1">
      <c r="A6" s="387" t="s">
        <v>585</v>
      </c>
      <c r="B6" s="387"/>
      <c r="C6" s="387"/>
      <c r="D6" s="387"/>
      <c r="E6" s="210">
        <f>SUM(E7,E8,E9)</f>
        <v>2563214</v>
      </c>
    </row>
    <row r="7" spans="1:6" s="233" customFormat="1" ht="30" customHeight="1">
      <c r="A7" s="302" t="s">
        <v>455</v>
      </c>
      <c r="B7" s="349" t="s">
        <v>11</v>
      </c>
      <c r="C7" s="349" t="s">
        <v>307</v>
      </c>
      <c r="D7" s="350" t="s">
        <v>308</v>
      </c>
      <c r="E7" s="190">
        <v>900</v>
      </c>
      <c r="F7" s="233" t="s">
        <v>720</v>
      </c>
    </row>
    <row r="8" spans="1:6" s="296" customFormat="1" ht="28.5" customHeight="1">
      <c r="A8" s="302" t="s">
        <v>457</v>
      </c>
      <c r="B8" s="351">
        <v>852</v>
      </c>
      <c r="C8" s="351">
        <v>85203</v>
      </c>
      <c r="D8" s="352" t="s">
        <v>171</v>
      </c>
      <c r="E8" s="353">
        <v>168000</v>
      </c>
      <c r="F8" s="233" t="s">
        <v>670</v>
      </c>
    </row>
    <row r="9" spans="1:6" s="296" customFormat="1" ht="28.5" customHeight="1">
      <c r="A9" s="302" t="s">
        <v>459</v>
      </c>
      <c r="B9" s="349" t="s">
        <v>195</v>
      </c>
      <c r="C9" s="349" t="s">
        <v>204</v>
      </c>
      <c r="D9" s="354" t="s">
        <v>205</v>
      </c>
      <c r="E9" s="190">
        <v>2394314</v>
      </c>
      <c r="F9" s="233" t="s">
        <v>721</v>
      </c>
    </row>
    <row r="10" spans="1:5" s="169" customFormat="1" ht="30" customHeight="1">
      <c r="A10" s="387" t="s">
        <v>587</v>
      </c>
      <c r="B10" s="387"/>
      <c r="C10" s="387"/>
      <c r="D10" s="387"/>
      <c r="E10" s="278">
        <f>SUM(E11,E12,E13)</f>
        <v>181000</v>
      </c>
    </row>
    <row r="11" spans="1:6" s="169" customFormat="1" ht="30" customHeight="1">
      <c r="A11" s="302" t="s">
        <v>461</v>
      </c>
      <c r="B11" s="302">
        <v>754</v>
      </c>
      <c r="C11" s="302">
        <v>75405</v>
      </c>
      <c r="D11" s="355" t="s">
        <v>398</v>
      </c>
      <c r="E11" s="304">
        <v>130000</v>
      </c>
      <c r="F11" s="169" t="s">
        <v>722</v>
      </c>
    </row>
    <row r="12" spans="1:6" s="169" customFormat="1" ht="30" customHeight="1">
      <c r="A12" s="302" t="s">
        <v>463</v>
      </c>
      <c r="B12" s="308">
        <v>754</v>
      </c>
      <c r="C12" s="308">
        <v>75406</v>
      </c>
      <c r="D12" s="356" t="s">
        <v>400</v>
      </c>
      <c r="E12" s="304">
        <v>15000</v>
      </c>
      <c r="F12" s="169" t="s">
        <v>722</v>
      </c>
    </row>
    <row r="13" spans="1:6" s="169" customFormat="1" ht="32.25" customHeight="1">
      <c r="A13" s="302" t="s">
        <v>465</v>
      </c>
      <c r="B13" s="308">
        <v>853</v>
      </c>
      <c r="C13" s="308">
        <v>85321</v>
      </c>
      <c r="D13" s="356" t="s">
        <v>280</v>
      </c>
      <c r="E13" s="304">
        <v>36000</v>
      </c>
      <c r="F13" s="169" t="s">
        <v>670</v>
      </c>
    </row>
    <row r="14" spans="1:5" s="233" customFormat="1" ht="30" customHeight="1">
      <c r="A14" s="374" t="s">
        <v>644</v>
      </c>
      <c r="B14" s="374"/>
      <c r="C14" s="374"/>
      <c r="D14" s="374"/>
      <c r="E14" s="278">
        <f>SUM(E6,E10)</f>
        <v>2744214</v>
      </c>
    </row>
    <row r="15" ht="12.75">
      <c r="A15" s="255"/>
    </row>
  </sheetData>
  <sheetProtection/>
  <mergeCells count="4">
    <mergeCell ref="A1:E1"/>
    <mergeCell ref="A6:D6"/>
    <mergeCell ref="A10:D10"/>
    <mergeCell ref="A14:D14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XIX/144/2011 
Rady Miasta Świnoujście
z dnia 22 grudnia 2011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view="pageBreakPreview" zoomScaleSheetLayoutView="100" zoomScalePageLayoutView="0" workbookViewId="0" topLeftCell="A1">
      <pane ySplit="8" topLeftCell="A9" activePane="bottomLeft" state="frozen"/>
      <selection pane="topLeft" activeCell="F1" sqref="F1"/>
      <selection pane="bottomLeft" activeCell="I22" sqref="I22"/>
    </sheetView>
  </sheetViews>
  <sheetFormatPr defaultColWidth="9.00390625" defaultRowHeight="12.75"/>
  <cols>
    <col min="1" max="1" width="3.375" style="101" customWidth="1"/>
    <col min="2" max="2" width="5.625" style="101" customWidth="1"/>
    <col min="3" max="3" width="18.25390625" style="102" customWidth="1"/>
    <col min="4" max="4" width="9.375" style="102" customWidth="1"/>
    <col min="5" max="5" width="9.75390625" style="102" customWidth="1"/>
    <col min="6" max="8" width="8.875" style="102" customWidth="1"/>
    <col min="9" max="9" width="8.25390625" style="102" customWidth="1"/>
    <col min="10" max="10" width="9.125" style="102" customWidth="1"/>
    <col min="11" max="11" width="6.625" style="102" customWidth="1"/>
    <col min="12" max="12" width="7.875" style="102" customWidth="1"/>
    <col min="13" max="13" width="9.125" style="102" customWidth="1"/>
    <col min="14" max="14" width="9.00390625" style="103" customWidth="1"/>
    <col min="15" max="15" width="9.125" style="104" customWidth="1"/>
    <col min="16" max="16" width="6.25390625" style="103" customWidth="1"/>
    <col min="17" max="17" width="6.125" style="103" customWidth="1"/>
    <col min="18" max="16384" width="9.125" style="103" customWidth="1"/>
  </cols>
  <sheetData>
    <row r="1" spans="1:17" s="105" customFormat="1" ht="18">
      <c r="A1" s="371" t="s">
        <v>285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5" s="109" customFormat="1" ht="11.25">
      <c r="A2" s="106"/>
      <c r="B2" s="106"/>
      <c r="C2" s="107"/>
      <c r="D2" s="107"/>
      <c r="E2" s="107"/>
      <c r="F2" s="107"/>
      <c r="G2" s="108"/>
      <c r="H2" s="108"/>
      <c r="I2" s="108"/>
      <c r="J2" s="108"/>
      <c r="K2" s="108"/>
      <c r="L2" s="108"/>
      <c r="M2" s="108"/>
      <c r="O2" s="104"/>
    </row>
    <row r="3" spans="1:17" s="109" customFormat="1" ht="11.25">
      <c r="A3" s="106"/>
      <c r="B3" s="106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10"/>
      <c r="N3" s="110"/>
      <c r="O3" s="111"/>
      <c r="P3" s="110"/>
      <c r="Q3" s="110" t="s">
        <v>1</v>
      </c>
    </row>
    <row r="4" spans="1:17" s="118" customFormat="1" ht="15" customHeight="1">
      <c r="A4" s="372" t="s">
        <v>2</v>
      </c>
      <c r="B4" s="372" t="s">
        <v>3</v>
      </c>
      <c r="C4" s="373" t="s">
        <v>286</v>
      </c>
      <c r="D4" s="364" t="s">
        <v>287</v>
      </c>
      <c r="E4" s="113" t="s">
        <v>7</v>
      </c>
      <c r="F4" s="114"/>
      <c r="G4" s="114"/>
      <c r="H4" s="114"/>
      <c r="I4" s="114"/>
      <c r="J4" s="114"/>
      <c r="K4" s="114"/>
      <c r="L4" s="114"/>
      <c r="M4" s="114"/>
      <c r="N4" s="115"/>
      <c r="O4" s="116"/>
      <c r="P4" s="115"/>
      <c r="Q4" s="117"/>
    </row>
    <row r="5" spans="1:17" s="118" customFormat="1" ht="15" customHeight="1">
      <c r="A5" s="372"/>
      <c r="B5" s="372"/>
      <c r="C5" s="373"/>
      <c r="D5" s="364"/>
      <c r="E5" s="365" t="s">
        <v>288</v>
      </c>
      <c r="F5" s="119" t="s">
        <v>289</v>
      </c>
      <c r="G5" s="120"/>
      <c r="H5" s="120"/>
      <c r="I5" s="120"/>
      <c r="J5" s="120"/>
      <c r="K5" s="120"/>
      <c r="L5" s="121"/>
      <c r="M5" s="365" t="s">
        <v>290</v>
      </c>
      <c r="N5" s="366" t="s">
        <v>7</v>
      </c>
      <c r="O5" s="366"/>
      <c r="P5" s="366"/>
      <c r="Q5" s="366"/>
    </row>
    <row r="6" spans="1:17" s="118" customFormat="1" ht="27" customHeight="1">
      <c r="A6" s="372"/>
      <c r="B6" s="372"/>
      <c r="C6" s="373"/>
      <c r="D6" s="364"/>
      <c r="E6" s="364"/>
      <c r="F6" s="364" t="s">
        <v>291</v>
      </c>
      <c r="G6" s="364"/>
      <c r="H6" s="364" t="s">
        <v>292</v>
      </c>
      <c r="I6" s="364" t="s">
        <v>293</v>
      </c>
      <c r="J6" s="364" t="s">
        <v>294</v>
      </c>
      <c r="K6" s="364" t="s">
        <v>295</v>
      </c>
      <c r="L6" s="364" t="s">
        <v>296</v>
      </c>
      <c r="M6" s="365"/>
      <c r="N6" s="364" t="s">
        <v>297</v>
      </c>
      <c r="O6" s="122" t="s">
        <v>289</v>
      </c>
      <c r="P6" s="370" t="s">
        <v>298</v>
      </c>
      <c r="Q6" s="370" t="s">
        <v>299</v>
      </c>
    </row>
    <row r="7" spans="1:17" s="118" customFormat="1" ht="148.5" customHeight="1">
      <c r="A7" s="372"/>
      <c r="B7" s="372"/>
      <c r="C7" s="373"/>
      <c r="D7" s="364"/>
      <c r="E7" s="364"/>
      <c r="F7" s="112" t="s">
        <v>300</v>
      </c>
      <c r="G7" s="112" t="s">
        <v>301</v>
      </c>
      <c r="H7" s="364"/>
      <c r="I7" s="364"/>
      <c r="J7" s="364"/>
      <c r="K7" s="364"/>
      <c r="L7" s="364"/>
      <c r="M7" s="365"/>
      <c r="N7" s="365"/>
      <c r="O7" s="112" t="s">
        <v>302</v>
      </c>
      <c r="P7" s="370"/>
      <c r="Q7" s="370"/>
    </row>
    <row r="8" spans="1:17" s="127" customFormat="1" ht="8.25" customHeight="1">
      <c r="A8" s="123">
        <v>1</v>
      </c>
      <c r="B8" s="123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  <c r="N8" s="125">
        <v>14</v>
      </c>
      <c r="O8" s="126">
        <v>15</v>
      </c>
      <c r="P8" s="125">
        <v>16</v>
      </c>
      <c r="Q8" s="125">
        <v>17</v>
      </c>
    </row>
    <row r="9" spans="1:17" s="127" customFormat="1" ht="12" customHeight="1">
      <c r="A9" s="369" t="s">
        <v>303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</row>
    <row r="10" spans="1:17" s="131" customFormat="1" ht="22.5">
      <c r="A10" s="128" t="s">
        <v>11</v>
      </c>
      <c r="B10" s="128"/>
      <c r="C10" s="129" t="s">
        <v>304</v>
      </c>
      <c r="D10" s="130">
        <f aca="true" t="shared" si="0" ref="D10:Q10">SUM(D11:D13)</f>
        <v>259160</v>
      </c>
      <c r="E10" s="130">
        <f t="shared" si="0"/>
        <v>259160</v>
      </c>
      <c r="F10" s="130">
        <f t="shared" si="0"/>
        <v>53000</v>
      </c>
      <c r="G10" s="130">
        <f t="shared" si="0"/>
        <v>205260</v>
      </c>
      <c r="H10" s="130">
        <f t="shared" si="0"/>
        <v>900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0">
        <f t="shared" si="0"/>
        <v>0</v>
      </c>
      <c r="N10" s="130">
        <f t="shared" si="0"/>
        <v>0</v>
      </c>
      <c r="O10" s="130">
        <f t="shared" si="0"/>
        <v>0</v>
      </c>
      <c r="P10" s="130">
        <f t="shared" si="0"/>
        <v>0</v>
      </c>
      <c r="Q10" s="130">
        <f t="shared" si="0"/>
        <v>0</v>
      </c>
    </row>
    <row r="11" spans="1:17" s="118" customFormat="1" ht="11.25">
      <c r="A11" s="132"/>
      <c r="B11" s="132" t="s">
        <v>305</v>
      </c>
      <c r="C11" s="133" t="s">
        <v>306</v>
      </c>
      <c r="D11" s="134">
        <f>E11+M11</f>
        <v>250000</v>
      </c>
      <c r="E11" s="134">
        <f>SUM(F11:L11)</f>
        <v>250000</v>
      </c>
      <c r="F11" s="134">
        <v>53000</v>
      </c>
      <c r="G11" s="134">
        <v>197000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5">
        <v>0</v>
      </c>
      <c r="O11" s="135">
        <v>0</v>
      </c>
      <c r="P11" s="135">
        <v>0</v>
      </c>
      <c r="Q11" s="135">
        <v>0</v>
      </c>
    </row>
    <row r="12" spans="1:17" s="118" customFormat="1" ht="11.25">
      <c r="A12" s="132"/>
      <c r="B12" s="132" t="s">
        <v>307</v>
      </c>
      <c r="C12" s="133" t="s">
        <v>308</v>
      </c>
      <c r="D12" s="134">
        <f>E12+M12</f>
        <v>900</v>
      </c>
      <c r="E12" s="134">
        <f>SUM(F12:L12)</f>
        <v>900</v>
      </c>
      <c r="F12" s="134">
        <v>0</v>
      </c>
      <c r="G12" s="134">
        <v>0</v>
      </c>
      <c r="H12" s="134">
        <v>900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5">
        <v>0</v>
      </c>
      <c r="O12" s="135">
        <v>0</v>
      </c>
      <c r="P12" s="135">
        <v>0</v>
      </c>
      <c r="Q12" s="135">
        <v>0</v>
      </c>
    </row>
    <row r="13" spans="1:17" s="118" customFormat="1" ht="11.25">
      <c r="A13" s="132"/>
      <c r="B13" s="132" t="s">
        <v>13</v>
      </c>
      <c r="C13" s="133" t="s">
        <v>14</v>
      </c>
      <c r="D13" s="134">
        <f>E13+M13</f>
        <v>8260</v>
      </c>
      <c r="E13" s="134">
        <f>SUM(F13:L13)</f>
        <v>8260</v>
      </c>
      <c r="F13" s="134">
        <v>0</v>
      </c>
      <c r="G13" s="134">
        <v>8260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5">
        <v>0</v>
      </c>
      <c r="O13" s="135">
        <v>0</v>
      </c>
      <c r="P13" s="135">
        <v>0</v>
      </c>
      <c r="Q13" s="135">
        <v>0</v>
      </c>
    </row>
    <row r="14" spans="1:17" s="131" customFormat="1" ht="22.5">
      <c r="A14" s="136" t="s">
        <v>16</v>
      </c>
      <c r="B14" s="136"/>
      <c r="C14" s="137" t="s">
        <v>17</v>
      </c>
      <c r="D14" s="138">
        <f aca="true" t="shared" si="1" ref="D14:Q14">D15</f>
        <v>36000</v>
      </c>
      <c r="E14" s="138">
        <f t="shared" si="1"/>
        <v>36000</v>
      </c>
      <c r="F14" s="138">
        <f t="shared" si="1"/>
        <v>0</v>
      </c>
      <c r="G14" s="138">
        <f t="shared" si="1"/>
        <v>36000</v>
      </c>
      <c r="H14" s="138">
        <f t="shared" si="1"/>
        <v>0</v>
      </c>
      <c r="I14" s="138">
        <f t="shared" si="1"/>
        <v>0</v>
      </c>
      <c r="J14" s="138">
        <f t="shared" si="1"/>
        <v>0</v>
      </c>
      <c r="K14" s="138">
        <f t="shared" si="1"/>
        <v>0</v>
      </c>
      <c r="L14" s="138">
        <f t="shared" si="1"/>
        <v>0</v>
      </c>
      <c r="M14" s="138">
        <f t="shared" si="1"/>
        <v>0</v>
      </c>
      <c r="N14" s="138">
        <f t="shared" si="1"/>
        <v>0</v>
      </c>
      <c r="O14" s="138">
        <f t="shared" si="1"/>
        <v>0</v>
      </c>
      <c r="P14" s="138">
        <f t="shared" si="1"/>
        <v>0</v>
      </c>
      <c r="Q14" s="138">
        <f t="shared" si="1"/>
        <v>0</v>
      </c>
    </row>
    <row r="15" spans="1:17" s="118" customFormat="1" ht="11.25">
      <c r="A15" s="132"/>
      <c r="B15" s="132" t="s">
        <v>18</v>
      </c>
      <c r="C15" s="133" t="s">
        <v>14</v>
      </c>
      <c r="D15" s="134">
        <f>E15+M15</f>
        <v>36000</v>
      </c>
      <c r="E15" s="134">
        <f>SUM(F15:L15)</f>
        <v>36000</v>
      </c>
      <c r="F15" s="134">
        <v>0</v>
      </c>
      <c r="G15" s="134">
        <v>36000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5">
        <v>0</v>
      </c>
      <c r="O15" s="135">
        <v>0</v>
      </c>
      <c r="P15" s="135">
        <v>0</v>
      </c>
      <c r="Q15" s="135">
        <v>0</v>
      </c>
    </row>
    <row r="16" spans="1:17" s="131" customFormat="1" ht="47.25" customHeight="1">
      <c r="A16" s="136" t="s">
        <v>309</v>
      </c>
      <c r="B16" s="136"/>
      <c r="C16" s="137" t="s">
        <v>310</v>
      </c>
      <c r="D16" s="138">
        <f aca="true" t="shared" si="2" ref="D16:Q16">D17</f>
        <v>2268000</v>
      </c>
      <c r="E16" s="138">
        <f t="shared" si="2"/>
        <v>2268000</v>
      </c>
      <c r="F16" s="138">
        <f t="shared" si="2"/>
        <v>0</v>
      </c>
      <c r="G16" s="138">
        <f>SUM(G17)</f>
        <v>2268000</v>
      </c>
      <c r="H16" s="138">
        <f t="shared" si="2"/>
        <v>0</v>
      </c>
      <c r="I16" s="138">
        <f t="shared" si="2"/>
        <v>0</v>
      </c>
      <c r="J16" s="138">
        <f t="shared" si="2"/>
        <v>0</v>
      </c>
      <c r="K16" s="138">
        <f t="shared" si="2"/>
        <v>0</v>
      </c>
      <c r="L16" s="138">
        <f t="shared" si="2"/>
        <v>0</v>
      </c>
      <c r="M16" s="138">
        <f t="shared" si="2"/>
        <v>0</v>
      </c>
      <c r="N16" s="138">
        <f t="shared" si="2"/>
        <v>0</v>
      </c>
      <c r="O16" s="138">
        <f t="shared" si="2"/>
        <v>0</v>
      </c>
      <c r="P16" s="138">
        <f t="shared" si="2"/>
        <v>0</v>
      </c>
      <c r="Q16" s="138">
        <f t="shared" si="2"/>
        <v>0</v>
      </c>
    </row>
    <row r="17" spans="1:17" s="118" customFormat="1" ht="11.25">
      <c r="A17" s="132"/>
      <c r="B17" s="132" t="s">
        <v>311</v>
      </c>
      <c r="C17" s="133" t="s">
        <v>312</v>
      </c>
      <c r="D17" s="134">
        <f>E17+M17</f>
        <v>2268000</v>
      </c>
      <c r="E17" s="134">
        <f>SUM(F17:L17)</f>
        <v>2268000</v>
      </c>
      <c r="F17" s="134">
        <v>0</v>
      </c>
      <c r="G17" s="134">
        <v>2268000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5">
        <v>0</v>
      </c>
      <c r="O17" s="135">
        <v>0</v>
      </c>
      <c r="P17" s="135">
        <v>0</v>
      </c>
      <c r="Q17" s="135">
        <v>0</v>
      </c>
    </row>
    <row r="18" spans="1:17" s="131" customFormat="1" ht="22.5">
      <c r="A18" s="136" t="s">
        <v>313</v>
      </c>
      <c r="B18" s="136"/>
      <c r="C18" s="137" t="s">
        <v>314</v>
      </c>
      <c r="D18" s="138">
        <f aca="true" t="shared" si="3" ref="D18:Q18">D19</f>
        <v>509188</v>
      </c>
      <c r="E18" s="138">
        <f t="shared" si="3"/>
        <v>429188</v>
      </c>
      <c r="F18" s="138">
        <f t="shared" si="3"/>
        <v>207088</v>
      </c>
      <c r="G18" s="138">
        <f t="shared" si="3"/>
        <v>222100</v>
      </c>
      <c r="H18" s="138">
        <f t="shared" si="3"/>
        <v>0</v>
      </c>
      <c r="I18" s="138">
        <f t="shared" si="3"/>
        <v>0</v>
      </c>
      <c r="J18" s="138">
        <f t="shared" si="3"/>
        <v>0</v>
      </c>
      <c r="K18" s="138">
        <f t="shared" si="3"/>
        <v>0</v>
      </c>
      <c r="L18" s="138">
        <f t="shared" si="3"/>
        <v>0</v>
      </c>
      <c r="M18" s="138">
        <f t="shared" si="3"/>
        <v>80000</v>
      </c>
      <c r="N18" s="138">
        <f t="shared" si="3"/>
        <v>80000</v>
      </c>
      <c r="O18" s="138">
        <f t="shared" si="3"/>
        <v>0</v>
      </c>
      <c r="P18" s="138">
        <f t="shared" si="3"/>
        <v>0</v>
      </c>
      <c r="Q18" s="138">
        <f t="shared" si="3"/>
        <v>0</v>
      </c>
    </row>
    <row r="19" spans="1:17" s="118" customFormat="1" ht="11.25">
      <c r="A19" s="132"/>
      <c r="B19" s="132" t="s">
        <v>315</v>
      </c>
      <c r="C19" s="133" t="s">
        <v>14</v>
      </c>
      <c r="D19" s="134">
        <f>E19+M19</f>
        <v>509188</v>
      </c>
      <c r="E19" s="134">
        <f>SUM(F19:L19)</f>
        <v>429188</v>
      </c>
      <c r="F19" s="134">
        <v>207088</v>
      </c>
      <c r="G19" s="134">
        <v>222100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80000</v>
      </c>
      <c r="N19" s="135">
        <v>80000</v>
      </c>
      <c r="O19" s="135">
        <v>0</v>
      </c>
      <c r="P19" s="135">
        <v>0</v>
      </c>
      <c r="Q19" s="135">
        <v>0</v>
      </c>
    </row>
    <row r="20" spans="1:17" s="131" customFormat="1" ht="22.5">
      <c r="A20" s="136" t="s">
        <v>23</v>
      </c>
      <c r="B20" s="136"/>
      <c r="C20" s="137" t="s">
        <v>24</v>
      </c>
      <c r="D20" s="138">
        <f aca="true" t="shared" si="4" ref="D20:Q20">D21+D22+D23</f>
        <v>10077328</v>
      </c>
      <c r="E20" s="138">
        <f t="shared" si="4"/>
        <v>6637328</v>
      </c>
      <c r="F20" s="138">
        <f t="shared" si="4"/>
        <v>247578</v>
      </c>
      <c r="G20" s="138">
        <f t="shared" si="4"/>
        <v>6389750</v>
      </c>
      <c r="H20" s="138">
        <f t="shared" si="4"/>
        <v>0</v>
      </c>
      <c r="I20" s="138">
        <f t="shared" si="4"/>
        <v>0</v>
      </c>
      <c r="J20" s="138">
        <f t="shared" si="4"/>
        <v>0</v>
      </c>
      <c r="K20" s="138">
        <f t="shared" si="4"/>
        <v>0</v>
      </c>
      <c r="L20" s="138">
        <f t="shared" si="4"/>
        <v>0</v>
      </c>
      <c r="M20" s="138">
        <f t="shared" si="4"/>
        <v>3440000</v>
      </c>
      <c r="N20" s="138">
        <f t="shared" si="4"/>
        <v>3390000</v>
      </c>
      <c r="O20" s="138">
        <f t="shared" si="4"/>
        <v>930000</v>
      </c>
      <c r="P20" s="138">
        <f t="shared" si="4"/>
        <v>50000</v>
      </c>
      <c r="Q20" s="138">
        <f t="shared" si="4"/>
        <v>0</v>
      </c>
    </row>
    <row r="21" spans="1:17" s="118" customFormat="1" ht="23.25" customHeight="1">
      <c r="A21" s="132"/>
      <c r="B21" s="132" t="s">
        <v>316</v>
      </c>
      <c r="C21" s="133" t="s">
        <v>317</v>
      </c>
      <c r="D21" s="134">
        <f>E21+M21</f>
        <v>3250000</v>
      </c>
      <c r="E21" s="134">
        <f>SUM(F21:L21)</f>
        <v>3200000</v>
      </c>
      <c r="F21" s="134">
        <v>0</v>
      </c>
      <c r="G21" s="134">
        <v>3200000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50000</v>
      </c>
      <c r="N21" s="135">
        <v>0</v>
      </c>
      <c r="O21" s="135">
        <v>0</v>
      </c>
      <c r="P21" s="135">
        <v>50000</v>
      </c>
      <c r="Q21" s="135">
        <v>0</v>
      </c>
    </row>
    <row r="22" spans="1:17" s="118" customFormat="1" ht="11.25">
      <c r="A22" s="132"/>
      <c r="B22" s="132" t="s">
        <v>25</v>
      </c>
      <c r="C22" s="133" t="s">
        <v>26</v>
      </c>
      <c r="D22" s="134">
        <f>E22+M22</f>
        <v>6416100</v>
      </c>
      <c r="E22" s="134">
        <f>SUM(F22:L22)</f>
        <v>3026100</v>
      </c>
      <c r="F22" s="134">
        <v>47100</v>
      </c>
      <c r="G22" s="134">
        <v>2979000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3390000</v>
      </c>
      <c r="N22" s="135">
        <v>3390000</v>
      </c>
      <c r="O22" s="135">
        <v>930000</v>
      </c>
      <c r="P22" s="135">
        <v>0</v>
      </c>
      <c r="Q22" s="135">
        <v>0</v>
      </c>
    </row>
    <row r="23" spans="1:17" s="118" customFormat="1" ht="11.25">
      <c r="A23" s="132"/>
      <c r="B23" s="132" t="s">
        <v>32</v>
      </c>
      <c r="C23" s="133" t="s">
        <v>33</v>
      </c>
      <c r="D23" s="134">
        <f>E23+M23</f>
        <v>411228</v>
      </c>
      <c r="E23" s="134">
        <f>SUM(F23:L23)</f>
        <v>411228</v>
      </c>
      <c r="F23" s="134">
        <v>200478</v>
      </c>
      <c r="G23" s="134">
        <v>210750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5">
        <v>0</v>
      </c>
      <c r="O23" s="135">
        <v>0</v>
      </c>
      <c r="P23" s="135">
        <v>0</v>
      </c>
      <c r="Q23" s="135"/>
    </row>
    <row r="24" spans="1:17" s="131" customFormat="1" ht="22.5">
      <c r="A24" s="136" t="s">
        <v>36</v>
      </c>
      <c r="B24" s="136"/>
      <c r="C24" s="137" t="s">
        <v>37</v>
      </c>
      <c r="D24" s="138">
        <f>D25+D26</f>
        <v>5805000</v>
      </c>
      <c r="E24" s="138">
        <f aca="true" t="shared" si="5" ref="E24:Q24">E25+E26</f>
        <v>367000</v>
      </c>
      <c r="F24" s="138">
        <f t="shared" si="5"/>
        <v>20000</v>
      </c>
      <c r="G24" s="138">
        <f t="shared" si="5"/>
        <v>347000</v>
      </c>
      <c r="H24" s="138">
        <f t="shared" si="5"/>
        <v>0</v>
      </c>
      <c r="I24" s="138">
        <f t="shared" si="5"/>
        <v>0</v>
      </c>
      <c r="J24" s="138">
        <f t="shared" si="5"/>
        <v>0</v>
      </c>
      <c r="K24" s="138">
        <f t="shared" si="5"/>
        <v>0</v>
      </c>
      <c r="L24" s="138">
        <f t="shared" si="5"/>
        <v>0</v>
      </c>
      <c r="M24" s="138">
        <f t="shared" si="5"/>
        <v>5438000</v>
      </c>
      <c r="N24" s="138">
        <f t="shared" si="5"/>
        <v>5438000</v>
      </c>
      <c r="O24" s="138">
        <f t="shared" si="5"/>
        <v>3668950</v>
      </c>
      <c r="P24" s="138">
        <f t="shared" si="5"/>
        <v>0</v>
      </c>
      <c r="Q24" s="138">
        <f t="shared" si="5"/>
        <v>0</v>
      </c>
    </row>
    <row r="25" spans="1:17" s="118" customFormat="1" ht="21" customHeight="1">
      <c r="A25" s="132"/>
      <c r="B25" s="132" t="s">
        <v>38</v>
      </c>
      <c r="C25" s="133" t="s">
        <v>39</v>
      </c>
      <c r="D25" s="134">
        <f>E25+M25</f>
        <v>367000</v>
      </c>
      <c r="E25" s="134">
        <f>SUM(F25:L25)</f>
        <v>367000</v>
      </c>
      <c r="F25" s="134">
        <v>20000</v>
      </c>
      <c r="G25" s="134">
        <v>347000</v>
      </c>
      <c r="H25" s="134"/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5">
        <v>0</v>
      </c>
      <c r="O25" s="135">
        <v>0</v>
      </c>
      <c r="P25" s="135">
        <v>0</v>
      </c>
      <c r="Q25" s="135">
        <v>0</v>
      </c>
    </row>
    <row r="26" spans="1:17" s="118" customFormat="1" ht="11.25">
      <c r="A26" s="132"/>
      <c r="B26" s="132" t="s">
        <v>42</v>
      </c>
      <c r="C26" s="133" t="s">
        <v>14</v>
      </c>
      <c r="D26" s="134">
        <f>E26+M26</f>
        <v>5438000</v>
      </c>
      <c r="E26" s="134">
        <f>SUM(F26:L26)</f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f>5328000+110000</f>
        <v>5438000</v>
      </c>
      <c r="N26" s="134">
        <f>5328000+110000</f>
        <v>5438000</v>
      </c>
      <c r="O26" s="134">
        <f>3558950+110000</f>
        <v>3668950</v>
      </c>
      <c r="P26" s="134">
        <v>0</v>
      </c>
      <c r="Q26" s="134">
        <v>0</v>
      </c>
    </row>
    <row r="27" spans="1:17" s="131" customFormat="1" ht="22.5" customHeight="1">
      <c r="A27" s="136" t="s">
        <v>45</v>
      </c>
      <c r="B27" s="136"/>
      <c r="C27" s="137" t="s">
        <v>46</v>
      </c>
      <c r="D27" s="138">
        <f>D28+D29+D30</f>
        <v>8495365</v>
      </c>
      <c r="E27" s="138">
        <f aca="true" t="shared" si="6" ref="E27:Q27">E28+E29+E30</f>
        <v>3169000</v>
      </c>
      <c r="F27" s="138">
        <f t="shared" si="6"/>
        <v>0</v>
      </c>
      <c r="G27" s="138">
        <f t="shared" si="6"/>
        <v>2092000</v>
      </c>
      <c r="H27" s="138">
        <f t="shared" si="6"/>
        <v>1077000</v>
      </c>
      <c r="I27" s="138">
        <f t="shared" si="6"/>
        <v>0</v>
      </c>
      <c r="J27" s="138">
        <f t="shared" si="6"/>
        <v>0</v>
      </c>
      <c r="K27" s="138">
        <f t="shared" si="6"/>
        <v>0</v>
      </c>
      <c r="L27" s="138">
        <f t="shared" si="6"/>
        <v>0</v>
      </c>
      <c r="M27" s="138">
        <f t="shared" si="6"/>
        <v>5326365</v>
      </c>
      <c r="N27" s="138">
        <f t="shared" si="6"/>
        <v>5326365</v>
      </c>
      <c r="O27" s="138">
        <f t="shared" si="6"/>
        <v>0</v>
      </c>
      <c r="P27" s="138">
        <f t="shared" si="6"/>
        <v>0</v>
      </c>
      <c r="Q27" s="138">
        <f t="shared" si="6"/>
        <v>0</v>
      </c>
    </row>
    <row r="28" spans="1:17" s="118" customFormat="1" ht="23.25" customHeight="1">
      <c r="A28" s="132"/>
      <c r="B28" s="132" t="s">
        <v>318</v>
      </c>
      <c r="C28" s="133" t="s">
        <v>319</v>
      </c>
      <c r="D28" s="134">
        <f>E28+M28</f>
        <v>3103365</v>
      </c>
      <c r="E28" s="134">
        <f>SUM(F28:L28)</f>
        <v>1077000</v>
      </c>
      <c r="F28" s="134">
        <v>0</v>
      </c>
      <c r="G28" s="134">
        <v>0</v>
      </c>
      <c r="H28" s="134">
        <v>1077000</v>
      </c>
      <c r="I28" s="134">
        <v>0</v>
      </c>
      <c r="J28" s="134">
        <v>0</v>
      </c>
      <c r="K28" s="134">
        <v>0</v>
      </c>
      <c r="L28" s="134">
        <v>0</v>
      </c>
      <c r="M28" s="134">
        <v>2026365</v>
      </c>
      <c r="N28" s="135">
        <v>2026365</v>
      </c>
      <c r="O28" s="135">
        <v>0</v>
      </c>
      <c r="P28" s="135">
        <v>0</v>
      </c>
      <c r="Q28" s="135">
        <v>0</v>
      </c>
    </row>
    <row r="29" spans="1:17" s="118" customFormat="1" ht="26.25" customHeight="1">
      <c r="A29" s="132"/>
      <c r="B29" s="132" t="s">
        <v>47</v>
      </c>
      <c r="C29" s="133" t="s">
        <v>48</v>
      </c>
      <c r="D29" s="134">
        <f>E29+M29</f>
        <v>2592000</v>
      </c>
      <c r="E29" s="134">
        <f>SUM(F29:L29)</f>
        <v>2092000</v>
      </c>
      <c r="F29" s="134">
        <v>0</v>
      </c>
      <c r="G29" s="134">
        <v>2092000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500000</v>
      </c>
      <c r="N29" s="135">
        <v>500000</v>
      </c>
      <c r="O29" s="135">
        <v>0</v>
      </c>
      <c r="P29" s="135">
        <v>0</v>
      </c>
      <c r="Q29" s="135">
        <v>0</v>
      </c>
    </row>
    <row r="30" spans="1:17" s="118" customFormat="1" ht="14.25" customHeight="1">
      <c r="A30" s="132"/>
      <c r="B30" s="132" t="s">
        <v>57</v>
      </c>
      <c r="C30" s="133" t="s">
        <v>14</v>
      </c>
      <c r="D30" s="134">
        <f>E30+M30</f>
        <v>2800000</v>
      </c>
      <c r="E30" s="134">
        <f>SUM(F30:L30)</f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2800000</v>
      </c>
      <c r="N30" s="135">
        <v>2800000</v>
      </c>
      <c r="O30" s="135">
        <v>0</v>
      </c>
      <c r="P30" s="135">
        <v>0</v>
      </c>
      <c r="Q30" s="135">
        <v>0</v>
      </c>
    </row>
    <row r="31" spans="1:17" s="131" customFormat="1" ht="22.5">
      <c r="A31" s="136" t="s">
        <v>60</v>
      </c>
      <c r="B31" s="136"/>
      <c r="C31" s="137" t="s">
        <v>61</v>
      </c>
      <c r="D31" s="138">
        <f>D32+D33+D34</f>
        <v>924680</v>
      </c>
      <c r="E31" s="138">
        <f aca="true" t="shared" si="7" ref="E31:Q31">E32+E33+E34</f>
        <v>924680</v>
      </c>
      <c r="F31" s="138">
        <f t="shared" si="7"/>
        <v>15800</v>
      </c>
      <c r="G31" s="138">
        <f t="shared" si="7"/>
        <v>908880</v>
      </c>
      <c r="H31" s="138">
        <f t="shared" si="7"/>
        <v>0</v>
      </c>
      <c r="I31" s="138">
        <f t="shared" si="7"/>
        <v>0</v>
      </c>
      <c r="J31" s="138">
        <f t="shared" si="7"/>
        <v>0</v>
      </c>
      <c r="K31" s="138">
        <f t="shared" si="7"/>
        <v>0</v>
      </c>
      <c r="L31" s="138">
        <f t="shared" si="7"/>
        <v>0</v>
      </c>
      <c r="M31" s="138">
        <f t="shared" si="7"/>
        <v>0</v>
      </c>
      <c r="N31" s="138">
        <f t="shared" si="7"/>
        <v>0</v>
      </c>
      <c r="O31" s="138">
        <f t="shared" si="7"/>
        <v>0</v>
      </c>
      <c r="P31" s="138">
        <f t="shared" si="7"/>
        <v>0</v>
      </c>
      <c r="Q31" s="138">
        <f t="shared" si="7"/>
        <v>0</v>
      </c>
    </row>
    <row r="32" spans="1:17" s="118" customFormat="1" ht="22.5" customHeight="1">
      <c r="A32" s="132"/>
      <c r="B32" s="132" t="s">
        <v>320</v>
      </c>
      <c r="C32" s="133" t="s">
        <v>321</v>
      </c>
      <c r="D32" s="134">
        <f>E32+M32</f>
        <v>489680</v>
      </c>
      <c r="E32" s="134">
        <f>SUM(F32:L32)</f>
        <v>489680</v>
      </c>
      <c r="F32" s="134">
        <v>15800</v>
      </c>
      <c r="G32" s="134">
        <v>473880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5">
        <v>0</v>
      </c>
      <c r="O32" s="135">
        <v>0</v>
      </c>
      <c r="P32" s="135">
        <v>0</v>
      </c>
      <c r="Q32" s="135">
        <v>0</v>
      </c>
    </row>
    <row r="33" spans="1:17" s="118" customFormat="1" ht="24.75" customHeight="1">
      <c r="A33" s="132"/>
      <c r="B33" s="132" t="s">
        <v>237</v>
      </c>
      <c r="C33" s="133" t="s">
        <v>238</v>
      </c>
      <c r="D33" s="134">
        <f>E33+M33</f>
        <v>135000</v>
      </c>
      <c r="E33" s="134">
        <f>SUM(F33:L33)</f>
        <v>135000</v>
      </c>
      <c r="F33" s="134">
        <v>0</v>
      </c>
      <c r="G33" s="134">
        <v>135000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5">
        <v>0</v>
      </c>
      <c r="O33" s="135">
        <v>0</v>
      </c>
      <c r="P33" s="135">
        <v>0</v>
      </c>
      <c r="Q33" s="135">
        <v>0</v>
      </c>
    </row>
    <row r="34" spans="1:17" s="118" customFormat="1" ht="11.25">
      <c r="A34" s="132"/>
      <c r="B34" s="132" t="s">
        <v>62</v>
      </c>
      <c r="C34" s="133" t="s">
        <v>63</v>
      </c>
      <c r="D34" s="134">
        <f>E34+M34</f>
        <v>300000</v>
      </c>
      <c r="E34" s="134">
        <f>SUM(F34:L34)</f>
        <v>300000</v>
      </c>
      <c r="F34" s="134">
        <v>0</v>
      </c>
      <c r="G34" s="134">
        <v>300000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5">
        <v>0</v>
      </c>
      <c r="O34" s="135">
        <v>0</v>
      </c>
      <c r="P34" s="135">
        <v>0</v>
      </c>
      <c r="Q34" s="135">
        <v>0</v>
      </c>
    </row>
    <row r="35" spans="1:17" s="131" customFormat="1" ht="22.5">
      <c r="A35" s="136" t="s">
        <v>66</v>
      </c>
      <c r="B35" s="136"/>
      <c r="C35" s="137" t="s">
        <v>67</v>
      </c>
      <c r="D35" s="138">
        <f>D36+D37+D38+D39+D40</f>
        <v>15819888</v>
      </c>
      <c r="E35" s="138">
        <f aca="true" t="shared" si="8" ref="E35:Q35">E36+E37+E38+E39+E40</f>
        <v>15561888</v>
      </c>
      <c r="F35" s="138">
        <f t="shared" si="8"/>
        <v>11058198</v>
      </c>
      <c r="G35" s="138">
        <f t="shared" si="8"/>
        <v>4047690</v>
      </c>
      <c r="H35" s="138">
        <f t="shared" si="8"/>
        <v>0</v>
      </c>
      <c r="I35" s="138">
        <f t="shared" si="8"/>
        <v>456000</v>
      </c>
      <c r="J35" s="138">
        <f t="shared" si="8"/>
        <v>0</v>
      </c>
      <c r="K35" s="138">
        <f t="shared" si="8"/>
        <v>0</v>
      </c>
      <c r="L35" s="138">
        <f t="shared" si="8"/>
        <v>0</v>
      </c>
      <c r="M35" s="138">
        <f t="shared" si="8"/>
        <v>258000</v>
      </c>
      <c r="N35" s="138">
        <f t="shared" si="8"/>
        <v>258000</v>
      </c>
      <c r="O35" s="138">
        <f t="shared" si="8"/>
        <v>0</v>
      </c>
      <c r="P35" s="138">
        <f t="shared" si="8"/>
        <v>0</v>
      </c>
      <c r="Q35" s="138">
        <f t="shared" si="8"/>
        <v>0</v>
      </c>
    </row>
    <row r="36" spans="1:17" s="118" customFormat="1" ht="11.25">
      <c r="A36" s="132"/>
      <c r="B36" s="132" t="s">
        <v>68</v>
      </c>
      <c r="C36" s="133" t="s">
        <v>69</v>
      </c>
      <c r="D36" s="134">
        <f>E36+M36</f>
        <v>373400</v>
      </c>
      <c r="E36" s="134">
        <f>SUM(F36:L36)</f>
        <v>373400</v>
      </c>
      <c r="F36" s="134">
        <v>373400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5">
        <v>0</v>
      </c>
      <c r="O36" s="135">
        <v>0</v>
      </c>
      <c r="P36" s="135">
        <v>0</v>
      </c>
      <c r="Q36" s="135">
        <v>0</v>
      </c>
    </row>
    <row r="37" spans="1:17" s="118" customFormat="1" ht="22.5">
      <c r="A37" s="132"/>
      <c r="B37" s="132" t="s">
        <v>322</v>
      </c>
      <c r="C37" s="133" t="s">
        <v>323</v>
      </c>
      <c r="D37" s="134">
        <f>E37+M37</f>
        <v>503000</v>
      </c>
      <c r="E37" s="134">
        <f>SUM(F37:L37)</f>
        <v>499000</v>
      </c>
      <c r="F37" s="134">
        <v>0</v>
      </c>
      <c r="G37" s="134">
        <v>51000</v>
      </c>
      <c r="H37" s="134">
        <v>0</v>
      </c>
      <c r="I37" s="134">
        <v>448000</v>
      </c>
      <c r="J37" s="134">
        <v>0</v>
      </c>
      <c r="K37" s="134">
        <v>0</v>
      </c>
      <c r="L37" s="134">
        <v>0</v>
      </c>
      <c r="M37" s="134">
        <v>4000</v>
      </c>
      <c r="N37" s="135">
        <v>4000</v>
      </c>
      <c r="O37" s="135">
        <v>0</v>
      </c>
      <c r="P37" s="135">
        <v>0</v>
      </c>
      <c r="Q37" s="135">
        <v>0</v>
      </c>
    </row>
    <row r="38" spans="1:17" s="118" customFormat="1" ht="33.75">
      <c r="A38" s="132"/>
      <c r="B38" s="132" t="s">
        <v>71</v>
      </c>
      <c r="C38" s="133" t="s">
        <v>72</v>
      </c>
      <c r="D38" s="134">
        <f>E38+M38</f>
        <v>13549788</v>
      </c>
      <c r="E38" s="134">
        <f>SUM(F38:L38)</f>
        <v>13435788</v>
      </c>
      <c r="F38" s="134">
        <f>10312298+350000</f>
        <v>10662298</v>
      </c>
      <c r="G38" s="134">
        <f>2701490+64000</f>
        <v>2765490</v>
      </c>
      <c r="H38" s="134">
        <v>0</v>
      </c>
      <c r="I38" s="134">
        <v>8000</v>
      </c>
      <c r="J38" s="134">
        <v>0</v>
      </c>
      <c r="K38" s="134">
        <v>0</v>
      </c>
      <c r="L38" s="134">
        <v>0</v>
      </c>
      <c r="M38" s="134">
        <v>114000</v>
      </c>
      <c r="N38" s="135">
        <v>114000</v>
      </c>
      <c r="O38" s="135">
        <v>0</v>
      </c>
      <c r="P38" s="135">
        <v>0</v>
      </c>
      <c r="Q38" s="135">
        <v>0</v>
      </c>
    </row>
    <row r="39" spans="1:17" s="118" customFormat="1" ht="33.75">
      <c r="A39" s="132"/>
      <c r="B39" s="132" t="s">
        <v>324</v>
      </c>
      <c r="C39" s="133" t="s">
        <v>325</v>
      </c>
      <c r="D39" s="134">
        <f>E39+M39</f>
        <v>920000</v>
      </c>
      <c r="E39" s="134">
        <f>SUM(F39:L39)</f>
        <v>920000</v>
      </c>
      <c r="F39" s="134">
        <v>15000</v>
      </c>
      <c r="G39" s="134">
        <v>905000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5">
        <v>0</v>
      </c>
      <c r="O39" s="135">
        <v>0</v>
      </c>
      <c r="P39" s="135">
        <v>0</v>
      </c>
      <c r="Q39" s="135">
        <v>0</v>
      </c>
    </row>
    <row r="40" spans="1:17" s="118" customFormat="1" ht="11.25">
      <c r="A40" s="132"/>
      <c r="B40" s="132" t="s">
        <v>75</v>
      </c>
      <c r="C40" s="133" t="s">
        <v>14</v>
      </c>
      <c r="D40" s="134">
        <f>E40+M40</f>
        <v>473700</v>
      </c>
      <c r="E40" s="134">
        <f>SUM(F40:L40)</f>
        <v>333700</v>
      </c>
      <c r="F40" s="134">
        <v>7500</v>
      </c>
      <c r="G40" s="134">
        <v>326200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140000</v>
      </c>
      <c r="N40" s="135">
        <v>140000</v>
      </c>
      <c r="O40" s="135">
        <v>0</v>
      </c>
      <c r="P40" s="135">
        <v>0</v>
      </c>
      <c r="Q40" s="135">
        <v>0</v>
      </c>
    </row>
    <row r="41" spans="1:17" s="131" customFormat="1" ht="57.75" customHeight="1">
      <c r="A41" s="136" t="s">
        <v>79</v>
      </c>
      <c r="B41" s="136"/>
      <c r="C41" s="137" t="s">
        <v>80</v>
      </c>
      <c r="D41" s="138">
        <f>D42</f>
        <v>7116</v>
      </c>
      <c r="E41" s="138">
        <f aca="true" t="shared" si="9" ref="E41:Q41">E42</f>
        <v>7116</v>
      </c>
      <c r="F41" s="138">
        <f t="shared" si="9"/>
        <v>7116</v>
      </c>
      <c r="G41" s="138">
        <f t="shared" si="9"/>
        <v>0</v>
      </c>
      <c r="H41" s="138">
        <f t="shared" si="9"/>
        <v>0</v>
      </c>
      <c r="I41" s="138">
        <f t="shared" si="9"/>
        <v>0</v>
      </c>
      <c r="J41" s="138">
        <f t="shared" si="9"/>
        <v>0</v>
      </c>
      <c r="K41" s="138">
        <f t="shared" si="9"/>
        <v>0</v>
      </c>
      <c r="L41" s="138">
        <f t="shared" si="9"/>
        <v>0</v>
      </c>
      <c r="M41" s="138">
        <f t="shared" si="9"/>
        <v>0</v>
      </c>
      <c r="N41" s="138">
        <f t="shared" si="9"/>
        <v>0</v>
      </c>
      <c r="O41" s="138">
        <f t="shared" si="9"/>
        <v>0</v>
      </c>
      <c r="P41" s="138">
        <f t="shared" si="9"/>
        <v>0</v>
      </c>
      <c r="Q41" s="138">
        <f t="shared" si="9"/>
        <v>0</v>
      </c>
    </row>
    <row r="42" spans="1:17" s="118" customFormat="1" ht="46.5" customHeight="1">
      <c r="A42" s="132"/>
      <c r="B42" s="132" t="s">
        <v>81</v>
      </c>
      <c r="C42" s="133" t="s">
        <v>326</v>
      </c>
      <c r="D42" s="134">
        <f>E42+M42</f>
        <v>7116</v>
      </c>
      <c r="E42" s="134">
        <f>SUM(F42:L42)</f>
        <v>7116</v>
      </c>
      <c r="F42" s="134">
        <v>7116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5">
        <v>0</v>
      </c>
      <c r="O42" s="135">
        <v>0</v>
      </c>
      <c r="P42" s="135">
        <v>0</v>
      </c>
      <c r="Q42" s="135">
        <v>0</v>
      </c>
    </row>
    <row r="43" spans="1:17" s="131" customFormat="1" ht="36.75" customHeight="1">
      <c r="A43" s="136" t="s">
        <v>83</v>
      </c>
      <c r="B43" s="136"/>
      <c r="C43" s="137" t="s">
        <v>84</v>
      </c>
      <c r="D43" s="138">
        <f>D44+D45+D46+D47+D48+D49</f>
        <v>754075</v>
      </c>
      <c r="E43" s="138">
        <f aca="true" t="shared" si="10" ref="E43:Q43">E44+E45+E46+E47+E48+E49</f>
        <v>714075</v>
      </c>
      <c r="F43" s="138">
        <f t="shared" si="10"/>
        <v>372366</v>
      </c>
      <c r="G43" s="138">
        <f t="shared" si="10"/>
        <v>285939</v>
      </c>
      <c r="H43" s="138">
        <f t="shared" si="10"/>
        <v>0</v>
      </c>
      <c r="I43" s="138">
        <f t="shared" si="10"/>
        <v>55770</v>
      </c>
      <c r="J43" s="138">
        <f t="shared" si="10"/>
        <v>0</v>
      </c>
      <c r="K43" s="138">
        <f t="shared" si="10"/>
        <v>0</v>
      </c>
      <c r="L43" s="138">
        <f t="shared" si="10"/>
        <v>0</v>
      </c>
      <c r="M43" s="138">
        <f t="shared" si="10"/>
        <v>40000</v>
      </c>
      <c r="N43" s="138">
        <f t="shared" si="10"/>
        <v>40000</v>
      </c>
      <c r="O43" s="138">
        <f t="shared" si="10"/>
        <v>0</v>
      </c>
      <c r="P43" s="138">
        <f t="shared" si="10"/>
        <v>0</v>
      </c>
      <c r="Q43" s="138">
        <f t="shared" si="10"/>
        <v>0</v>
      </c>
    </row>
    <row r="44" spans="1:17" s="118" customFormat="1" ht="22.5">
      <c r="A44" s="132"/>
      <c r="B44" s="132" t="s">
        <v>85</v>
      </c>
      <c r="C44" s="133" t="s">
        <v>86</v>
      </c>
      <c r="D44" s="134">
        <f>E44+M44</f>
        <v>140000</v>
      </c>
      <c r="E44" s="134">
        <f>SUM(F44:L44)</f>
        <v>140000</v>
      </c>
      <c r="F44" s="134">
        <v>50091</v>
      </c>
      <c r="G44" s="134">
        <v>43539</v>
      </c>
      <c r="H44" s="134">
        <v>0</v>
      </c>
      <c r="I44" s="134">
        <v>46370</v>
      </c>
      <c r="J44" s="134">
        <v>0</v>
      </c>
      <c r="K44" s="134">
        <v>0</v>
      </c>
      <c r="L44" s="134">
        <v>0</v>
      </c>
      <c r="M44" s="134">
        <v>0</v>
      </c>
      <c r="N44" s="135">
        <v>0</v>
      </c>
      <c r="O44" s="135">
        <v>0</v>
      </c>
      <c r="P44" s="135">
        <v>0</v>
      </c>
      <c r="Q44" s="135">
        <v>0</v>
      </c>
    </row>
    <row r="45" spans="1:17" s="143" customFormat="1" ht="11.25" hidden="1">
      <c r="A45" s="139"/>
      <c r="B45" s="139" t="s">
        <v>90</v>
      </c>
      <c r="C45" s="140" t="s">
        <v>91</v>
      </c>
      <c r="D45" s="141">
        <f>E45+M45</f>
        <v>0</v>
      </c>
      <c r="E45" s="141">
        <f>SUM(F45:L45)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2">
        <v>0</v>
      </c>
      <c r="O45" s="135">
        <v>0</v>
      </c>
      <c r="P45" s="142">
        <v>0</v>
      </c>
      <c r="Q45" s="142">
        <v>0</v>
      </c>
    </row>
    <row r="46" spans="1:17" s="118" customFormat="1" ht="22.5">
      <c r="A46" s="132"/>
      <c r="B46" s="132" t="s">
        <v>327</v>
      </c>
      <c r="C46" s="133" t="s">
        <v>328</v>
      </c>
      <c r="D46" s="134">
        <f>E46+M46</f>
        <v>40000</v>
      </c>
      <c r="E46" s="134">
        <f>SUM(F46:L46)</f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40000</v>
      </c>
      <c r="N46" s="135">
        <v>40000</v>
      </c>
      <c r="O46" s="135">
        <v>0</v>
      </c>
      <c r="P46" s="135"/>
      <c r="Q46" s="135"/>
    </row>
    <row r="47" spans="1:17" s="118" customFormat="1" ht="11.25">
      <c r="A47" s="132"/>
      <c r="B47" s="132" t="s">
        <v>92</v>
      </c>
      <c r="C47" s="133" t="s">
        <v>93</v>
      </c>
      <c r="D47" s="134">
        <f>E47+M47</f>
        <v>367475</v>
      </c>
      <c r="E47" s="134">
        <f>SUM(F47:L47)</f>
        <v>367475</v>
      </c>
      <c r="F47" s="134">
        <v>322275</v>
      </c>
      <c r="G47" s="134">
        <v>35800</v>
      </c>
      <c r="H47" s="134">
        <v>0</v>
      </c>
      <c r="I47" s="134">
        <v>9400</v>
      </c>
      <c r="J47" s="134">
        <v>0</v>
      </c>
      <c r="K47" s="134">
        <v>0</v>
      </c>
      <c r="L47" s="134">
        <v>0</v>
      </c>
      <c r="M47" s="134">
        <v>0</v>
      </c>
      <c r="N47" s="135">
        <v>0</v>
      </c>
      <c r="O47" s="135">
        <v>0</v>
      </c>
      <c r="P47" s="135">
        <v>0</v>
      </c>
      <c r="Q47" s="135">
        <v>0</v>
      </c>
    </row>
    <row r="48" spans="1:17" s="143" customFormat="1" ht="11.25" hidden="1">
      <c r="A48" s="139"/>
      <c r="B48" s="139" t="s">
        <v>329</v>
      </c>
      <c r="C48" s="140" t="s">
        <v>330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2"/>
      <c r="O48" s="135"/>
      <c r="P48" s="142"/>
      <c r="Q48" s="142"/>
    </row>
    <row r="49" spans="1:17" s="118" customFormat="1" ht="11.25">
      <c r="A49" s="132"/>
      <c r="B49" s="132" t="s">
        <v>331</v>
      </c>
      <c r="C49" s="133" t="s">
        <v>14</v>
      </c>
      <c r="D49" s="134">
        <f>E49+M49</f>
        <v>206600</v>
      </c>
      <c r="E49" s="134">
        <f>SUM(F49:L49)</f>
        <v>206600</v>
      </c>
      <c r="F49" s="134">
        <v>0</v>
      </c>
      <c r="G49" s="134">
        <v>206600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5">
        <v>0</v>
      </c>
      <c r="O49" s="135">
        <v>0</v>
      </c>
      <c r="P49" s="135">
        <v>0</v>
      </c>
      <c r="Q49" s="135">
        <v>0</v>
      </c>
    </row>
    <row r="50" spans="1:17" s="131" customFormat="1" ht="24" customHeight="1">
      <c r="A50" s="136" t="s">
        <v>332</v>
      </c>
      <c r="B50" s="136"/>
      <c r="C50" s="137" t="s">
        <v>333</v>
      </c>
      <c r="D50" s="138">
        <f>D51</f>
        <v>3000000</v>
      </c>
      <c r="E50" s="138">
        <f aca="true" t="shared" si="11" ref="E50:Q50">E51</f>
        <v>3000000</v>
      </c>
      <c r="F50" s="138">
        <f t="shared" si="11"/>
        <v>0</v>
      </c>
      <c r="G50" s="138">
        <f t="shared" si="11"/>
        <v>0</v>
      </c>
      <c r="H50" s="138">
        <f t="shared" si="11"/>
        <v>0</v>
      </c>
      <c r="I50" s="138">
        <f t="shared" si="11"/>
        <v>0</v>
      </c>
      <c r="J50" s="138">
        <f t="shared" si="11"/>
        <v>0</v>
      </c>
      <c r="K50" s="138">
        <f t="shared" si="11"/>
        <v>0</v>
      </c>
      <c r="L50" s="138">
        <f t="shared" si="11"/>
        <v>3000000</v>
      </c>
      <c r="M50" s="138">
        <f t="shared" si="11"/>
        <v>0</v>
      </c>
      <c r="N50" s="138">
        <f t="shared" si="11"/>
        <v>0</v>
      </c>
      <c r="O50" s="138">
        <f t="shared" si="11"/>
        <v>0</v>
      </c>
      <c r="P50" s="138">
        <f t="shared" si="11"/>
        <v>0</v>
      </c>
      <c r="Q50" s="138">
        <f t="shared" si="11"/>
        <v>0</v>
      </c>
    </row>
    <row r="51" spans="1:17" s="118" customFormat="1" ht="46.5" customHeight="1">
      <c r="A51" s="132"/>
      <c r="B51" s="132" t="s">
        <v>334</v>
      </c>
      <c r="C51" s="133" t="s">
        <v>335</v>
      </c>
      <c r="D51" s="134">
        <f>E51+M51</f>
        <v>3000000</v>
      </c>
      <c r="E51" s="134">
        <f>SUM(F51:L51)</f>
        <v>3000000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3000000</v>
      </c>
      <c r="M51" s="134">
        <v>0</v>
      </c>
      <c r="N51" s="135">
        <v>0</v>
      </c>
      <c r="O51" s="135">
        <v>0</v>
      </c>
      <c r="P51" s="135">
        <v>0</v>
      </c>
      <c r="Q51" s="135">
        <v>0</v>
      </c>
    </row>
    <row r="52" spans="1:17" s="131" customFormat="1" ht="15.75" customHeight="1">
      <c r="A52" s="136" t="s">
        <v>146</v>
      </c>
      <c r="B52" s="136"/>
      <c r="C52" s="137" t="s">
        <v>147</v>
      </c>
      <c r="D52" s="138">
        <f>D53+D54</f>
        <v>1226000</v>
      </c>
      <c r="E52" s="138">
        <f aca="true" t="shared" si="12" ref="E52:Q52">E53+E54</f>
        <v>1226000</v>
      </c>
      <c r="F52" s="138">
        <f t="shared" si="12"/>
        <v>0</v>
      </c>
      <c r="G52" s="138">
        <f t="shared" si="12"/>
        <v>1226000</v>
      </c>
      <c r="H52" s="138">
        <f t="shared" si="12"/>
        <v>0</v>
      </c>
      <c r="I52" s="138">
        <f t="shared" si="12"/>
        <v>0</v>
      </c>
      <c r="J52" s="138">
        <f t="shared" si="12"/>
        <v>0</v>
      </c>
      <c r="K52" s="138">
        <f t="shared" si="12"/>
        <v>0</v>
      </c>
      <c r="L52" s="138">
        <f t="shared" si="12"/>
        <v>0</v>
      </c>
      <c r="M52" s="138">
        <f t="shared" si="12"/>
        <v>0</v>
      </c>
      <c r="N52" s="138">
        <f t="shared" si="12"/>
        <v>0</v>
      </c>
      <c r="O52" s="138">
        <f t="shared" si="12"/>
        <v>0</v>
      </c>
      <c r="P52" s="138">
        <f t="shared" si="12"/>
        <v>0</v>
      </c>
      <c r="Q52" s="138">
        <f t="shared" si="12"/>
        <v>0</v>
      </c>
    </row>
    <row r="53" spans="1:17" s="118" customFormat="1" ht="22.5">
      <c r="A53" s="132"/>
      <c r="B53" s="132" t="s">
        <v>336</v>
      </c>
      <c r="C53" s="133" t="s">
        <v>337</v>
      </c>
      <c r="D53" s="134">
        <f>E53+M53</f>
        <v>1226000</v>
      </c>
      <c r="E53" s="134">
        <f>SUM(F53:L53)</f>
        <v>1226000</v>
      </c>
      <c r="F53" s="134">
        <v>0</v>
      </c>
      <c r="G53" s="134">
        <v>1226000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5">
        <v>0</v>
      </c>
      <c r="O53" s="135">
        <v>0</v>
      </c>
      <c r="P53" s="135">
        <v>0</v>
      </c>
      <c r="Q53" s="135"/>
    </row>
    <row r="54" spans="1:17" s="143" customFormat="1" ht="12.75" customHeight="1" hidden="1">
      <c r="A54" s="139"/>
      <c r="B54" s="139" t="s">
        <v>338</v>
      </c>
      <c r="C54" s="140" t="s">
        <v>339</v>
      </c>
      <c r="D54" s="141">
        <f>E54+M54</f>
        <v>0</v>
      </c>
      <c r="E54" s="141">
        <f>SUM(F54:L54)</f>
        <v>0</v>
      </c>
      <c r="F54" s="141"/>
      <c r="G54" s="141"/>
      <c r="H54" s="141"/>
      <c r="I54" s="141"/>
      <c r="J54" s="141"/>
      <c r="K54" s="141"/>
      <c r="L54" s="141"/>
      <c r="M54" s="141"/>
      <c r="N54" s="142"/>
      <c r="O54" s="144"/>
      <c r="P54" s="142"/>
      <c r="Q54" s="142"/>
    </row>
    <row r="55" spans="1:17" s="131" customFormat="1" ht="22.5">
      <c r="A55" s="136" t="s">
        <v>156</v>
      </c>
      <c r="B55" s="136"/>
      <c r="C55" s="137" t="s">
        <v>157</v>
      </c>
      <c r="D55" s="138">
        <f>D56+D57+D58+D59+D60+D61+D62+D63+D64</f>
        <v>34081003</v>
      </c>
      <c r="E55" s="138">
        <f aca="true" t="shared" si="13" ref="E55:Q55">E56+E57+E58+E59+E60+E61+E62+E63+E64</f>
        <v>32456003</v>
      </c>
      <c r="F55" s="138">
        <f t="shared" si="13"/>
        <v>26079586</v>
      </c>
      <c r="G55" s="138">
        <f t="shared" si="13"/>
        <v>4829087</v>
      </c>
      <c r="H55" s="138">
        <f t="shared" si="13"/>
        <v>1414321</v>
      </c>
      <c r="I55" s="138">
        <f t="shared" si="13"/>
        <v>133009</v>
      </c>
      <c r="J55" s="138">
        <f t="shared" si="13"/>
        <v>0</v>
      </c>
      <c r="K55" s="138">
        <f t="shared" si="13"/>
        <v>0</v>
      </c>
      <c r="L55" s="138">
        <f t="shared" si="13"/>
        <v>0</v>
      </c>
      <c r="M55" s="138">
        <f t="shared" si="13"/>
        <v>1625000</v>
      </c>
      <c r="N55" s="138">
        <f t="shared" si="13"/>
        <v>1625000</v>
      </c>
      <c r="O55" s="138">
        <f t="shared" si="13"/>
        <v>1260000</v>
      </c>
      <c r="P55" s="138">
        <f t="shared" si="13"/>
        <v>0</v>
      </c>
      <c r="Q55" s="138">
        <f t="shared" si="13"/>
        <v>0</v>
      </c>
    </row>
    <row r="56" spans="1:17" s="118" customFormat="1" ht="11.25">
      <c r="A56" s="132"/>
      <c r="B56" s="132" t="s">
        <v>158</v>
      </c>
      <c r="C56" s="133" t="s">
        <v>159</v>
      </c>
      <c r="D56" s="134">
        <f aca="true" t="shared" si="14" ref="D56:D64">E56+M56</f>
        <v>14303430</v>
      </c>
      <c r="E56" s="134">
        <f>SUM(F56:L56)</f>
        <v>12678430</v>
      </c>
      <c r="F56" s="134">
        <v>10656682</v>
      </c>
      <c r="G56" s="134">
        <f>1621554+5000+50000</f>
        <v>1676554</v>
      </c>
      <c r="H56" s="134">
        <v>333840</v>
      </c>
      <c r="I56" s="134">
        <v>11354</v>
      </c>
      <c r="J56" s="134">
        <v>0</v>
      </c>
      <c r="K56" s="134">
        <v>0</v>
      </c>
      <c r="L56" s="134">
        <v>0</v>
      </c>
      <c r="M56" s="134">
        <v>1625000</v>
      </c>
      <c r="N56" s="135">
        <v>1625000</v>
      </c>
      <c r="O56" s="135">
        <v>1260000</v>
      </c>
      <c r="P56" s="135">
        <v>0</v>
      </c>
      <c r="Q56" s="135">
        <v>0</v>
      </c>
    </row>
    <row r="57" spans="1:17" s="118" customFormat="1" ht="33.75">
      <c r="A57" s="132"/>
      <c r="B57" s="132" t="s">
        <v>340</v>
      </c>
      <c r="C57" s="133" t="s">
        <v>341</v>
      </c>
      <c r="D57" s="134">
        <f t="shared" si="14"/>
        <v>386824</v>
      </c>
      <c r="E57" s="134">
        <f aca="true" t="shared" si="15" ref="E57:E64">SUM(F57:L57)</f>
        <v>386824</v>
      </c>
      <c r="F57" s="134">
        <v>312698</v>
      </c>
      <c r="G57" s="134">
        <v>20456</v>
      </c>
      <c r="H57" s="134">
        <v>53670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5">
        <v>0</v>
      </c>
      <c r="O57" s="135">
        <v>0</v>
      </c>
      <c r="P57" s="135">
        <v>0</v>
      </c>
      <c r="Q57" s="135">
        <v>0</v>
      </c>
    </row>
    <row r="58" spans="1:17" s="118" customFormat="1" ht="11.25">
      <c r="A58" s="132"/>
      <c r="B58" s="132" t="s">
        <v>161</v>
      </c>
      <c r="C58" s="133" t="s">
        <v>162</v>
      </c>
      <c r="D58" s="134">
        <f t="shared" si="14"/>
        <v>8456511</v>
      </c>
      <c r="E58" s="134">
        <f t="shared" si="15"/>
        <v>8456511</v>
      </c>
      <c r="F58" s="134">
        <v>6966310</v>
      </c>
      <c r="G58" s="134">
        <f>1191163+26500</f>
        <v>1217663</v>
      </c>
      <c r="H58" s="134">
        <v>254938</v>
      </c>
      <c r="I58" s="134">
        <v>17600</v>
      </c>
      <c r="J58" s="134">
        <v>0</v>
      </c>
      <c r="K58" s="134">
        <v>0</v>
      </c>
      <c r="L58" s="134">
        <v>0</v>
      </c>
      <c r="M58" s="134">
        <v>0</v>
      </c>
      <c r="N58" s="135">
        <v>0</v>
      </c>
      <c r="O58" s="135">
        <v>0</v>
      </c>
      <c r="P58" s="135">
        <v>0</v>
      </c>
      <c r="Q58" s="135">
        <v>0</v>
      </c>
    </row>
    <row r="59" spans="1:17" s="118" customFormat="1" ht="15.75" customHeight="1">
      <c r="A59" s="132"/>
      <c r="B59" s="132" t="s">
        <v>342</v>
      </c>
      <c r="C59" s="133" t="s">
        <v>343</v>
      </c>
      <c r="D59" s="134">
        <f t="shared" si="14"/>
        <v>447820</v>
      </c>
      <c r="E59" s="134">
        <f>SUM(F59:L59)</f>
        <v>447820</v>
      </c>
      <c r="F59" s="134">
        <v>125458</v>
      </c>
      <c r="G59" s="134">
        <v>12298</v>
      </c>
      <c r="H59" s="134">
        <v>310064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5">
        <v>0</v>
      </c>
      <c r="O59" s="135">
        <v>0</v>
      </c>
      <c r="P59" s="135">
        <v>0</v>
      </c>
      <c r="Q59" s="135">
        <v>0</v>
      </c>
    </row>
    <row r="60" spans="1:17" s="118" customFormat="1" ht="11.25">
      <c r="A60" s="132"/>
      <c r="B60" s="132" t="s">
        <v>344</v>
      </c>
      <c r="C60" s="133" t="s">
        <v>345</v>
      </c>
      <c r="D60" s="134">
        <f t="shared" si="14"/>
        <v>8592777</v>
      </c>
      <c r="E60" s="134">
        <f t="shared" si="15"/>
        <v>8592777</v>
      </c>
      <c r="F60" s="134">
        <v>6885448</v>
      </c>
      <c r="G60" s="134">
        <f>1172466+3800+66000</f>
        <v>1242266</v>
      </c>
      <c r="H60" s="134">
        <v>457809</v>
      </c>
      <c r="I60" s="134">
        <v>7254</v>
      </c>
      <c r="J60" s="134">
        <v>0</v>
      </c>
      <c r="K60" s="134">
        <v>0</v>
      </c>
      <c r="L60" s="134">
        <v>0</v>
      </c>
      <c r="M60" s="134">
        <v>0</v>
      </c>
      <c r="N60" s="135">
        <v>0</v>
      </c>
      <c r="O60" s="135">
        <v>0</v>
      </c>
      <c r="P60" s="135">
        <v>0</v>
      </c>
      <c r="Q60" s="135">
        <v>0</v>
      </c>
    </row>
    <row r="61" spans="1:17" s="118" customFormat="1" ht="22.5" customHeight="1">
      <c r="A61" s="132"/>
      <c r="B61" s="132" t="s">
        <v>346</v>
      </c>
      <c r="C61" s="133" t="s">
        <v>347</v>
      </c>
      <c r="D61" s="134">
        <f t="shared" si="14"/>
        <v>88500</v>
      </c>
      <c r="E61" s="134">
        <f t="shared" si="15"/>
        <v>88500</v>
      </c>
      <c r="F61" s="134">
        <v>0</v>
      </c>
      <c r="G61" s="134">
        <v>88500</v>
      </c>
      <c r="H61" s="134">
        <v>0</v>
      </c>
      <c r="I61" s="134">
        <v>0</v>
      </c>
      <c r="J61" s="134">
        <v>0</v>
      </c>
      <c r="K61" s="134">
        <v>0</v>
      </c>
      <c r="L61" s="134">
        <v>0</v>
      </c>
      <c r="M61" s="134">
        <v>0</v>
      </c>
      <c r="N61" s="135">
        <v>0</v>
      </c>
      <c r="O61" s="135">
        <v>0</v>
      </c>
      <c r="P61" s="135">
        <v>0</v>
      </c>
      <c r="Q61" s="135">
        <v>0</v>
      </c>
    </row>
    <row r="62" spans="1:17" s="118" customFormat="1" ht="22.5" customHeight="1">
      <c r="A62" s="132"/>
      <c r="B62" s="132" t="s">
        <v>348</v>
      </c>
      <c r="C62" s="133" t="s">
        <v>349</v>
      </c>
      <c r="D62" s="134">
        <f t="shared" si="14"/>
        <v>165183</v>
      </c>
      <c r="E62" s="134">
        <f t="shared" si="15"/>
        <v>165183</v>
      </c>
      <c r="F62" s="134">
        <v>0</v>
      </c>
      <c r="G62" s="134">
        <v>165183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5">
        <v>0</v>
      </c>
      <c r="O62" s="135">
        <v>0</v>
      </c>
      <c r="P62" s="135">
        <v>0</v>
      </c>
      <c r="Q62" s="135">
        <v>0</v>
      </c>
    </row>
    <row r="63" spans="1:17" s="118" customFormat="1" ht="22.5">
      <c r="A63" s="132"/>
      <c r="B63" s="132" t="s">
        <v>350</v>
      </c>
      <c r="C63" s="133" t="s">
        <v>351</v>
      </c>
      <c r="D63" s="134">
        <f t="shared" si="14"/>
        <v>1103721</v>
      </c>
      <c r="E63" s="134">
        <f t="shared" si="15"/>
        <v>1103721</v>
      </c>
      <c r="F63" s="134">
        <v>957048</v>
      </c>
      <c r="G63" s="134">
        <v>141167</v>
      </c>
      <c r="H63" s="134">
        <v>0</v>
      </c>
      <c r="I63" s="134">
        <v>5506</v>
      </c>
      <c r="J63" s="134">
        <v>0</v>
      </c>
      <c r="K63" s="134">
        <v>0</v>
      </c>
      <c r="L63" s="134">
        <v>0</v>
      </c>
      <c r="M63" s="134">
        <v>0</v>
      </c>
      <c r="N63" s="135">
        <v>0</v>
      </c>
      <c r="O63" s="135">
        <v>0</v>
      </c>
      <c r="P63" s="135">
        <v>0</v>
      </c>
      <c r="Q63" s="135">
        <v>0</v>
      </c>
    </row>
    <row r="64" spans="1:17" s="118" customFormat="1" ht="11.25">
      <c r="A64" s="132"/>
      <c r="B64" s="132" t="s">
        <v>352</v>
      </c>
      <c r="C64" s="133" t="s">
        <v>14</v>
      </c>
      <c r="D64" s="134">
        <f t="shared" si="14"/>
        <v>536237</v>
      </c>
      <c r="E64" s="134">
        <f t="shared" si="15"/>
        <v>536237</v>
      </c>
      <c r="F64" s="134">
        <v>175942</v>
      </c>
      <c r="G64" s="134">
        <v>265000</v>
      </c>
      <c r="H64" s="134">
        <v>4000</v>
      </c>
      <c r="I64" s="134">
        <v>91295</v>
      </c>
      <c r="J64" s="134">
        <v>0</v>
      </c>
      <c r="K64" s="134">
        <v>0</v>
      </c>
      <c r="L64" s="134">
        <v>0</v>
      </c>
      <c r="M64" s="134">
        <v>0</v>
      </c>
      <c r="N64" s="135">
        <v>0</v>
      </c>
      <c r="O64" s="135">
        <v>0</v>
      </c>
      <c r="P64" s="135">
        <v>0</v>
      </c>
      <c r="Q64" s="135">
        <v>0</v>
      </c>
    </row>
    <row r="65" spans="1:17" s="131" customFormat="1" ht="22.5">
      <c r="A65" s="136" t="s">
        <v>163</v>
      </c>
      <c r="B65" s="136"/>
      <c r="C65" s="137" t="s">
        <v>164</v>
      </c>
      <c r="D65" s="138">
        <f>D66+D67+D68+D69+D70</f>
        <v>3653930</v>
      </c>
      <c r="E65" s="138">
        <f aca="true" t="shared" si="16" ref="E65:Q65">E66+E67+E68+E69+E70</f>
        <v>1355930</v>
      </c>
      <c r="F65" s="138">
        <f t="shared" si="16"/>
        <v>290785</v>
      </c>
      <c r="G65" s="138">
        <f t="shared" si="16"/>
        <v>402445</v>
      </c>
      <c r="H65" s="138">
        <f t="shared" si="16"/>
        <v>662700</v>
      </c>
      <c r="I65" s="138">
        <f t="shared" si="16"/>
        <v>0</v>
      </c>
      <c r="J65" s="138">
        <f t="shared" si="16"/>
        <v>0</v>
      </c>
      <c r="K65" s="138">
        <f t="shared" si="16"/>
        <v>0</v>
      </c>
      <c r="L65" s="138">
        <f t="shared" si="16"/>
        <v>0</v>
      </c>
      <c r="M65" s="138">
        <f t="shared" si="16"/>
        <v>2298000</v>
      </c>
      <c r="N65" s="138">
        <f t="shared" si="16"/>
        <v>2298000</v>
      </c>
      <c r="O65" s="138">
        <f t="shared" si="16"/>
        <v>1780000</v>
      </c>
      <c r="P65" s="138">
        <f t="shared" si="16"/>
        <v>0</v>
      </c>
      <c r="Q65" s="138">
        <f t="shared" si="16"/>
        <v>0</v>
      </c>
    </row>
    <row r="66" spans="1:17" s="118" customFormat="1" ht="22.5" customHeight="1">
      <c r="A66" s="132"/>
      <c r="B66" s="132" t="s">
        <v>353</v>
      </c>
      <c r="C66" s="133" t="s">
        <v>354</v>
      </c>
      <c r="D66" s="134">
        <f>E66+M66</f>
        <v>32000</v>
      </c>
      <c r="E66" s="134">
        <f>SUM(F66:L66)</f>
        <v>22000</v>
      </c>
      <c r="F66" s="134">
        <v>7000</v>
      </c>
      <c r="G66" s="134">
        <v>5900</v>
      </c>
      <c r="H66" s="134">
        <v>9100</v>
      </c>
      <c r="I66" s="134">
        <v>0</v>
      </c>
      <c r="J66" s="134">
        <v>0</v>
      </c>
      <c r="K66" s="134">
        <v>0</v>
      </c>
      <c r="L66" s="134">
        <v>0</v>
      </c>
      <c r="M66" s="134">
        <v>10000</v>
      </c>
      <c r="N66" s="135">
        <v>10000</v>
      </c>
      <c r="O66" s="135">
        <v>0</v>
      </c>
      <c r="P66" s="135">
        <v>0</v>
      </c>
      <c r="Q66" s="135">
        <v>0</v>
      </c>
    </row>
    <row r="67" spans="1:17" s="118" customFormat="1" ht="24" customHeight="1">
      <c r="A67" s="132"/>
      <c r="B67" s="132" t="s">
        <v>355</v>
      </c>
      <c r="C67" s="133" t="s">
        <v>356</v>
      </c>
      <c r="D67" s="134">
        <f>E67+M67</f>
        <v>10000</v>
      </c>
      <c r="E67" s="134">
        <f>SUM(F67:L67)</f>
        <v>10000</v>
      </c>
      <c r="F67" s="134">
        <v>500</v>
      </c>
      <c r="G67" s="134">
        <v>9500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5">
        <v>0</v>
      </c>
      <c r="O67" s="135">
        <v>0</v>
      </c>
      <c r="P67" s="135">
        <v>0</v>
      </c>
      <c r="Q67" s="135">
        <v>0</v>
      </c>
    </row>
    <row r="68" spans="1:17" s="118" customFormat="1" ht="11.25">
      <c r="A68" s="132"/>
      <c r="B68" s="132" t="s">
        <v>357</v>
      </c>
      <c r="C68" s="133" t="s">
        <v>358</v>
      </c>
      <c r="D68" s="134">
        <f>E68+M68</f>
        <v>49000</v>
      </c>
      <c r="E68" s="134">
        <f>SUM(F68:L68)</f>
        <v>49000</v>
      </c>
      <c r="F68" s="134">
        <v>0</v>
      </c>
      <c r="G68" s="134">
        <v>35400</v>
      </c>
      <c r="H68" s="134">
        <v>13600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5">
        <v>0</v>
      </c>
      <c r="O68" s="135">
        <v>0</v>
      </c>
      <c r="P68" s="135">
        <v>0</v>
      </c>
      <c r="Q68" s="135">
        <v>0</v>
      </c>
    </row>
    <row r="69" spans="1:17" s="118" customFormat="1" ht="22.5">
      <c r="A69" s="132"/>
      <c r="B69" s="132" t="s">
        <v>165</v>
      </c>
      <c r="C69" s="133" t="s">
        <v>166</v>
      </c>
      <c r="D69" s="134">
        <f>E69+M69</f>
        <v>3380730</v>
      </c>
      <c r="E69" s="134">
        <f>SUM(F69:L69)</f>
        <v>1242730</v>
      </c>
      <c r="F69" s="134">
        <f>111570+162580</f>
        <v>274150</v>
      </c>
      <c r="G69" s="134">
        <v>348580</v>
      </c>
      <c r="H69" s="134">
        <v>620000</v>
      </c>
      <c r="I69" s="134">
        <v>0</v>
      </c>
      <c r="J69" s="134">
        <v>0</v>
      </c>
      <c r="K69" s="134">
        <v>0</v>
      </c>
      <c r="L69" s="134">
        <v>0</v>
      </c>
      <c r="M69" s="134">
        <v>2138000</v>
      </c>
      <c r="N69" s="135">
        <v>2138000</v>
      </c>
      <c r="O69" s="135">
        <v>1780000</v>
      </c>
      <c r="P69" s="135">
        <v>0</v>
      </c>
      <c r="Q69" s="135">
        <v>0</v>
      </c>
    </row>
    <row r="70" spans="1:17" s="118" customFormat="1" ht="11.25">
      <c r="A70" s="132"/>
      <c r="B70" s="132" t="s">
        <v>167</v>
      </c>
      <c r="C70" s="133" t="s">
        <v>14</v>
      </c>
      <c r="D70" s="134">
        <f>E70+M70</f>
        <v>182200</v>
      </c>
      <c r="E70" s="134">
        <f>SUM(F70:L70)</f>
        <v>32200</v>
      </c>
      <c r="F70" s="134">
        <v>9135</v>
      </c>
      <c r="G70" s="134">
        <f>200+2865</f>
        <v>3065</v>
      </c>
      <c r="H70" s="134">
        <v>20000</v>
      </c>
      <c r="I70" s="134">
        <v>0</v>
      </c>
      <c r="J70" s="134">
        <v>0</v>
      </c>
      <c r="K70" s="134">
        <v>0</v>
      </c>
      <c r="L70" s="134">
        <v>0</v>
      </c>
      <c r="M70" s="134">
        <v>150000</v>
      </c>
      <c r="N70" s="135">
        <v>150000</v>
      </c>
      <c r="O70" s="135">
        <v>0</v>
      </c>
      <c r="P70" s="135">
        <v>0</v>
      </c>
      <c r="Q70" s="135">
        <v>0</v>
      </c>
    </row>
    <row r="71" spans="1:17" s="131" customFormat="1" ht="22.5">
      <c r="A71" s="136" t="s">
        <v>168</v>
      </c>
      <c r="B71" s="136"/>
      <c r="C71" s="137" t="s">
        <v>169</v>
      </c>
      <c r="D71" s="138">
        <f>D72+D73+D77+D78+D79+D80+D81+D82+D74+D76+D75</f>
        <v>13306999</v>
      </c>
      <c r="E71" s="138">
        <f aca="true" t="shared" si="17" ref="E71:Q71">E72+E73+E77+E78+E79+E80+E81+E82+E74+E76+E75</f>
        <v>13277999</v>
      </c>
      <c r="F71" s="138">
        <f t="shared" si="17"/>
        <v>2757417</v>
      </c>
      <c r="G71" s="138">
        <f t="shared" si="17"/>
        <v>1351656</v>
      </c>
      <c r="H71" s="138">
        <f t="shared" si="17"/>
        <v>168000</v>
      </c>
      <c r="I71" s="138">
        <f t="shared" si="17"/>
        <v>9000926</v>
      </c>
      <c r="J71" s="138">
        <f t="shared" si="17"/>
        <v>0</v>
      </c>
      <c r="K71" s="138">
        <f t="shared" si="17"/>
        <v>0</v>
      </c>
      <c r="L71" s="138">
        <f t="shared" si="17"/>
        <v>0</v>
      </c>
      <c r="M71" s="138">
        <f t="shared" si="17"/>
        <v>29000</v>
      </c>
      <c r="N71" s="138">
        <f t="shared" si="17"/>
        <v>29000</v>
      </c>
      <c r="O71" s="138">
        <f t="shared" si="17"/>
        <v>0</v>
      </c>
      <c r="P71" s="138">
        <f t="shared" si="17"/>
        <v>0</v>
      </c>
      <c r="Q71" s="138">
        <f t="shared" si="17"/>
        <v>0</v>
      </c>
    </row>
    <row r="72" spans="1:17" s="118" customFormat="1" ht="23.25" customHeight="1">
      <c r="A72" s="132"/>
      <c r="B72" s="132" t="s">
        <v>359</v>
      </c>
      <c r="C72" s="133" t="s">
        <v>360</v>
      </c>
      <c r="D72" s="134">
        <f aca="true" t="shared" si="18" ref="D72:D82">E72+M72</f>
        <v>27000</v>
      </c>
      <c r="E72" s="134">
        <f>SUM(F72:L72)</f>
        <v>27000</v>
      </c>
      <c r="F72" s="134">
        <v>0</v>
      </c>
      <c r="G72" s="134">
        <v>27000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5">
        <v>0</v>
      </c>
      <c r="O72" s="135">
        <v>0</v>
      </c>
      <c r="P72" s="135">
        <v>0</v>
      </c>
      <c r="Q72" s="135">
        <v>0</v>
      </c>
    </row>
    <row r="73" spans="1:17" s="118" customFormat="1" ht="12.75" customHeight="1">
      <c r="A73" s="132"/>
      <c r="B73" s="132" t="s">
        <v>361</v>
      </c>
      <c r="C73" s="133" t="s">
        <v>362</v>
      </c>
      <c r="D73" s="134">
        <f t="shared" si="18"/>
        <v>786731</v>
      </c>
      <c r="E73" s="134">
        <f aca="true" t="shared" si="19" ref="E73:E82">SUM(F73:L73)</f>
        <v>786731</v>
      </c>
      <c r="F73" s="134">
        <v>0</v>
      </c>
      <c r="G73" s="134">
        <v>786731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5">
        <v>0</v>
      </c>
      <c r="O73" s="135">
        <v>0</v>
      </c>
      <c r="P73" s="135">
        <v>0</v>
      </c>
      <c r="Q73" s="135">
        <v>0</v>
      </c>
    </row>
    <row r="74" spans="1:17" s="118" customFormat="1" ht="11.25">
      <c r="A74" s="132"/>
      <c r="B74" s="132" t="s">
        <v>170</v>
      </c>
      <c r="C74" s="133" t="s">
        <v>171</v>
      </c>
      <c r="D74" s="134">
        <f t="shared" si="18"/>
        <v>168000</v>
      </c>
      <c r="E74" s="134">
        <f t="shared" si="19"/>
        <v>168000</v>
      </c>
      <c r="F74" s="134">
        <v>0</v>
      </c>
      <c r="G74" s="134">
        <v>0</v>
      </c>
      <c r="H74" s="134">
        <v>168000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5">
        <v>0</v>
      </c>
      <c r="O74" s="135">
        <v>0</v>
      </c>
      <c r="P74" s="135">
        <v>0</v>
      </c>
      <c r="Q74" s="135">
        <v>0</v>
      </c>
    </row>
    <row r="75" spans="1:17" s="118" customFormat="1" ht="79.5" customHeight="1">
      <c r="A75" s="132"/>
      <c r="B75" s="132" t="s">
        <v>172</v>
      </c>
      <c r="C75" s="133" t="s">
        <v>363</v>
      </c>
      <c r="D75" s="134">
        <f t="shared" si="18"/>
        <v>5575000</v>
      </c>
      <c r="E75" s="134">
        <f t="shared" si="19"/>
        <v>5575000</v>
      </c>
      <c r="F75" s="134">
        <v>242409</v>
      </c>
      <c r="G75" s="134">
        <v>19191</v>
      </c>
      <c r="H75" s="134">
        <v>0</v>
      </c>
      <c r="I75" s="134">
        <v>5313400</v>
      </c>
      <c r="J75" s="134">
        <v>0</v>
      </c>
      <c r="K75" s="134">
        <v>0</v>
      </c>
      <c r="L75" s="134">
        <v>0</v>
      </c>
      <c r="M75" s="134">
        <v>0</v>
      </c>
      <c r="N75" s="135">
        <v>0</v>
      </c>
      <c r="O75" s="135">
        <v>0</v>
      </c>
      <c r="P75" s="135">
        <v>0</v>
      </c>
      <c r="Q75" s="135">
        <v>0</v>
      </c>
    </row>
    <row r="76" spans="1:17" s="118" customFormat="1" ht="115.5" customHeight="1">
      <c r="A76" s="132"/>
      <c r="B76" s="132" t="s">
        <v>174</v>
      </c>
      <c r="C76" s="133" t="s">
        <v>175</v>
      </c>
      <c r="D76" s="134">
        <f t="shared" si="18"/>
        <v>132200</v>
      </c>
      <c r="E76" s="134">
        <f t="shared" si="19"/>
        <v>132200</v>
      </c>
      <c r="F76" s="134">
        <f>103200+29000</f>
        <v>132200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5">
        <v>0</v>
      </c>
      <c r="O76" s="135">
        <v>0</v>
      </c>
      <c r="P76" s="135">
        <v>0</v>
      </c>
      <c r="Q76" s="135">
        <v>0</v>
      </c>
    </row>
    <row r="77" spans="1:17" s="118" customFormat="1" ht="46.5" customHeight="1">
      <c r="A77" s="132"/>
      <c r="B77" s="132" t="s">
        <v>177</v>
      </c>
      <c r="C77" s="133" t="s">
        <v>178</v>
      </c>
      <c r="D77" s="134">
        <f t="shared" si="18"/>
        <v>1349300</v>
      </c>
      <c r="E77" s="134">
        <f t="shared" si="19"/>
        <v>1349300</v>
      </c>
      <c r="F77" s="134">
        <v>1000</v>
      </c>
      <c r="G77" s="134">
        <v>30000</v>
      </c>
      <c r="H77" s="134">
        <v>0</v>
      </c>
      <c r="I77" s="134">
        <v>1318300</v>
      </c>
      <c r="J77" s="134">
        <v>0</v>
      </c>
      <c r="K77" s="134">
        <v>0</v>
      </c>
      <c r="L77" s="134">
        <v>0</v>
      </c>
      <c r="M77" s="134">
        <v>0</v>
      </c>
      <c r="N77" s="135">
        <v>0</v>
      </c>
      <c r="O77" s="135">
        <v>0</v>
      </c>
      <c r="P77" s="135">
        <v>0</v>
      </c>
      <c r="Q77" s="135">
        <v>0</v>
      </c>
    </row>
    <row r="78" spans="1:17" s="118" customFormat="1" ht="11.25">
      <c r="A78" s="132"/>
      <c r="B78" s="132" t="s">
        <v>364</v>
      </c>
      <c r="C78" s="133" t="s">
        <v>365</v>
      </c>
      <c r="D78" s="134">
        <f t="shared" si="18"/>
        <v>1032000</v>
      </c>
      <c r="E78" s="134">
        <f t="shared" si="19"/>
        <v>1032000</v>
      </c>
      <c r="F78" s="134">
        <v>0</v>
      </c>
      <c r="G78" s="134">
        <v>0</v>
      </c>
      <c r="H78" s="134">
        <v>0</v>
      </c>
      <c r="I78" s="134">
        <v>1032000</v>
      </c>
      <c r="J78" s="134">
        <v>0</v>
      </c>
      <c r="K78" s="134">
        <v>0</v>
      </c>
      <c r="L78" s="134">
        <v>0</v>
      </c>
      <c r="M78" s="134">
        <v>0</v>
      </c>
      <c r="N78" s="135">
        <v>0</v>
      </c>
      <c r="O78" s="135">
        <v>0</v>
      </c>
      <c r="P78" s="135">
        <v>0</v>
      </c>
      <c r="Q78" s="135">
        <v>0</v>
      </c>
    </row>
    <row r="79" spans="1:17" s="118" customFormat="1" ht="11.25">
      <c r="A79" s="132"/>
      <c r="B79" s="132" t="s">
        <v>179</v>
      </c>
      <c r="C79" s="133" t="s">
        <v>180</v>
      </c>
      <c r="D79" s="134">
        <f t="shared" si="18"/>
        <v>941600</v>
      </c>
      <c r="E79" s="134">
        <f t="shared" si="19"/>
        <v>941600</v>
      </c>
      <c r="F79" s="134">
        <v>0</v>
      </c>
      <c r="G79" s="134">
        <v>0</v>
      </c>
      <c r="H79" s="134">
        <v>0</v>
      </c>
      <c r="I79" s="134">
        <v>941600</v>
      </c>
      <c r="J79" s="134">
        <v>0</v>
      </c>
      <c r="K79" s="134">
        <v>0</v>
      </c>
      <c r="L79" s="134">
        <v>0</v>
      </c>
      <c r="M79" s="134">
        <v>0</v>
      </c>
      <c r="N79" s="135">
        <v>0</v>
      </c>
      <c r="O79" s="135">
        <v>0</v>
      </c>
      <c r="P79" s="135">
        <v>0</v>
      </c>
      <c r="Q79" s="135">
        <v>0</v>
      </c>
    </row>
    <row r="80" spans="1:17" s="118" customFormat="1" ht="23.25" customHeight="1">
      <c r="A80" s="132"/>
      <c r="B80" s="132" t="s">
        <v>182</v>
      </c>
      <c r="C80" s="133" t="s">
        <v>183</v>
      </c>
      <c r="D80" s="134">
        <f t="shared" si="18"/>
        <v>2005988</v>
      </c>
      <c r="E80" s="134">
        <f t="shared" si="19"/>
        <v>1976988</v>
      </c>
      <c r="F80" s="134">
        <v>1541721</v>
      </c>
      <c r="G80" s="134">
        <v>423867</v>
      </c>
      <c r="H80" s="134">
        <v>0</v>
      </c>
      <c r="I80" s="134">
        <v>11400</v>
      </c>
      <c r="J80" s="134">
        <v>0</v>
      </c>
      <c r="K80" s="134">
        <v>0</v>
      </c>
      <c r="L80" s="134">
        <v>0</v>
      </c>
      <c r="M80" s="134">
        <v>29000</v>
      </c>
      <c r="N80" s="135">
        <v>29000</v>
      </c>
      <c r="O80" s="135">
        <v>0</v>
      </c>
      <c r="P80" s="135">
        <v>0</v>
      </c>
      <c r="Q80" s="135">
        <v>0</v>
      </c>
    </row>
    <row r="81" spans="1:17" s="118" customFormat="1" ht="34.5" customHeight="1">
      <c r="A81" s="132"/>
      <c r="B81" s="132" t="s">
        <v>184</v>
      </c>
      <c r="C81" s="133" t="s">
        <v>185</v>
      </c>
      <c r="D81" s="134">
        <f t="shared" si="18"/>
        <v>915180</v>
      </c>
      <c r="E81" s="134">
        <f t="shared" si="19"/>
        <v>915180</v>
      </c>
      <c r="F81" s="134">
        <f>769147+70940</f>
        <v>840087</v>
      </c>
      <c r="G81" s="134">
        <f>59633+6060-826</f>
        <v>64867</v>
      </c>
      <c r="H81" s="134">
        <v>0</v>
      </c>
      <c r="I81" s="134">
        <f>9400+826</f>
        <v>10226</v>
      </c>
      <c r="J81" s="134">
        <v>0</v>
      </c>
      <c r="K81" s="134">
        <v>0</v>
      </c>
      <c r="L81" s="134">
        <v>0</v>
      </c>
      <c r="M81" s="134">
        <v>0</v>
      </c>
      <c r="N81" s="135">
        <v>0</v>
      </c>
      <c r="O81" s="135">
        <v>0</v>
      </c>
      <c r="P81" s="135">
        <v>0</v>
      </c>
      <c r="Q81" s="135">
        <v>0</v>
      </c>
    </row>
    <row r="82" spans="1:17" s="118" customFormat="1" ht="11.25">
      <c r="A82" s="132"/>
      <c r="B82" s="132" t="s">
        <v>186</v>
      </c>
      <c r="C82" s="133" t="s">
        <v>14</v>
      </c>
      <c r="D82" s="134">
        <f t="shared" si="18"/>
        <v>374000</v>
      </c>
      <c r="E82" s="134">
        <f t="shared" si="19"/>
        <v>374000</v>
      </c>
      <c r="F82" s="134">
        <v>0</v>
      </c>
      <c r="G82" s="134">
        <v>0</v>
      </c>
      <c r="H82" s="134">
        <v>0</v>
      </c>
      <c r="I82" s="134">
        <v>374000</v>
      </c>
      <c r="J82" s="134">
        <v>0</v>
      </c>
      <c r="K82" s="134">
        <v>0</v>
      </c>
      <c r="L82" s="134">
        <v>0</v>
      </c>
      <c r="M82" s="134">
        <v>0</v>
      </c>
      <c r="N82" s="135">
        <v>0</v>
      </c>
      <c r="O82" s="135">
        <v>0</v>
      </c>
      <c r="P82" s="135">
        <v>0</v>
      </c>
      <c r="Q82" s="135">
        <v>0</v>
      </c>
    </row>
    <row r="83" spans="1:17" s="131" customFormat="1" ht="33.75" customHeight="1">
      <c r="A83" s="136" t="s">
        <v>187</v>
      </c>
      <c r="B83" s="136"/>
      <c r="C83" s="137" t="s">
        <v>188</v>
      </c>
      <c r="D83" s="138">
        <f>D84+D85</f>
        <v>3276128</v>
      </c>
      <c r="E83" s="138">
        <f aca="true" t="shared" si="20" ref="E83:Q83">E84+E85</f>
        <v>2815728</v>
      </c>
      <c r="F83" s="138">
        <f t="shared" si="20"/>
        <v>1311896</v>
      </c>
      <c r="G83" s="138">
        <f t="shared" si="20"/>
        <v>421859</v>
      </c>
      <c r="H83" s="138">
        <f t="shared" si="20"/>
        <v>736000</v>
      </c>
      <c r="I83" s="138">
        <f t="shared" si="20"/>
        <v>4000</v>
      </c>
      <c r="J83" s="138">
        <f t="shared" si="20"/>
        <v>341973</v>
      </c>
      <c r="K83" s="138">
        <f t="shared" si="20"/>
        <v>0</v>
      </c>
      <c r="L83" s="138">
        <f t="shared" si="20"/>
        <v>0</v>
      </c>
      <c r="M83" s="138">
        <f t="shared" si="20"/>
        <v>460400</v>
      </c>
      <c r="N83" s="138">
        <f t="shared" si="20"/>
        <v>460400</v>
      </c>
      <c r="O83" s="138">
        <f t="shared" si="20"/>
        <v>450400</v>
      </c>
      <c r="P83" s="138">
        <f t="shared" si="20"/>
        <v>0</v>
      </c>
      <c r="Q83" s="138">
        <f t="shared" si="20"/>
        <v>0</v>
      </c>
    </row>
    <row r="84" spans="1:17" s="149" customFormat="1" ht="11.25">
      <c r="A84" s="145"/>
      <c r="B84" s="145" t="s">
        <v>189</v>
      </c>
      <c r="C84" s="146" t="s">
        <v>366</v>
      </c>
      <c r="D84" s="147">
        <f>E84+M84</f>
        <v>1754855</v>
      </c>
      <c r="E84" s="147">
        <f>SUM(F84:L84)</f>
        <v>1754855</v>
      </c>
      <c r="F84" s="147">
        <v>1311896</v>
      </c>
      <c r="G84" s="147">
        <v>402959</v>
      </c>
      <c r="H84" s="147">
        <v>36000</v>
      </c>
      <c r="I84" s="147">
        <v>4000</v>
      </c>
      <c r="J84" s="147">
        <v>0</v>
      </c>
      <c r="K84" s="147">
        <v>0</v>
      </c>
      <c r="L84" s="147">
        <v>0</v>
      </c>
      <c r="M84" s="147">
        <v>0</v>
      </c>
      <c r="N84" s="148">
        <v>0</v>
      </c>
      <c r="O84" s="148">
        <v>0</v>
      </c>
      <c r="P84" s="148">
        <v>0</v>
      </c>
      <c r="Q84" s="148">
        <v>0</v>
      </c>
    </row>
    <row r="85" spans="1:17" s="118" customFormat="1" ht="11.25">
      <c r="A85" s="132"/>
      <c r="B85" s="132" t="s">
        <v>191</v>
      </c>
      <c r="C85" s="133" t="s">
        <v>14</v>
      </c>
      <c r="D85" s="134">
        <f>E85+M85</f>
        <v>1521273</v>
      </c>
      <c r="E85" s="134">
        <f>SUM(F85:L85)</f>
        <v>1060873</v>
      </c>
      <c r="F85" s="134">
        <v>0</v>
      </c>
      <c r="G85" s="134">
        <v>18900</v>
      </c>
      <c r="H85" s="134">
        <v>700000</v>
      </c>
      <c r="I85" s="134">
        <v>0</v>
      </c>
      <c r="J85" s="134">
        <v>341973</v>
      </c>
      <c r="K85" s="134">
        <v>0</v>
      </c>
      <c r="L85" s="134">
        <v>0</v>
      </c>
      <c r="M85" s="134">
        <v>460400</v>
      </c>
      <c r="N85" s="135">
        <v>460400</v>
      </c>
      <c r="O85" s="135">
        <v>450400</v>
      </c>
      <c r="P85" s="135">
        <v>0</v>
      </c>
      <c r="Q85" s="135">
        <v>0</v>
      </c>
    </row>
    <row r="86" spans="1:17" s="131" customFormat="1" ht="23.25" customHeight="1">
      <c r="A86" s="136" t="s">
        <v>367</v>
      </c>
      <c r="B86" s="136"/>
      <c r="C86" s="137" t="s">
        <v>368</v>
      </c>
      <c r="D86" s="138">
        <f>D87+D88+D89+D90+D91</f>
        <v>1603904</v>
      </c>
      <c r="E86" s="138">
        <f aca="true" t="shared" si="21" ref="E86:Q86">E87+E88+E89+E90+E91</f>
        <v>1603904</v>
      </c>
      <c r="F86" s="138">
        <f t="shared" si="21"/>
        <v>1150173</v>
      </c>
      <c r="G86" s="138">
        <f t="shared" si="21"/>
        <v>332121</v>
      </c>
      <c r="H86" s="138">
        <f t="shared" si="21"/>
        <v>0</v>
      </c>
      <c r="I86" s="138">
        <f t="shared" si="21"/>
        <v>121610</v>
      </c>
      <c r="J86" s="138">
        <f t="shared" si="21"/>
        <v>0</v>
      </c>
      <c r="K86" s="138">
        <f t="shared" si="21"/>
        <v>0</v>
      </c>
      <c r="L86" s="138">
        <f t="shared" si="21"/>
        <v>0</v>
      </c>
      <c r="M86" s="138">
        <f t="shared" si="21"/>
        <v>0</v>
      </c>
      <c r="N86" s="138">
        <f t="shared" si="21"/>
        <v>0</v>
      </c>
      <c r="O86" s="138">
        <f t="shared" si="21"/>
        <v>0</v>
      </c>
      <c r="P86" s="138">
        <f t="shared" si="21"/>
        <v>0</v>
      </c>
      <c r="Q86" s="138">
        <f t="shared" si="21"/>
        <v>0</v>
      </c>
    </row>
    <row r="87" spans="1:17" s="118" customFormat="1" ht="11.25">
      <c r="A87" s="132"/>
      <c r="B87" s="132" t="s">
        <v>369</v>
      </c>
      <c r="C87" s="133" t="s">
        <v>370</v>
      </c>
      <c r="D87" s="134">
        <f>E87+M87</f>
        <v>695541</v>
      </c>
      <c r="E87" s="134">
        <f>SUM(F87:L87)</f>
        <v>695541</v>
      </c>
      <c r="F87" s="134">
        <v>591543</v>
      </c>
      <c r="G87" s="134">
        <v>103998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5">
        <v>0</v>
      </c>
      <c r="O87" s="135">
        <v>0</v>
      </c>
      <c r="P87" s="135">
        <v>0</v>
      </c>
      <c r="Q87" s="135">
        <v>0</v>
      </c>
    </row>
    <row r="88" spans="1:17" s="118" customFormat="1" ht="24.75" customHeight="1">
      <c r="A88" s="132"/>
      <c r="B88" s="132" t="s">
        <v>371</v>
      </c>
      <c r="C88" s="133" t="s">
        <v>372</v>
      </c>
      <c r="D88" s="134">
        <f>E88+M88</f>
        <v>739257</v>
      </c>
      <c r="E88" s="134">
        <f>SUM(F88:L88)</f>
        <v>739257</v>
      </c>
      <c r="F88" s="134">
        <v>535175</v>
      </c>
      <c r="G88" s="134">
        <v>201782</v>
      </c>
      <c r="H88" s="134">
        <v>0</v>
      </c>
      <c r="I88" s="134">
        <v>2300</v>
      </c>
      <c r="J88" s="134">
        <v>0</v>
      </c>
      <c r="K88" s="134">
        <v>0</v>
      </c>
      <c r="L88" s="134">
        <v>0</v>
      </c>
      <c r="M88" s="134">
        <v>0</v>
      </c>
      <c r="N88" s="135">
        <v>0</v>
      </c>
      <c r="O88" s="135">
        <v>0</v>
      </c>
      <c r="P88" s="135">
        <v>0</v>
      </c>
      <c r="Q88" s="135">
        <v>0</v>
      </c>
    </row>
    <row r="89" spans="1:17" s="118" customFormat="1" ht="23.25" customHeight="1">
      <c r="A89" s="132"/>
      <c r="B89" s="132" t="s">
        <v>373</v>
      </c>
      <c r="C89" s="133" t="s">
        <v>374</v>
      </c>
      <c r="D89" s="134">
        <f>E89+M89</f>
        <v>111000</v>
      </c>
      <c r="E89" s="134">
        <f>SUM(F89:L89)</f>
        <v>111000</v>
      </c>
      <c r="F89" s="134">
        <v>0</v>
      </c>
      <c r="G89" s="134">
        <v>0</v>
      </c>
      <c r="H89" s="134">
        <v>0</v>
      </c>
      <c r="I89" s="134">
        <v>111000</v>
      </c>
      <c r="J89" s="134">
        <v>0</v>
      </c>
      <c r="K89" s="134">
        <v>0</v>
      </c>
      <c r="L89" s="134">
        <v>0</v>
      </c>
      <c r="M89" s="134">
        <v>0</v>
      </c>
      <c r="N89" s="135">
        <v>0</v>
      </c>
      <c r="O89" s="135">
        <v>0</v>
      </c>
      <c r="P89" s="135">
        <v>0</v>
      </c>
      <c r="Q89" s="135">
        <v>0</v>
      </c>
    </row>
    <row r="90" spans="1:17" s="118" customFormat="1" ht="24.75" customHeight="1">
      <c r="A90" s="132"/>
      <c r="B90" s="132" t="s">
        <v>375</v>
      </c>
      <c r="C90" s="133" t="s">
        <v>349</v>
      </c>
      <c r="D90" s="134">
        <f>E90+M90</f>
        <v>6341</v>
      </c>
      <c r="E90" s="134">
        <f>SUM(F90:L90)</f>
        <v>6341</v>
      </c>
      <c r="F90" s="134">
        <v>0</v>
      </c>
      <c r="G90" s="134">
        <v>6341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5">
        <v>0</v>
      </c>
      <c r="O90" s="135">
        <v>0</v>
      </c>
      <c r="P90" s="135">
        <v>0</v>
      </c>
      <c r="Q90" s="135">
        <v>0</v>
      </c>
    </row>
    <row r="91" spans="1:17" s="118" customFormat="1" ht="11.25">
      <c r="A91" s="132"/>
      <c r="B91" s="132" t="s">
        <v>376</v>
      </c>
      <c r="C91" s="133" t="s">
        <v>14</v>
      </c>
      <c r="D91" s="134">
        <f>E91+M91</f>
        <v>51765</v>
      </c>
      <c r="E91" s="134">
        <f>SUM(F91:L91)</f>
        <v>51765</v>
      </c>
      <c r="F91" s="134">
        <v>23455</v>
      </c>
      <c r="G91" s="134">
        <v>20000</v>
      </c>
      <c r="H91" s="134">
        <v>0</v>
      </c>
      <c r="I91" s="134">
        <v>8310</v>
      </c>
      <c r="J91" s="134">
        <v>0</v>
      </c>
      <c r="K91" s="134">
        <v>0</v>
      </c>
      <c r="L91" s="134">
        <v>0</v>
      </c>
      <c r="M91" s="134">
        <v>0</v>
      </c>
      <c r="N91" s="135">
        <v>0</v>
      </c>
      <c r="O91" s="135">
        <v>0</v>
      </c>
      <c r="P91" s="135"/>
      <c r="Q91" s="135"/>
    </row>
    <row r="92" spans="1:17" s="131" customFormat="1" ht="33" customHeight="1">
      <c r="A92" s="136" t="s">
        <v>195</v>
      </c>
      <c r="B92" s="136"/>
      <c r="C92" s="137" t="s">
        <v>196</v>
      </c>
      <c r="D92" s="138">
        <f>SUM(D93,D94,D95,D96,D97,D98,D99,D100)</f>
        <v>19742443</v>
      </c>
      <c r="E92" s="138">
        <f aca="true" t="shared" si="22" ref="E92:Q92">SUM(E93,E94,E95,E96,E97,E98,E99,E100)</f>
        <v>12060043</v>
      </c>
      <c r="F92" s="138">
        <f t="shared" si="22"/>
        <v>31620</v>
      </c>
      <c r="G92" s="138">
        <f t="shared" si="22"/>
        <v>9244109</v>
      </c>
      <c r="H92" s="138">
        <f t="shared" si="22"/>
        <v>2784314</v>
      </c>
      <c r="I92" s="138">
        <f t="shared" si="22"/>
        <v>0</v>
      </c>
      <c r="J92" s="138">
        <f t="shared" si="22"/>
        <v>0</v>
      </c>
      <c r="K92" s="138">
        <f t="shared" si="22"/>
        <v>0</v>
      </c>
      <c r="L92" s="138">
        <f t="shared" si="22"/>
        <v>0</v>
      </c>
      <c r="M92" s="138">
        <f t="shared" si="22"/>
        <v>7682400</v>
      </c>
      <c r="N92" s="138">
        <f t="shared" si="22"/>
        <v>7182000</v>
      </c>
      <c r="O92" s="138">
        <f t="shared" si="22"/>
        <v>6960000</v>
      </c>
      <c r="P92" s="138">
        <f t="shared" si="22"/>
        <v>500400</v>
      </c>
      <c r="Q92" s="138">
        <f t="shared" si="22"/>
        <v>0</v>
      </c>
    </row>
    <row r="93" spans="1:17" s="143" customFormat="1" ht="11.25" hidden="1">
      <c r="A93" s="139"/>
      <c r="B93" s="139" t="s">
        <v>377</v>
      </c>
      <c r="C93" s="140" t="s">
        <v>378</v>
      </c>
      <c r="D93" s="141">
        <f aca="true" t="shared" si="23" ref="D93:D100">E93+M93</f>
        <v>0</v>
      </c>
      <c r="E93" s="141">
        <f>SUM(F93:L93)</f>
        <v>0</v>
      </c>
      <c r="F93" s="141"/>
      <c r="G93" s="141"/>
      <c r="H93" s="141"/>
      <c r="I93" s="141"/>
      <c r="J93" s="141"/>
      <c r="K93" s="141"/>
      <c r="L93" s="141"/>
      <c r="M93" s="141"/>
      <c r="N93" s="142"/>
      <c r="O93" s="144"/>
      <c r="P93" s="142"/>
      <c r="Q93" s="142"/>
    </row>
    <row r="94" spans="1:17" s="118" customFormat="1" ht="22.5">
      <c r="A94" s="132"/>
      <c r="B94" s="132" t="s">
        <v>379</v>
      </c>
      <c r="C94" s="133" t="s">
        <v>380</v>
      </c>
      <c r="D94" s="134">
        <f t="shared" si="23"/>
        <v>3735029</v>
      </c>
      <c r="E94" s="134">
        <f aca="true" t="shared" si="24" ref="E94:E100">SUM(F94:L94)</f>
        <v>3735029</v>
      </c>
      <c r="F94" s="134">
        <v>0</v>
      </c>
      <c r="G94" s="134">
        <v>3735029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5">
        <v>0</v>
      </c>
      <c r="O94" s="135">
        <v>0</v>
      </c>
      <c r="P94" s="135">
        <v>0</v>
      </c>
      <c r="Q94" s="135">
        <v>0</v>
      </c>
    </row>
    <row r="95" spans="1:17" s="118" customFormat="1" ht="23.25" customHeight="1">
      <c r="A95" s="132"/>
      <c r="B95" s="132" t="s">
        <v>197</v>
      </c>
      <c r="C95" s="133" t="s">
        <v>198</v>
      </c>
      <c r="D95" s="134">
        <f t="shared" si="23"/>
        <v>7139000</v>
      </c>
      <c r="E95" s="134">
        <f t="shared" si="24"/>
        <v>3639000</v>
      </c>
      <c r="F95" s="134">
        <v>31620</v>
      </c>
      <c r="G95" s="134">
        <v>3607380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3500000</v>
      </c>
      <c r="N95" s="135">
        <v>3500000</v>
      </c>
      <c r="O95" s="135">
        <v>3480000</v>
      </c>
      <c r="P95" s="135">
        <v>0</v>
      </c>
      <c r="Q95" s="135">
        <v>0</v>
      </c>
    </row>
    <row r="96" spans="1:17" s="118" customFormat="1" ht="11.25">
      <c r="A96" s="132"/>
      <c r="B96" s="132" t="s">
        <v>381</v>
      </c>
      <c r="C96" s="133" t="s">
        <v>382</v>
      </c>
      <c r="D96" s="134">
        <f t="shared" si="23"/>
        <v>370000</v>
      </c>
      <c r="E96" s="134">
        <f t="shared" si="24"/>
        <v>370000</v>
      </c>
      <c r="F96" s="134">
        <v>0</v>
      </c>
      <c r="G96" s="134">
        <v>30000</v>
      </c>
      <c r="H96" s="134">
        <v>340000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5">
        <v>0</v>
      </c>
      <c r="O96" s="135">
        <v>0</v>
      </c>
      <c r="P96" s="135">
        <v>0</v>
      </c>
      <c r="Q96" s="135">
        <v>0</v>
      </c>
    </row>
    <row r="97" spans="1:17" s="118" customFormat="1" ht="24.75" customHeight="1">
      <c r="A97" s="132"/>
      <c r="B97" s="132" t="s">
        <v>383</v>
      </c>
      <c r="C97" s="133" t="s">
        <v>384</v>
      </c>
      <c r="D97" s="134">
        <f t="shared" si="23"/>
        <v>1127000</v>
      </c>
      <c r="E97" s="134">
        <f t="shared" si="24"/>
        <v>1127000</v>
      </c>
      <c r="F97" s="134">
        <v>0</v>
      </c>
      <c r="G97" s="134">
        <v>1127000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5">
        <v>0</v>
      </c>
      <c r="O97" s="135">
        <v>0</v>
      </c>
      <c r="P97" s="135">
        <v>0</v>
      </c>
      <c r="Q97" s="135">
        <v>0</v>
      </c>
    </row>
    <row r="98" spans="1:17" s="118" customFormat="1" ht="54.75" customHeight="1">
      <c r="A98" s="132"/>
      <c r="B98" s="132" t="s">
        <v>204</v>
      </c>
      <c r="C98" s="133" t="s">
        <v>205</v>
      </c>
      <c r="D98" s="134">
        <f>E98+M98</f>
        <v>2394314</v>
      </c>
      <c r="E98" s="134">
        <f>SUM(F98:L98)</f>
        <v>2394314</v>
      </c>
      <c r="F98" s="134">
        <v>0</v>
      </c>
      <c r="G98" s="134">
        <v>0</v>
      </c>
      <c r="H98" s="134">
        <v>2394314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5">
        <v>0</v>
      </c>
      <c r="O98" s="135">
        <v>0</v>
      </c>
      <c r="P98" s="135">
        <v>0</v>
      </c>
      <c r="Q98" s="135"/>
    </row>
    <row r="99" spans="1:17" s="118" customFormat="1" ht="45" customHeight="1">
      <c r="A99" s="132"/>
      <c r="B99" s="132" t="s">
        <v>208</v>
      </c>
      <c r="C99" s="133" t="s">
        <v>209</v>
      </c>
      <c r="D99" s="134">
        <f t="shared" si="23"/>
        <v>16000</v>
      </c>
      <c r="E99" s="134">
        <f t="shared" si="24"/>
        <v>16000</v>
      </c>
      <c r="F99" s="134">
        <v>0</v>
      </c>
      <c r="G99" s="134">
        <v>16000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5">
        <v>0</v>
      </c>
      <c r="O99" s="135">
        <v>0</v>
      </c>
      <c r="P99" s="135">
        <v>0</v>
      </c>
      <c r="Q99" s="135">
        <v>0</v>
      </c>
    </row>
    <row r="100" spans="1:17" s="118" customFormat="1" ht="11.25">
      <c r="A100" s="132"/>
      <c r="B100" s="132" t="s">
        <v>212</v>
      </c>
      <c r="C100" s="133" t="s">
        <v>14</v>
      </c>
      <c r="D100" s="134">
        <f t="shared" si="23"/>
        <v>4961100</v>
      </c>
      <c r="E100" s="134">
        <f t="shared" si="24"/>
        <v>778700</v>
      </c>
      <c r="F100" s="134">
        <v>0</v>
      </c>
      <c r="G100" s="134">
        <v>728700</v>
      </c>
      <c r="H100" s="134">
        <v>50000</v>
      </c>
      <c r="I100" s="134">
        <v>0</v>
      </c>
      <c r="J100" s="134">
        <v>0</v>
      </c>
      <c r="K100" s="134">
        <v>0</v>
      </c>
      <c r="L100" s="134">
        <v>0</v>
      </c>
      <c r="M100" s="134">
        <v>4182400</v>
      </c>
      <c r="N100" s="135">
        <v>3682000</v>
      </c>
      <c r="O100" s="135">
        <v>3480000</v>
      </c>
      <c r="P100" s="135">
        <v>500400</v>
      </c>
      <c r="Q100" s="135">
        <v>0</v>
      </c>
    </row>
    <row r="101" spans="1:17" s="131" customFormat="1" ht="33.75" customHeight="1">
      <c r="A101" s="136" t="s">
        <v>213</v>
      </c>
      <c r="B101" s="136"/>
      <c r="C101" s="137" t="s">
        <v>214</v>
      </c>
      <c r="D101" s="138">
        <f>D102+D103+D104+D105+D106</f>
        <v>5046240</v>
      </c>
      <c r="E101" s="138">
        <f aca="true" t="shared" si="25" ref="E101:Q101">E102+E103+E104+E105+E106</f>
        <v>4711240</v>
      </c>
      <c r="F101" s="138">
        <f t="shared" si="25"/>
        <v>0</v>
      </c>
      <c r="G101" s="138">
        <f t="shared" si="25"/>
        <v>1621000</v>
      </c>
      <c r="H101" s="138">
        <f t="shared" si="25"/>
        <v>3084240</v>
      </c>
      <c r="I101" s="138">
        <f t="shared" si="25"/>
        <v>6000</v>
      </c>
      <c r="J101" s="138">
        <f t="shared" si="25"/>
        <v>0</v>
      </c>
      <c r="K101" s="138">
        <f t="shared" si="25"/>
        <v>0</v>
      </c>
      <c r="L101" s="138">
        <f t="shared" si="25"/>
        <v>0</v>
      </c>
      <c r="M101" s="138">
        <f t="shared" si="25"/>
        <v>335000</v>
      </c>
      <c r="N101" s="138">
        <f t="shared" si="25"/>
        <v>335000</v>
      </c>
      <c r="O101" s="138">
        <f t="shared" si="25"/>
        <v>0</v>
      </c>
      <c r="P101" s="138">
        <f t="shared" si="25"/>
        <v>0</v>
      </c>
      <c r="Q101" s="138">
        <f t="shared" si="25"/>
        <v>0</v>
      </c>
    </row>
    <row r="102" spans="1:17" s="118" customFormat="1" ht="21.75" customHeight="1">
      <c r="A102" s="132"/>
      <c r="B102" s="132" t="s">
        <v>385</v>
      </c>
      <c r="C102" s="133" t="s">
        <v>386</v>
      </c>
      <c r="D102" s="134">
        <f>E102+M102</f>
        <v>1450000</v>
      </c>
      <c r="E102" s="134">
        <f>SUM(F102:L102)</f>
        <v>1420000</v>
      </c>
      <c r="F102" s="134">
        <v>0</v>
      </c>
      <c r="G102" s="134">
        <v>0</v>
      </c>
      <c r="H102" s="134">
        <v>1420000</v>
      </c>
      <c r="I102" s="134">
        <v>0</v>
      </c>
      <c r="J102" s="134">
        <v>0</v>
      </c>
      <c r="K102" s="134">
        <v>0</v>
      </c>
      <c r="L102" s="134">
        <v>0</v>
      </c>
      <c r="M102" s="134">
        <v>30000</v>
      </c>
      <c r="N102" s="135">
        <v>30000</v>
      </c>
      <c r="O102" s="135">
        <v>0</v>
      </c>
      <c r="P102" s="135">
        <v>0</v>
      </c>
      <c r="Q102" s="135">
        <v>0</v>
      </c>
    </row>
    <row r="103" spans="1:17" s="118" customFormat="1" ht="11.25">
      <c r="A103" s="132"/>
      <c r="B103" s="132" t="s">
        <v>387</v>
      </c>
      <c r="C103" s="133" t="s">
        <v>388</v>
      </c>
      <c r="D103" s="134">
        <f>E103+M103</f>
        <v>1242000</v>
      </c>
      <c r="E103" s="134">
        <f>SUM(F103:L103)</f>
        <v>1180000</v>
      </c>
      <c r="F103" s="134">
        <v>0</v>
      </c>
      <c r="G103" s="134">
        <v>0</v>
      </c>
      <c r="H103" s="134">
        <v>1180000</v>
      </c>
      <c r="I103" s="134">
        <v>0</v>
      </c>
      <c r="J103" s="134">
        <v>0</v>
      </c>
      <c r="K103" s="134">
        <v>0</v>
      </c>
      <c r="L103" s="134">
        <v>0</v>
      </c>
      <c r="M103" s="134">
        <v>62000</v>
      </c>
      <c r="N103" s="135">
        <v>62000</v>
      </c>
      <c r="O103" s="135">
        <v>0</v>
      </c>
      <c r="P103" s="135">
        <v>0</v>
      </c>
      <c r="Q103" s="135">
        <v>0</v>
      </c>
    </row>
    <row r="104" spans="1:17" s="118" customFormat="1" ht="11.25">
      <c r="A104" s="132"/>
      <c r="B104" s="132" t="s">
        <v>389</v>
      </c>
      <c r="C104" s="133" t="s">
        <v>390</v>
      </c>
      <c r="D104" s="134">
        <f>E104+M104</f>
        <v>643000</v>
      </c>
      <c r="E104" s="134">
        <f>SUM(F104:L104)</f>
        <v>400000</v>
      </c>
      <c r="F104" s="134">
        <v>0</v>
      </c>
      <c r="G104" s="134">
        <v>0</v>
      </c>
      <c r="H104" s="134">
        <v>400000</v>
      </c>
      <c r="I104" s="134">
        <v>0</v>
      </c>
      <c r="J104" s="134">
        <v>0</v>
      </c>
      <c r="K104" s="134">
        <v>0</v>
      </c>
      <c r="L104" s="134">
        <v>0</v>
      </c>
      <c r="M104" s="134">
        <v>243000</v>
      </c>
      <c r="N104" s="135">
        <v>243000</v>
      </c>
      <c r="O104" s="135">
        <v>0</v>
      </c>
      <c r="P104" s="135">
        <v>0</v>
      </c>
      <c r="Q104" s="135">
        <v>0</v>
      </c>
    </row>
    <row r="105" spans="1:17" s="143" customFormat="1" ht="12.75" customHeight="1" hidden="1">
      <c r="A105" s="139"/>
      <c r="B105" s="139" t="s">
        <v>215</v>
      </c>
      <c r="C105" s="140" t="s">
        <v>216</v>
      </c>
      <c r="D105" s="141">
        <f>E105+M105</f>
        <v>0</v>
      </c>
      <c r="E105" s="141">
        <f>SUM(F105:L105)</f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2">
        <v>0</v>
      </c>
      <c r="O105" s="144">
        <v>0</v>
      </c>
      <c r="P105" s="142">
        <v>0</v>
      </c>
      <c r="Q105" s="142">
        <v>0</v>
      </c>
    </row>
    <row r="106" spans="1:17" s="118" customFormat="1" ht="11.25">
      <c r="A106" s="132"/>
      <c r="B106" s="132" t="s">
        <v>391</v>
      </c>
      <c r="C106" s="133" t="s">
        <v>14</v>
      </c>
      <c r="D106" s="134">
        <f>E106+M106</f>
        <v>1711240</v>
      </c>
      <c r="E106" s="134">
        <f>SUM(F106:L106)</f>
        <v>1711240</v>
      </c>
      <c r="F106" s="134">
        <v>0</v>
      </c>
      <c r="G106" s="134">
        <v>1621000</v>
      </c>
      <c r="H106" s="134">
        <v>84240</v>
      </c>
      <c r="I106" s="134">
        <v>6000</v>
      </c>
      <c r="J106" s="134">
        <v>0</v>
      </c>
      <c r="K106" s="134">
        <v>0</v>
      </c>
      <c r="L106" s="134">
        <v>0</v>
      </c>
      <c r="M106" s="134">
        <v>0</v>
      </c>
      <c r="N106" s="135">
        <v>0</v>
      </c>
      <c r="O106" s="135">
        <v>0</v>
      </c>
      <c r="P106" s="135">
        <v>0</v>
      </c>
      <c r="Q106" s="135">
        <v>0</v>
      </c>
    </row>
    <row r="107" spans="1:17" s="131" customFormat="1" ht="22.5">
      <c r="A107" s="136" t="s">
        <v>217</v>
      </c>
      <c r="B107" s="136"/>
      <c r="C107" s="137" t="s">
        <v>218</v>
      </c>
      <c r="D107" s="138">
        <f>D108+D109</f>
        <v>10886500</v>
      </c>
      <c r="E107" s="138">
        <f aca="true" t="shared" si="26" ref="E107:Q107">E108+E109</f>
        <v>3706500</v>
      </c>
      <c r="F107" s="138">
        <f t="shared" si="26"/>
        <v>3100</v>
      </c>
      <c r="G107" s="138">
        <f t="shared" si="26"/>
        <v>300000</v>
      </c>
      <c r="H107" s="138">
        <f t="shared" si="26"/>
        <v>2056500</v>
      </c>
      <c r="I107" s="138">
        <f t="shared" si="26"/>
        <v>1346900</v>
      </c>
      <c r="J107" s="138">
        <f t="shared" si="26"/>
        <v>0</v>
      </c>
      <c r="K107" s="138">
        <f t="shared" si="26"/>
        <v>0</v>
      </c>
      <c r="L107" s="138">
        <f t="shared" si="26"/>
        <v>0</v>
      </c>
      <c r="M107" s="138">
        <f t="shared" si="26"/>
        <v>7180000</v>
      </c>
      <c r="N107" s="138">
        <f t="shared" si="26"/>
        <v>7180000</v>
      </c>
      <c r="O107" s="138">
        <f t="shared" si="26"/>
        <v>0</v>
      </c>
      <c r="P107" s="138">
        <f t="shared" si="26"/>
        <v>0</v>
      </c>
      <c r="Q107" s="138">
        <f t="shared" si="26"/>
        <v>0</v>
      </c>
    </row>
    <row r="108" spans="1:17" s="118" customFormat="1" ht="11.25">
      <c r="A108" s="132"/>
      <c r="B108" s="132" t="s">
        <v>219</v>
      </c>
      <c r="C108" s="133" t="s">
        <v>220</v>
      </c>
      <c r="D108" s="134">
        <f>E108+M108</f>
        <v>6700000</v>
      </c>
      <c r="E108" s="134">
        <f>SUM(F108:L108)</f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6700000</v>
      </c>
      <c r="N108" s="135">
        <v>6700000</v>
      </c>
      <c r="O108" s="135">
        <v>0</v>
      </c>
      <c r="P108" s="135">
        <v>0</v>
      </c>
      <c r="Q108" s="135">
        <v>0</v>
      </c>
    </row>
    <row r="109" spans="1:17" s="118" customFormat="1" ht="22.5">
      <c r="A109" s="132"/>
      <c r="B109" s="132" t="s">
        <v>392</v>
      </c>
      <c r="C109" s="133" t="s">
        <v>393</v>
      </c>
      <c r="D109" s="134">
        <f>E109+M109</f>
        <v>4186500</v>
      </c>
      <c r="E109" s="134">
        <f>SUM(F109:L109)</f>
        <v>3706500</v>
      </c>
      <c r="F109" s="147">
        <v>3100</v>
      </c>
      <c r="G109" s="134">
        <v>300000</v>
      </c>
      <c r="H109" s="134">
        <f>900000+1156500</f>
        <v>2056500</v>
      </c>
      <c r="I109" s="134">
        <f>1350000-3100</f>
        <v>1346900</v>
      </c>
      <c r="J109" s="134">
        <v>0</v>
      </c>
      <c r="K109" s="134">
        <v>0</v>
      </c>
      <c r="L109" s="134">
        <v>0</v>
      </c>
      <c r="M109" s="134">
        <v>480000</v>
      </c>
      <c r="N109" s="135">
        <v>480000</v>
      </c>
      <c r="O109" s="135">
        <v>0</v>
      </c>
      <c r="P109" s="135">
        <v>0</v>
      </c>
      <c r="Q109" s="135">
        <v>0</v>
      </c>
    </row>
    <row r="110" spans="1:17" s="118" customFormat="1" ht="11.25">
      <c r="A110" s="367" t="s">
        <v>394</v>
      </c>
      <c r="B110" s="367"/>
      <c r="C110" s="367"/>
      <c r="D110" s="150">
        <f>SUM(D107,D101,D92,D86,D83,D71,D65,D55,D52,D50,D43,D35,D31,D27,D24,D20,D18,D16,D14,D10)+D41</f>
        <v>140778947</v>
      </c>
      <c r="E110" s="150">
        <f>SUM(E107,E101,E92,E86,E83,E71,E65,E55,E52,E50,E43,E35,E31,E27,E24,E20,E18,E16,E14,E10)+E41</f>
        <v>106586782</v>
      </c>
      <c r="F110" s="150">
        <f aca="true" t="shared" si="27" ref="F110:Q110">SUM(F107,F101,F92,F86,F83,F71,F65,F55,F52,F50,F43,F35,F31,F27,F24,F20,F18,F16,F14,F10)+F41</f>
        <v>43605723</v>
      </c>
      <c r="G110" s="150">
        <f t="shared" si="27"/>
        <v>36530896</v>
      </c>
      <c r="H110" s="150">
        <f t="shared" si="27"/>
        <v>11983975</v>
      </c>
      <c r="I110" s="150">
        <f t="shared" si="27"/>
        <v>11124215</v>
      </c>
      <c r="J110" s="150">
        <f t="shared" si="27"/>
        <v>341973</v>
      </c>
      <c r="K110" s="150">
        <f t="shared" si="27"/>
        <v>0</v>
      </c>
      <c r="L110" s="150">
        <f t="shared" si="27"/>
        <v>3000000</v>
      </c>
      <c r="M110" s="150">
        <f t="shared" si="27"/>
        <v>34192165</v>
      </c>
      <c r="N110" s="150">
        <f t="shared" si="27"/>
        <v>33641765</v>
      </c>
      <c r="O110" s="150">
        <f t="shared" si="27"/>
        <v>15049350</v>
      </c>
      <c r="P110" s="150">
        <f t="shared" si="27"/>
        <v>550400</v>
      </c>
      <c r="Q110" s="150">
        <f t="shared" si="27"/>
        <v>0</v>
      </c>
    </row>
    <row r="111" spans="1:17" s="118" customFormat="1" ht="11.25" customHeight="1">
      <c r="A111" s="368" t="s">
        <v>395</v>
      </c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</row>
    <row r="112" spans="1:17" s="131" customFormat="1" ht="22.5">
      <c r="A112" s="136" t="s">
        <v>23</v>
      </c>
      <c r="B112" s="136"/>
      <c r="C112" s="137" t="s">
        <v>24</v>
      </c>
      <c r="D112" s="138">
        <f>D114+D113</f>
        <v>78471559</v>
      </c>
      <c r="E112" s="138">
        <f aca="true" t="shared" si="28" ref="E112:Q112">E114+E113</f>
        <v>29238000</v>
      </c>
      <c r="F112" s="138">
        <f t="shared" si="28"/>
        <v>11607910</v>
      </c>
      <c r="G112" s="138">
        <f t="shared" si="28"/>
        <v>17016370</v>
      </c>
      <c r="H112" s="138">
        <f t="shared" si="28"/>
        <v>0</v>
      </c>
      <c r="I112" s="138">
        <f t="shared" si="28"/>
        <v>613720</v>
      </c>
      <c r="J112" s="138">
        <f t="shared" si="28"/>
        <v>0</v>
      </c>
      <c r="K112" s="138">
        <f t="shared" si="28"/>
        <v>0</v>
      </c>
      <c r="L112" s="138">
        <f t="shared" si="28"/>
        <v>0</v>
      </c>
      <c r="M112" s="138">
        <f t="shared" si="28"/>
        <v>49233559</v>
      </c>
      <c r="N112" s="138">
        <f t="shared" si="28"/>
        <v>49233559</v>
      </c>
      <c r="O112" s="138">
        <f t="shared" si="28"/>
        <v>8793302</v>
      </c>
      <c r="P112" s="138">
        <f t="shared" si="28"/>
        <v>0</v>
      </c>
      <c r="Q112" s="138">
        <f t="shared" si="28"/>
        <v>0</v>
      </c>
    </row>
    <row r="113" spans="1:17" s="143" customFormat="1" ht="11.25" hidden="1">
      <c r="A113" s="139"/>
      <c r="B113" s="139" t="s">
        <v>225</v>
      </c>
      <c r="C113" s="140" t="s">
        <v>226</v>
      </c>
      <c r="D113" s="141">
        <f>E113+M113</f>
        <v>0</v>
      </c>
      <c r="E113" s="141">
        <f>SUM(F113:L113)</f>
        <v>0</v>
      </c>
      <c r="F113" s="151">
        <v>0</v>
      </c>
      <c r="G113" s="141">
        <v>0</v>
      </c>
      <c r="H113" s="141">
        <v>0</v>
      </c>
      <c r="I113" s="141">
        <v>0</v>
      </c>
      <c r="J113" s="151">
        <v>0</v>
      </c>
      <c r="K113" s="151">
        <v>0</v>
      </c>
      <c r="L113" s="141">
        <v>0</v>
      </c>
      <c r="M113" s="141">
        <v>0</v>
      </c>
      <c r="N113" s="142"/>
      <c r="O113" s="144"/>
      <c r="P113" s="142"/>
      <c r="Q113" s="142"/>
    </row>
    <row r="114" spans="1:17" s="118" customFormat="1" ht="34.5" customHeight="1">
      <c r="A114" s="132"/>
      <c r="B114" s="132" t="s">
        <v>227</v>
      </c>
      <c r="C114" s="133" t="s">
        <v>396</v>
      </c>
      <c r="D114" s="134">
        <f>E114+M114</f>
        <v>78471559</v>
      </c>
      <c r="E114" s="134">
        <f>SUM(F114:L114)</f>
        <v>29238000</v>
      </c>
      <c r="F114" s="134">
        <v>11607910</v>
      </c>
      <c r="G114" s="134">
        <v>17016370</v>
      </c>
      <c r="H114" s="134">
        <v>0</v>
      </c>
      <c r="I114" s="134">
        <v>613720</v>
      </c>
      <c r="J114" s="134">
        <v>0</v>
      </c>
      <c r="K114" s="134">
        <v>0</v>
      </c>
      <c r="L114" s="134">
        <v>0</v>
      </c>
      <c r="M114" s="134">
        <f>49343559-110000</f>
        <v>49233559</v>
      </c>
      <c r="N114" s="135">
        <f>49343559-110000</f>
        <v>49233559</v>
      </c>
      <c r="O114" s="135">
        <v>8793302</v>
      </c>
      <c r="P114" s="135">
        <v>0</v>
      </c>
      <c r="Q114" s="135"/>
    </row>
    <row r="115" spans="1:17" s="131" customFormat="1" ht="22.5">
      <c r="A115" s="136" t="s">
        <v>45</v>
      </c>
      <c r="B115" s="136"/>
      <c r="C115" s="137" t="s">
        <v>46</v>
      </c>
      <c r="D115" s="138">
        <f>D116</f>
        <v>57000</v>
      </c>
      <c r="E115" s="138">
        <f aca="true" t="shared" si="29" ref="E115:Q115">E116</f>
        <v>52000</v>
      </c>
      <c r="F115" s="138">
        <f t="shared" si="29"/>
        <v>0</v>
      </c>
      <c r="G115" s="138">
        <f t="shared" si="29"/>
        <v>52000</v>
      </c>
      <c r="H115" s="138">
        <f t="shared" si="29"/>
        <v>0</v>
      </c>
      <c r="I115" s="138">
        <f t="shared" si="29"/>
        <v>0</v>
      </c>
      <c r="J115" s="138">
        <f t="shared" si="29"/>
        <v>0</v>
      </c>
      <c r="K115" s="138">
        <f t="shared" si="29"/>
        <v>0</v>
      </c>
      <c r="L115" s="138">
        <f t="shared" si="29"/>
        <v>0</v>
      </c>
      <c r="M115" s="138">
        <f t="shared" si="29"/>
        <v>5000</v>
      </c>
      <c r="N115" s="138">
        <f t="shared" si="29"/>
        <v>5000</v>
      </c>
      <c r="O115" s="138">
        <f t="shared" si="29"/>
        <v>0</v>
      </c>
      <c r="P115" s="138">
        <f t="shared" si="29"/>
        <v>0</v>
      </c>
      <c r="Q115" s="138">
        <f t="shared" si="29"/>
        <v>0</v>
      </c>
    </row>
    <row r="116" spans="1:17" s="118" customFormat="1" ht="24" customHeight="1">
      <c r="A116" s="132"/>
      <c r="B116" s="132" t="s">
        <v>47</v>
      </c>
      <c r="C116" s="133" t="s">
        <v>48</v>
      </c>
      <c r="D116" s="134">
        <f>E116+M116</f>
        <v>57000</v>
      </c>
      <c r="E116" s="134">
        <f>SUM(F116:L116)</f>
        <v>52000</v>
      </c>
      <c r="F116" s="134">
        <v>0</v>
      </c>
      <c r="G116" s="134">
        <f>10000+42000</f>
        <v>52000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5000</v>
      </c>
      <c r="N116" s="135">
        <v>5000</v>
      </c>
      <c r="O116" s="135">
        <v>0</v>
      </c>
      <c r="P116" s="135">
        <v>0</v>
      </c>
      <c r="Q116" s="135">
        <v>0</v>
      </c>
    </row>
    <row r="117" spans="1:17" s="131" customFormat="1" ht="22.5">
      <c r="A117" s="136" t="s">
        <v>60</v>
      </c>
      <c r="B117" s="136"/>
      <c r="C117" s="137" t="s">
        <v>61</v>
      </c>
      <c r="D117" s="138">
        <f>D118+D119+D120+D121</f>
        <v>770000</v>
      </c>
      <c r="E117" s="138">
        <f aca="true" t="shared" si="30" ref="E117:Q117">E118+E119+E120+E121</f>
        <v>751000</v>
      </c>
      <c r="F117" s="138">
        <f t="shared" si="30"/>
        <v>358882</v>
      </c>
      <c r="G117" s="138">
        <f t="shared" si="30"/>
        <v>392118</v>
      </c>
      <c r="H117" s="138">
        <f t="shared" si="30"/>
        <v>0</v>
      </c>
      <c r="I117" s="138">
        <f t="shared" si="30"/>
        <v>0</v>
      </c>
      <c r="J117" s="138">
        <f t="shared" si="30"/>
        <v>0</v>
      </c>
      <c r="K117" s="138">
        <f t="shared" si="30"/>
        <v>0</v>
      </c>
      <c r="L117" s="138">
        <f t="shared" si="30"/>
        <v>0</v>
      </c>
      <c r="M117" s="138">
        <f t="shared" si="30"/>
        <v>19000</v>
      </c>
      <c r="N117" s="138">
        <f t="shared" si="30"/>
        <v>19000</v>
      </c>
      <c r="O117" s="138">
        <f t="shared" si="30"/>
        <v>0</v>
      </c>
      <c r="P117" s="138">
        <f t="shared" si="30"/>
        <v>0</v>
      </c>
      <c r="Q117" s="138">
        <f t="shared" si="30"/>
        <v>0</v>
      </c>
    </row>
    <row r="118" spans="1:17" s="118" customFormat="1" ht="36" customHeight="1">
      <c r="A118" s="132"/>
      <c r="B118" s="132" t="s">
        <v>234</v>
      </c>
      <c r="C118" s="133" t="s">
        <v>235</v>
      </c>
      <c r="D118" s="134">
        <f>E118+M118</f>
        <v>57000</v>
      </c>
      <c r="E118" s="134">
        <f>SUM(F118:L118)</f>
        <v>57000</v>
      </c>
      <c r="F118" s="134">
        <v>0</v>
      </c>
      <c r="G118" s="134">
        <v>57000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5">
        <v>0</v>
      </c>
      <c r="O118" s="135">
        <v>0</v>
      </c>
      <c r="P118" s="135">
        <v>0</v>
      </c>
      <c r="Q118" s="135">
        <v>0</v>
      </c>
    </row>
    <row r="119" spans="1:17" s="118" customFormat="1" ht="22.5" customHeight="1">
      <c r="A119" s="132"/>
      <c r="B119" s="132" t="s">
        <v>237</v>
      </c>
      <c r="C119" s="133" t="s">
        <v>238</v>
      </c>
      <c r="D119" s="134">
        <f>E119+M119</f>
        <v>315000</v>
      </c>
      <c r="E119" s="134">
        <f>SUM(F119:L119)</f>
        <v>307000</v>
      </c>
      <c r="F119" s="134">
        <v>19300</v>
      </c>
      <c r="G119" s="134">
        <v>287700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8000</v>
      </c>
      <c r="N119" s="135">
        <v>8000</v>
      </c>
      <c r="O119" s="135">
        <v>0</v>
      </c>
      <c r="P119" s="135">
        <v>0</v>
      </c>
      <c r="Q119" s="135">
        <v>0</v>
      </c>
    </row>
    <row r="120" spans="1:17" s="118" customFormat="1" ht="11.25">
      <c r="A120" s="132"/>
      <c r="B120" s="132" t="s">
        <v>240</v>
      </c>
      <c r="C120" s="133" t="s">
        <v>241</v>
      </c>
      <c r="D120" s="134">
        <f>E120+M120</f>
        <v>398000</v>
      </c>
      <c r="E120" s="134">
        <f>SUM(F120:L120)</f>
        <v>387000</v>
      </c>
      <c r="F120" s="134">
        <v>339582</v>
      </c>
      <c r="G120" s="134">
        <v>47418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11000</v>
      </c>
      <c r="N120" s="135">
        <v>11000</v>
      </c>
      <c r="O120" s="135">
        <v>0</v>
      </c>
      <c r="P120" s="135">
        <v>0</v>
      </c>
      <c r="Q120" s="135">
        <v>0</v>
      </c>
    </row>
    <row r="121" spans="1:17" s="143" customFormat="1" ht="11.25" hidden="1">
      <c r="A121" s="139"/>
      <c r="B121" s="139" t="s">
        <v>244</v>
      </c>
      <c r="C121" s="140" t="s">
        <v>14</v>
      </c>
      <c r="D121" s="141">
        <f>E121+M121</f>
        <v>0</v>
      </c>
      <c r="E121" s="141">
        <f>SUM(F121:L121)</f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2">
        <v>0</v>
      </c>
      <c r="O121" s="144">
        <v>0</v>
      </c>
      <c r="P121" s="142">
        <v>0</v>
      </c>
      <c r="Q121" s="142">
        <v>0</v>
      </c>
    </row>
    <row r="122" spans="1:17" s="131" customFormat="1" ht="13.5" customHeight="1">
      <c r="A122" s="136" t="s">
        <v>66</v>
      </c>
      <c r="B122" s="136"/>
      <c r="C122" s="137" t="s">
        <v>67</v>
      </c>
      <c r="D122" s="138">
        <f>D124+D123+D125</f>
        <v>2130985</v>
      </c>
      <c r="E122" s="138">
        <f aca="true" t="shared" si="31" ref="E122:Q122">E124+E123+E125</f>
        <v>2130985</v>
      </c>
      <c r="F122" s="138">
        <f t="shared" si="31"/>
        <v>1742803</v>
      </c>
      <c r="G122" s="138">
        <f t="shared" si="31"/>
        <v>388182</v>
      </c>
      <c r="H122" s="138">
        <f t="shared" si="31"/>
        <v>0</v>
      </c>
      <c r="I122" s="138">
        <f t="shared" si="31"/>
        <v>0</v>
      </c>
      <c r="J122" s="138">
        <f t="shared" si="31"/>
        <v>0</v>
      </c>
      <c r="K122" s="138">
        <f t="shared" si="31"/>
        <v>0</v>
      </c>
      <c r="L122" s="138">
        <f t="shared" si="31"/>
        <v>0</v>
      </c>
      <c r="M122" s="138">
        <f t="shared" si="31"/>
        <v>0</v>
      </c>
      <c r="N122" s="138">
        <f t="shared" si="31"/>
        <v>0</v>
      </c>
      <c r="O122" s="138">
        <f t="shared" si="31"/>
        <v>0</v>
      </c>
      <c r="P122" s="138">
        <f t="shared" si="31"/>
        <v>0</v>
      </c>
      <c r="Q122" s="138">
        <f t="shared" si="31"/>
        <v>0</v>
      </c>
    </row>
    <row r="123" spans="1:17" s="118" customFormat="1" ht="11.25">
      <c r="A123" s="132"/>
      <c r="B123" s="132" t="s">
        <v>68</v>
      </c>
      <c r="C123" s="133" t="s">
        <v>69</v>
      </c>
      <c r="D123" s="134">
        <f>E123+M123</f>
        <v>82900</v>
      </c>
      <c r="E123" s="134">
        <f>SUM(F123:L123)</f>
        <v>82900</v>
      </c>
      <c r="F123" s="134">
        <v>82900</v>
      </c>
      <c r="G123" s="134">
        <v>0</v>
      </c>
      <c r="H123" s="134">
        <v>0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5">
        <v>0</v>
      </c>
      <c r="O123" s="135">
        <v>0</v>
      </c>
      <c r="P123" s="135">
        <v>0</v>
      </c>
      <c r="Q123" s="135">
        <v>0</v>
      </c>
    </row>
    <row r="124" spans="1:17" s="118" customFormat="1" ht="11.25">
      <c r="A124" s="132"/>
      <c r="B124" s="132" t="s">
        <v>245</v>
      </c>
      <c r="C124" s="133" t="s">
        <v>246</v>
      </c>
      <c r="D124" s="134">
        <f>E124+M124</f>
        <v>2026585</v>
      </c>
      <c r="E124" s="134">
        <f>SUM(F124:L124)</f>
        <v>2026585</v>
      </c>
      <c r="F124" s="134">
        <v>1650925</v>
      </c>
      <c r="G124" s="134">
        <v>375660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5">
        <v>0</v>
      </c>
      <c r="O124" s="135">
        <v>0</v>
      </c>
      <c r="P124" s="135">
        <v>0</v>
      </c>
      <c r="Q124" s="135">
        <v>0</v>
      </c>
    </row>
    <row r="125" spans="1:17" s="118" customFormat="1" ht="11.25">
      <c r="A125" s="132"/>
      <c r="B125" s="132" t="s">
        <v>247</v>
      </c>
      <c r="C125" s="133" t="s">
        <v>248</v>
      </c>
      <c r="D125" s="134">
        <f>E125+M125</f>
        <v>21500</v>
      </c>
      <c r="E125" s="134">
        <f>SUM(F125:L125)</f>
        <v>21500</v>
      </c>
      <c r="F125" s="134">
        <v>8978</v>
      </c>
      <c r="G125" s="134">
        <v>12522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5">
        <v>0</v>
      </c>
      <c r="O125" s="135">
        <v>0</v>
      </c>
      <c r="P125" s="135">
        <v>0</v>
      </c>
      <c r="Q125" s="135">
        <v>0</v>
      </c>
    </row>
    <row r="126" spans="1:17" s="131" customFormat="1" ht="33.75" customHeight="1">
      <c r="A126" s="136" t="s">
        <v>83</v>
      </c>
      <c r="B126" s="136"/>
      <c r="C126" s="137" t="s">
        <v>84</v>
      </c>
      <c r="D126" s="138">
        <f>SUM(D127,D128,D129)</f>
        <v>3940000</v>
      </c>
      <c r="E126" s="138">
        <f aca="true" t="shared" si="32" ref="E126:Q126">SUM(E127,E128,E129)</f>
        <v>3940000</v>
      </c>
      <c r="F126" s="138">
        <f t="shared" si="32"/>
        <v>3165522</v>
      </c>
      <c r="G126" s="138">
        <f t="shared" si="32"/>
        <v>449478</v>
      </c>
      <c r="H126" s="138">
        <f t="shared" si="32"/>
        <v>145000</v>
      </c>
      <c r="I126" s="138">
        <f t="shared" si="32"/>
        <v>180000</v>
      </c>
      <c r="J126" s="138">
        <f t="shared" si="32"/>
        <v>0</v>
      </c>
      <c r="K126" s="138">
        <f t="shared" si="32"/>
        <v>0</v>
      </c>
      <c r="L126" s="138">
        <f t="shared" si="32"/>
        <v>0</v>
      </c>
      <c r="M126" s="138">
        <f t="shared" si="32"/>
        <v>0</v>
      </c>
      <c r="N126" s="138">
        <f t="shared" si="32"/>
        <v>0</v>
      </c>
      <c r="O126" s="138">
        <f t="shared" si="32"/>
        <v>0</v>
      </c>
      <c r="P126" s="138">
        <f t="shared" si="32"/>
        <v>0</v>
      </c>
      <c r="Q126" s="138">
        <f t="shared" si="32"/>
        <v>0</v>
      </c>
    </row>
    <row r="127" spans="1:17" s="118" customFormat="1" ht="21.75" customHeight="1">
      <c r="A127" s="132"/>
      <c r="B127" s="132" t="s">
        <v>397</v>
      </c>
      <c r="C127" s="133" t="s">
        <v>398</v>
      </c>
      <c r="D127" s="134">
        <f>E127+M127</f>
        <v>130000</v>
      </c>
      <c r="E127" s="134">
        <f>SUM(F127:L127)</f>
        <v>130000</v>
      </c>
      <c r="F127" s="134">
        <v>0</v>
      </c>
      <c r="G127" s="134">
        <v>0</v>
      </c>
      <c r="H127" s="134">
        <v>130000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35">
        <v>0</v>
      </c>
      <c r="O127" s="135">
        <v>0</v>
      </c>
      <c r="P127" s="135">
        <v>0</v>
      </c>
      <c r="Q127" s="135">
        <v>0</v>
      </c>
    </row>
    <row r="128" spans="1:17" s="118" customFormat="1" ht="11.25">
      <c r="A128" s="132"/>
      <c r="B128" s="132" t="s">
        <v>399</v>
      </c>
      <c r="C128" s="133" t="s">
        <v>400</v>
      </c>
      <c r="D128" s="134">
        <f>E128+M128</f>
        <v>15000</v>
      </c>
      <c r="E128" s="134">
        <f>SUM(F128:L128)</f>
        <v>15000</v>
      </c>
      <c r="F128" s="134">
        <v>0</v>
      </c>
      <c r="G128" s="134">
        <v>0</v>
      </c>
      <c r="H128" s="134">
        <v>15000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5">
        <v>0</v>
      </c>
      <c r="O128" s="135">
        <v>0</v>
      </c>
      <c r="P128" s="135">
        <v>0</v>
      </c>
      <c r="Q128" s="135">
        <v>0</v>
      </c>
    </row>
    <row r="129" spans="1:17" s="118" customFormat="1" ht="35.25" customHeight="1">
      <c r="A129" s="132"/>
      <c r="B129" s="132" t="s">
        <v>250</v>
      </c>
      <c r="C129" s="133" t="s">
        <v>251</v>
      </c>
      <c r="D129" s="134">
        <f>E129+M129</f>
        <v>3795000</v>
      </c>
      <c r="E129" s="134">
        <f>SUM(F129:L129)</f>
        <v>3795000</v>
      </c>
      <c r="F129" s="134">
        <v>3165522</v>
      </c>
      <c r="G129" s="134">
        <v>449478</v>
      </c>
      <c r="H129" s="134">
        <v>0</v>
      </c>
      <c r="I129" s="134">
        <v>180000</v>
      </c>
      <c r="J129" s="134"/>
      <c r="K129" s="134">
        <v>0</v>
      </c>
      <c r="L129" s="134">
        <v>0</v>
      </c>
      <c r="M129" s="134">
        <v>0</v>
      </c>
      <c r="N129" s="135">
        <v>0</v>
      </c>
      <c r="O129" s="135">
        <v>0</v>
      </c>
      <c r="P129" s="135">
        <v>0</v>
      </c>
      <c r="Q129" s="135">
        <v>0</v>
      </c>
    </row>
    <row r="130" spans="1:17" s="131" customFormat="1" ht="22.5">
      <c r="A130" s="136" t="s">
        <v>156</v>
      </c>
      <c r="B130" s="136"/>
      <c r="C130" s="137" t="s">
        <v>157</v>
      </c>
      <c r="D130" s="138">
        <f>D131+D132+D133+D134+D135+D136+D137+D138+D139+D140</f>
        <v>16157470</v>
      </c>
      <c r="E130" s="138">
        <f aca="true" t="shared" si="33" ref="E130:Q130">E131+E132+E133+E134+E135+E136+E137+E138+E139+E140</f>
        <v>16067470</v>
      </c>
      <c r="F130" s="138">
        <f t="shared" si="33"/>
        <v>10612941</v>
      </c>
      <c r="G130" s="138">
        <f t="shared" si="33"/>
        <v>2168239</v>
      </c>
      <c r="H130" s="138">
        <f t="shared" si="33"/>
        <v>3269690</v>
      </c>
      <c r="I130" s="138">
        <f t="shared" si="33"/>
        <v>16600</v>
      </c>
      <c r="J130" s="138">
        <f t="shared" si="33"/>
        <v>0</v>
      </c>
      <c r="K130" s="138">
        <f t="shared" si="33"/>
        <v>0</v>
      </c>
      <c r="L130" s="138">
        <f t="shared" si="33"/>
        <v>0</v>
      </c>
      <c r="M130" s="138">
        <f t="shared" si="33"/>
        <v>90000</v>
      </c>
      <c r="N130" s="138">
        <f t="shared" si="33"/>
        <v>90000</v>
      </c>
      <c r="O130" s="138">
        <f t="shared" si="33"/>
        <v>0</v>
      </c>
      <c r="P130" s="138">
        <f t="shared" si="33"/>
        <v>0</v>
      </c>
      <c r="Q130" s="138">
        <f t="shared" si="33"/>
        <v>0</v>
      </c>
    </row>
    <row r="131" spans="1:17" s="118" customFormat="1" ht="23.25" customHeight="1">
      <c r="A131" s="132"/>
      <c r="B131" s="132" t="s">
        <v>401</v>
      </c>
      <c r="C131" s="133" t="s">
        <v>402</v>
      </c>
      <c r="D131" s="134">
        <f aca="true" t="shared" si="34" ref="D131:D140">E131+M131</f>
        <v>899137</v>
      </c>
      <c r="E131" s="134">
        <f>SUM(F131:L131)</f>
        <v>899137</v>
      </c>
      <c r="F131" s="134">
        <v>802366</v>
      </c>
      <c r="G131" s="134">
        <v>96771</v>
      </c>
      <c r="H131" s="134">
        <v>0</v>
      </c>
      <c r="I131" s="134">
        <v>0</v>
      </c>
      <c r="J131" s="134">
        <v>0</v>
      </c>
      <c r="K131" s="134">
        <v>0</v>
      </c>
      <c r="L131" s="134">
        <v>0</v>
      </c>
      <c r="M131" s="134">
        <v>0</v>
      </c>
      <c r="N131" s="135">
        <v>0</v>
      </c>
      <c r="O131" s="135">
        <v>0</v>
      </c>
      <c r="P131" s="135">
        <v>0</v>
      </c>
      <c r="Q131" s="135">
        <v>0</v>
      </c>
    </row>
    <row r="132" spans="1:17" s="143" customFormat="1" ht="12.75" customHeight="1" hidden="1">
      <c r="A132" s="139"/>
      <c r="B132" s="139"/>
      <c r="C132" s="140"/>
      <c r="D132" s="141"/>
      <c r="E132" s="141"/>
      <c r="F132" s="141"/>
      <c r="G132" s="141"/>
      <c r="H132" s="141"/>
      <c r="I132" s="134"/>
      <c r="J132" s="134"/>
      <c r="K132" s="134"/>
      <c r="L132" s="134"/>
      <c r="M132" s="134"/>
      <c r="N132" s="135"/>
      <c r="O132" s="135"/>
      <c r="P132" s="135"/>
      <c r="Q132" s="135"/>
    </row>
    <row r="133" spans="1:17" s="118" customFormat="1" ht="11.25">
      <c r="A133" s="132"/>
      <c r="B133" s="132" t="s">
        <v>403</v>
      </c>
      <c r="C133" s="133" t="s">
        <v>404</v>
      </c>
      <c r="D133" s="134">
        <f t="shared" si="34"/>
        <v>575573</v>
      </c>
      <c r="E133" s="134">
        <f aca="true" t="shared" si="35" ref="E133:E139">SUM(F133:L133)</f>
        <v>575573</v>
      </c>
      <c r="F133" s="134">
        <v>503826</v>
      </c>
      <c r="G133" s="134">
        <v>71747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5">
        <v>0</v>
      </c>
      <c r="O133" s="135">
        <v>0</v>
      </c>
      <c r="P133" s="135">
        <v>0</v>
      </c>
      <c r="Q133" s="135">
        <v>0</v>
      </c>
    </row>
    <row r="134" spans="1:17" s="118" customFormat="1" ht="11.25">
      <c r="A134" s="132"/>
      <c r="B134" s="132" t="s">
        <v>405</v>
      </c>
      <c r="C134" s="133" t="s">
        <v>406</v>
      </c>
      <c r="D134" s="134">
        <f t="shared" si="34"/>
        <v>5475981</v>
      </c>
      <c r="E134" s="134">
        <f t="shared" si="35"/>
        <v>5465981</v>
      </c>
      <c r="F134" s="134">
        <v>3338206</v>
      </c>
      <c r="G134" s="134">
        <v>578460</v>
      </c>
      <c r="H134" s="134">
        <v>1540115</v>
      </c>
      <c r="I134" s="134">
        <v>9200</v>
      </c>
      <c r="J134" s="134">
        <v>0</v>
      </c>
      <c r="K134" s="134">
        <v>0</v>
      </c>
      <c r="L134" s="134">
        <v>0</v>
      </c>
      <c r="M134" s="134">
        <v>10000</v>
      </c>
      <c r="N134" s="135">
        <v>10000</v>
      </c>
      <c r="O134" s="135">
        <v>0</v>
      </c>
      <c r="P134" s="135">
        <v>0</v>
      </c>
      <c r="Q134" s="135">
        <v>0</v>
      </c>
    </row>
    <row r="135" spans="1:17" s="143" customFormat="1" ht="11.25" hidden="1">
      <c r="A135" s="139"/>
      <c r="B135" s="139" t="s">
        <v>407</v>
      </c>
      <c r="C135" s="140" t="s">
        <v>408</v>
      </c>
      <c r="D135" s="141">
        <f t="shared" si="34"/>
        <v>0</v>
      </c>
      <c r="E135" s="141">
        <f t="shared" si="35"/>
        <v>0</v>
      </c>
      <c r="F135" s="141"/>
      <c r="G135" s="141"/>
      <c r="H135" s="141"/>
      <c r="I135" s="134"/>
      <c r="J135" s="134"/>
      <c r="K135" s="134"/>
      <c r="L135" s="134"/>
      <c r="M135" s="134"/>
      <c r="N135" s="135"/>
      <c r="O135" s="135"/>
      <c r="P135" s="135"/>
      <c r="Q135" s="135"/>
    </row>
    <row r="136" spans="1:17" s="118" customFormat="1" ht="11.25">
      <c r="A136" s="132"/>
      <c r="B136" s="132" t="s">
        <v>268</v>
      </c>
      <c r="C136" s="133" t="s">
        <v>269</v>
      </c>
      <c r="D136" s="134">
        <f t="shared" si="34"/>
        <v>8061441</v>
      </c>
      <c r="E136" s="134">
        <f t="shared" si="35"/>
        <v>7981441</v>
      </c>
      <c r="F136" s="134">
        <v>5097075</v>
      </c>
      <c r="G136" s="134">
        <v>1149291</v>
      </c>
      <c r="H136" s="134">
        <v>1729575</v>
      </c>
      <c r="I136" s="134">
        <v>5500</v>
      </c>
      <c r="J136" s="134">
        <v>0</v>
      </c>
      <c r="K136" s="134">
        <v>0</v>
      </c>
      <c r="L136" s="134">
        <v>0</v>
      </c>
      <c r="M136" s="134">
        <v>80000</v>
      </c>
      <c r="N136" s="135">
        <v>80000</v>
      </c>
      <c r="O136" s="135">
        <v>0</v>
      </c>
      <c r="P136" s="135">
        <v>0</v>
      </c>
      <c r="Q136" s="135">
        <v>0</v>
      </c>
    </row>
    <row r="137" spans="1:17" s="118" customFormat="1" ht="24" customHeight="1">
      <c r="A137" s="132"/>
      <c r="B137" s="132" t="s">
        <v>409</v>
      </c>
      <c r="C137" s="133" t="s">
        <v>410</v>
      </c>
      <c r="D137" s="134">
        <f t="shared" si="34"/>
        <v>770486</v>
      </c>
      <c r="E137" s="134">
        <f t="shared" si="35"/>
        <v>770486</v>
      </c>
      <c r="F137" s="134">
        <v>698474</v>
      </c>
      <c r="G137" s="134">
        <v>72012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5">
        <v>0</v>
      </c>
      <c r="O137" s="135">
        <v>0</v>
      </c>
      <c r="P137" s="135">
        <v>0</v>
      </c>
      <c r="Q137" s="135">
        <v>0</v>
      </c>
    </row>
    <row r="138" spans="1:17" s="118" customFormat="1" ht="59.25" customHeight="1">
      <c r="A138" s="132"/>
      <c r="B138" s="132" t="s">
        <v>411</v>
      </c>
      <c r="C138" s="133" t="s">
        <v>412</v>
      </c>
      <c r="D138" s="134">
        <f t="shared" si="34"/>
        <v>302384</v>
      </c>
      <c r="E138" s="134">
        <f t="shared" si="35"/>
        <v>302384</v>
      </c>
      <c r="F138" s="134">
        <v>172994</v>
      </c>
      <c r="G138" s="134">
        <v>127490</v>
      </c>
      <c r="H138" s="134">
        <v>0</v>
      </c>
      <c r="I138" s="134">
        <v>1900</v>
      </c>
      <c r="J138" s="134">
        <v>0</v>
      </c>
      <c r="K138" s="134">
        <v>0</v>
      </c>
      <c r="L138" s="134">
        <v>0</v>
      </c>
      <c r="M138" s="134">
        <v>0</v>
      </c>
      <c r="N138" s="135">
        <v>0</v>
      </c>
      <c r="O138" s="135">
        <v>0</v>
      </c>
      <c r="P138" s="135">
        <v>0</v>
      </c>
      <c r="Q138" s="135">
        <v>0</v>
      </c>
    </row>
    <row r="139" spans="1:17" s="118" customFormat="1" ht="24" customHeight="1">
      <c r="A139" s="132"/>
      <c r="B139" s="132" t="s">
        <v>348</v>
      </c>
      <c r="C139" s="133" t="s">
        <v>349</v>
      </c>
      <c r="D139" s="134">
        <f t="shared" si="34"/>
        <v>72468</v>
      </c>
      <c r="E139" s="134">
        <f t="shared" si="35"/>
        <v>72468</v>
      </c>
      <c r="F139" s="134">
        <v>0</v>
      </c>
      <c r="G139" s="134">
        <v>72468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5">
        <v>0</v>
      </c>
      <c r="O139" s="135">
        <v>0</v>
      </c>
      <c r="P139" s="135">
        <v>0</v>
      </c>
      <c r="Q139" s="135">
        <v>0</v>
      </c>
    </row>
    <row r="140" spans="1:17" s="143" customFormat="1" ht="11.25" hidden="1">
      <c r="A140" s="139"/>
      <c r="B140" s="139" t="s">
        <v>352</v>
      </c>
      <c r="C140" s="140" t="s">
        <v>14</v>
      </c>
      <c r="D140" s="141">
        <f t="shared" si="34"/>
        <v>0</v>
      </c>
      <c r="E140" s="141"/>
      <c r="F140" s="141"/>
      <c r="G140" s="141"/>
      <c r="H140" s="141"/>
      <c r="I140" s="141"/>
      <c r="J140" s="141"/>
      <c r="K140" s="141"/>
      <c r="L140" s="141"/>
      <c r="M140" s="141"/>
      <c r="N140" s="142"/>
      <c r="O140" s="144"/>
      <c r="P140" s="142"/>
      <c r="Q140" s="142"/>
    </row>
    <row r="141" spans="1:17" s="131" customFormat="1" ht="14.25" customHeight="1">
      <c r="A141" s="136" t="s">
        <v>163</v>
      </c>
      <c r="B141" s="136"/>
      <c r="C141" s="137" t="s">
        <v>164</v>
      </c>
      <c r="D141" s="138">
        <f>D142+D143+D145+D144</f>
        <v>4079885</v>
      </c>
      <c r="E141" s="138">
        <f aca="true" t="shared" si="36" ref="E141:Q141">E142+E143+E145+E144</f>
        <v>3850885</v>
      </c>
      <c r="F141" s="138">
        <f t="shared" si="36"/>
        <v>744900</v>
      </c>
      <c r="G141" s="138">
        <f t="shared" si="36"/>
        <v>3047985</v>
      </c>
      <c r="H141" s="138">
        <f t="shared" si="36"/>
        <v>58000</v>
      </c>
      <c r="I141" s="138">
        <f t="shared" si="36"/>
        <v>0</v>
      </c>
      <c r="J141" s="138">
        <f t="shared" si="36"/>
        <v>0</v>
      </c>
      <c r="K141" s="138">
        <f t="shared" si="36"/>
        <v>0</v>
      </c>
      <c r="L141" s="138">
        <f t="shared" si="36"/>
        <v>0</v>
      </c>
      <c r="M141" s="138">
        <f t="shared" si="36"/>
        <v>229000</v>
      </c>
      <c r="N141" s="138">
        <f t="shared" si="36"/>
        <v>229000</v>
      </c>
      <c r="O141" s="138">
        <f t="shared" si="36"/>
        <v>0</v>
      </c>
      <c r="P141" s="138">
        <f t="shared" si="36"/>
        <v>0</v>
      </c>
      <c r="Q141" s="138">
        <f t="shared" si="36"/>
        <v>0</v>
      </c>
    </row>
    <row r="142" spans="1:17" s="118" customFormat="1" ht="11.25">
      <c r="A142" s="132"/>
      <c r="B142" s="132" t="s">
        <v>413</v>
      </c>
      <c r="C142" s="133" t="s">
        <v>414</v>
      </c>
      <c r="D142" s="134">
        <f>E142+M142</f>
        <v>2945000</v>
      </c>
      <c r="E142" s="134">
        <f>SUM(F142:L142)</f>
        <v>2905000</v>
      </c>
      <c r="F142" s="134">
        <v>0</v>
      </c>
      <c r="G142" s="134">
        <v>2850000</v>
      </c>
      <c r="H142" s="134">
        <v>55000</v>
      </c>
      <c r="I142" s="134"/>
      <c r="J142" s="134">
        <v>0</v>
      </c>
      <c r="K142" s="134">
        <v>0</v>
      </c>
      <c r="L142" s="134">
        <v>0</v>
      </c>
      <c r="M142" s="134">
        <v>40000</v>
      </c>
      <c r="N142" s="135">
        <v>40000</v>
      </c>
      <c r="O142" s="135">
        <v>0</v>
      </c>
      <c r="P142" s="135">
        <v>0</v>
      </c>
      <c r="Q142" s="135">
        <v>0</v>
      </c>
    </row>
    <row r="143" spans="1:17" s="118" customFormat="1" ht="47.25" customHeight="1">
      <c r="A143" s="132"/>
      <c r="B143" s="132" t="s">
        <v>415</v>
      </c>
      <c r="C143" s="133" t="s">
        <v>416</v>
      </c>
      <c r="D143" s="134">
        <f>E143+M143</f>
        <v>324885</v>
      </c>
      <c r="E143" s="134">
        <f>SUM(F143:L143)</f>
        <v>135885</v>
      </c>
      <c r="F143" s="134">
        <v>4900</v>
      </c>
      <c r="G143" s="134">
        <v>127985</v>
      </c>
      <c r="H143" s="134">
        <v>3000</v>
      </c>
      <c r="I143" s="134">
        <v>0</v>
      </c>
      <c r="J143" s="134">
        <v>0</v>
      </c>
      <c r="K143" s="134">
        <v>0</v>
      </c>
      <c r="L143" s="134">
        <v>0</v>
      </c>
      <c r="M143" s="134">
        <f>69000+120000</f>
        <v>189000</v>
      </c>
      <c r="N143" s="135">
        <f>69000+120000</f>
        <v>189000</v>
      </c>
      <c r="O143" s="135">
        <v>0</v>
      </c>
      <c r="P143" s="135">
        <v>0</v>
      </c>
      <c r="Q143" s="135">
        <v>0</v>
      </c>
    </row>
    <row r="144" spans="1:17" s="118" customFormat="1" ht="87.75" customHeight="1">
      <c r="A144" s="132"/>
      <c r="B144" s="132" t="s">
        <v>271</v>
      </c>
      <c r="C144" s="133" t="s">
        <v>272</v>
      </c>
      <c r="D144" s="134">
        <f>E144+M144</f>
        <v>740000</v>
      </c>
      <c r="E144" s="134">
        <f>SUM(F144:L144)</f>
        <v>740000</v>
      </c>
      <c r="F144" s="134">
        <v>740000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5">
        <v>0</v>
      </c>
      <c r="O144" s="135">
        <v>0</v>
      </c>
      <c r="P144" s="135">
        <v>0</v>
      </c>
      <c r="Q144" s="135">
        <v>0</v>
      </c>
    </row>
    <row r="145" spans="1:17" s="118" customFormat="1" ht="11.25" customHeight="1">
      <c r="A145" s="132"/>
      <c r="B145" s="132" t="s">
        <v>167</v>
      </c>
      <c r="C145" s="133" t="s">
        <v>14</v>
      </c>
      <c r="D145" s="134">
        <f>E145+M145</f>
        <v>70000</v>
      </c>
      <c r="E145" s="134">
        <f>SUM(F145:L145)</f>
        <v>70000</v>
      </c>
      <c r="F145" s="134">
        <v>0</v>
      </c>
      <c r="G145" s="134">
        <v>70000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5">
        <v>0</v>
      </c>
      <c r="O145" s="135">
        <v>0</v>
      </c>
      <c r="P145" s="135">
        <v>0</v>
      </c>
      <c r="Q145" s="135">
        <v>0</v>
      </c>
    </row>
    <row r="146" spans="1:17" s="131" customFormat="1" ht="22.5">
      <c r="A146" s="136" t="s">
        <v>168</v>
      </c>
      <c r="B146" s="136"/>
      <c r="C146" s="137" t="s">
        <v>169</v>
      </c>
      <c r="D146" s="138">
        <f>D147+D148+D149+D150+D151+D153+D152</f>
        <v>3746288</v>
      </c>
      <c r="E146" s="138">
        <f>E147+E148+E149+E150+E151+E153+E152</f>
        <v>3746288</v>
      </c>
      <c r="F146" s="138">
        <f>F147+F148+F149+F150+F151+F153+F152</f>
        <v>1210669</v>
      </c>
      <c r="G146" s="138">
        <f aca="true" t="shared" si="37" ref="G146:Q146">G147+G148+G149+G150+G151+G152+G153</f>
        <v>444343</v>
      </c>
      <c r="H146" s="138">
        <f t="shared" si="37"/>
        <v>706520</v>
      </c>
      <c r="I146" s="138">
        <f t="shared" si="37"/>
        <v>1384756</v>
      </c>
      <c r="J146" s="138">
        <f t="shared" si="37"/>
        <v>0</v>
      </c>
      <c r="K146" s="138">
        <f t="shared" si="37"/>
        <v>0</v>
      </c>
      <c r="L146" s="138">
        <f t="shared" si="37"/>
        <v>0</v>
      </c>
      <c r="M146" s="138">
        <f t="shared" si="37"/>
        <v>0</v>
      </c>
      <c r="N146" s="138">
        <f t="shared" si="37"/>
        <v>0</v>
      </c>
      <c r="O146" s="138">
        <f t="shared" si="37"/>
        <v>0</v>
      </c>
      <c r="P146" s="138">
        <f t="shared" si="37"/>
        <v>0</v>
      </c>
      <c r="Q146" s="138">
        <f t="shared" si="37"/>
        <v>0</v>
      </c>
    </row>
    <row r="147" spans="1:17" s="118" customFormat="1" ht="22.5" customHeight="1">
      <c r="A147" s="132"/>
      <c r="B147" s="132" t="s">
        <v>359</v>
      </c>
      <c r="C147" s="133" t="s">
        <v>360</v>
      </c>
      <c r="D147" s="134">
        <f aca="true" t="shared" si="38" ref="D147:D153">E147+M147</f>
        <v>1334506</v>
      </c>
      <c r="E147" s="134">
        <f aca="true" t="shared" si="39" ref="E147:E153">SUM(F147:L147)</f>
        <v>1334506</v>
      </c>
      <c r="F147" s="134">
        <v>467623</v>
      </c>
      <c r="G147" s="134">
        <v>202591</v>
      </c>
      <c r="H147" s="134">
        <v>570496</v>
      </c>
      <c r="I147" s="134">
        <v>93796</v>
      </c>
      <c r="J147" s="134">
        <v>0</v>
      </c>
      <c r="K147" s="134">
        <v>0</v>
      </c>
      <c r="L147" s="134">
        <v>0</v>
      </c>
      <c r="M147" s="134">
        <v>0</v>
      </c>
      <c r="N147" s="135">
        <v>0</v>
      </c>
      <c r="O147" s="135">
        <v>0</v>
      </c>
      <c r="P147" s="135">
        <v>0</v>
      </c>
      <c r="Q147" s="135">
        <v>0</v>
      </c>
    </row>
    <row r="148" spans="1:17" s="143" customFormat="1" ht="11.25" hidden="1">
      <c r="A148" s="139"/>
      <c r="B148" s="139" t="s">
        <v>170</v>
      </c>
      <c r="C148" s="140" t="s">
        <v>171</v>
      </c>
      <c r="D148" s="141">
        <f t="shared" si="38"/>
        <v>0</v>
      </c>
      <c r="E148" s="141">
        <f t="shared" si="39"/>
        <v>0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2">
        <v>0</v>
      </c>
      <c r="O148" s="144">
        <v>0</v>
      </c>
      <c r="P148" s="142">
        <v>0</v>
      </c>
      <c r="Q148" s="142">
        <v>0</v>
      </c>
    </row>
    <row r="149" spans="1:17" s="118" customFormat="1" ht="12.75" customHeight="1">
      <c r="A149" s="132"/>
      <c r="B149" s="132" t="s">
        <v>273</v>
      </c>
      <c r="C149" s="133" t="s">
        <v>274</v>
      </c>
      <c r="D149" s="134">
        <f t="shared" si="38"/>
        <v>1642672</v>
      </c>
      <c r="E149" s="134">
        <f t="shared" si="39"/>
        <v>1642672</v>
      </c>
      <c r="F149" s="134">
        <v>215688</v>
      </c>
      <c r="G149" s="134">
        <v>0</v>
      </c>
      <c r="H149" s="134">
        <v>136024</v>
      </c>
      <c r="I149" s="134">
        <v>1290960</v>
      </c>
      <c r="J149" s="134">
        <v>0</v>
      </c>
      <c r="K149" s="134">
        <v>0</v>
      </c>
      <c r="L149" s="134">
        <v>0</v>
      </c>
      <c r="M149" s="134">
        <v>0</v>
      </c>
      <c r="N149" s="135">
        <v>0</v>
      </c>
      <c r="O149" s="135">
        <v>0</v>
      </c>
      <c r="P149" s="135">
        <v>0</v>
      </c>
      <c r="Q149" s="135">
        <v>0</v>
      </c>
    </row>
    <row r="150" spans="1:17" s="118" customFormat="1" ht="33.75" customHeight="1">
      <c r="A150" s="132"/>
      <c r="B150" s="132" t="s">
        <v>277</v>
      </c>
      <c r="C150" s="133" t="s">
        <v>278</v>
      </c>
      <c r="D150" s="134">
        <f t="shared" si="38"/>
        <v>328000</v>
      </c>
      <c r="E150" s="134">
        <f t="shared" si="39"/>
        <v>328000</v>
      </c>
      <c r="F150" s="134">
        <v>192414</v>
      </c>
      <c r="G150" s="134">
        <v>135586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5">
        <v>0</v>
      </c>
      <c r="O150" s="135">
        <v>0</v>
      </c>
      <c r="P150" s="135">
        <v>0</v>
      </c>
      <c r="Q150" s="135">
        <v>0</v>
      </c>
    </row>
    <row r="151" spans="1:17" s="118" customFormat="1" ht="21.75" customHeight="1">
      <c r="A151" s="132"/>
      <c r="B151" s="132" t="s">
        <v>417</v>
      </c>
      <c r="C151" s="133" t="s">
        <v>418</v>
      </c>
      <c r="D151" s="134">
        <f t="shared" si="38"/>
        <v>400000</v>
      </c>
      <c r="E151" s="134">
        <f t="shared" si="39"/>
        <v>400000</v>
      </c>
      <c r="F151" s="134">
        <v>324540</v>
      </c>
      <c r="G151" s="134">
        <v>75460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5">
        <v>0</v>
      </c>
      <c r="O151" s="135">
        <v>0</v>
      </c>
      <c r="P151" s="135">
        <v>0</v>
      </c>
      <c r="Q151" s="135">
        <v>0</v>
      </c>
    </row>
    <row r="152" spans="1:17" s="118" customFormat="1" ht="57" customHeight="1">
      <c r="A152" s="132"/>
      <c r="B152" s="132" t="s">
        <v>419</v>
      </c>
      <c r="C152" s="133" t="s">
        <v>420</v>
      </c>
      <c r="D152" s="134">
        <f t="shared" si="38"/>
        <v>41110</v>
      </c>
      <c r="E152" s="134">
        <f t="shared" si="39"/>
        <v>41110</v>
      </c>
      <c r="F152" s="134">
        <v>10404</v>
      </c>
      <c r="G152" s="134">
        <v>30706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5">
        <v>0</v>
      </c>
      <c r="O152" s="135">
        <v>0</v>
      </c>
      <c r="P152" s="135">
        <v>0</v>
      </c>
      <c r="Q152" s="135">
        <v>0</v>
      </c>
    </row>
    <row r="153" spans="1:17" s="143" customFormat="1" ht="11.25" hidden="1">
      <c r="A153" s="139"/>
      <c r="B153" s="139" t="s">
        <v>186</v>
      </c>
      <c r="C153" s="140" t="s">
        <v>14</v>
      </c>
      <c r="D153" s="141">
        <f t="shared" si="38"/>
        <v>0</v>
      </c>
      <c r="E153" s="141">
        <f t="shared" si="39"/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2"/>
      <c r="O153" s="144"/>
      <c r="P153" s="142"/>
      <c r="Q153" s="142"/>
    </row>
    <row r="154" spans="1:17" s="131" customFormat="1" ht="33.75">
      <c r="A154" s="136" t="s">
        <v>187</v>
      </c>
      <c r="B154" s="136"/>
      <c r="C154" s="137" t="s">
        <v>188</v>
      </c>
      <c r="D154" s="138">
        <f>D155+D156+D157+D158+D159</f>
        <v>1126023</v>
      </c>
      <c r="E154" s="138">
        <f aca="true" t="shared" si="40" ref="E154:Q154">E155+E156+E157+E158+E159</f>
        <v>1126023</v>
      </c>
      <c r="F154" s="138">
        <f t="shared" si="40"/>
        <v>823600</v>
      </c>
      <c r="G154" s="138">
        <f t="shared" si="40"/>
        <v>136985</v>
      </c>
      <c r="H154" s="138">
        <f t="shared" si="40"/>
        <v>77100</v>
      </c>
      <c r="I154" s="138">
        <f t="shared" si="40"/>
        <v>900</v>
      </c>
      <c r="J154" s="138">
        <f t="shared" si="40"/>
        <v>87438</v>
      </c>
      <c r="K154" s="138">
        <f t="shared" si="40"/>
        <v>0</v>
      </c>
      <c r="L154" s="138">
        <f t="shared" si="40"/>
        <v>0</v>
      </c>
      <c r="M154" s="138">
        <f t="shared" si="40"/>
        <v>0</v>
      </c>
      <c r="N154" s="138">
        <f t="shared" si="40"/>
        <v>0</v>
      </c>
      <c r="O154" s="138">
        <f t="shared" si="40"/>
        <v>0</v>
      </c>
      <c r="P154" s="138">
        <f t="shared" si="40"/>
        <v>0</v>
      </c>
      <c r="Q154" s="138">
        <f t="shared" si="40"/>
        <v>0</v>
      </c>
    </row>
    <row r="155" spans="1:17" s="118" customFormat="1" ht="33.75" customHeight="1">
      <c r="A155" s="132"/>
      <c r="B155" s="132" t="s">
        <v>421</v>
      </c>
      <c r="C155" s="133" t="s">
        <v>422</v>
      </c>
      <c r="D155" s="134">
        <f>E155+M155</f>
        <v>41100</v>
      </c>
      <c r="E155" s="134">
        <f>SUM(F155:L155)</f>
        <v>41100</v>
      </c>
      <c r="F155" s="134">
        <v>0</v>
      </c>
      <c r="G155" s="134">
        <v>0</v>
      </c>
      <c r="H155" s="134">
        <v>41100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5">
        <v>0</v>
      </c>
      <c r="O155" s="135">
        <v>0</v>
      </c>
      <c r="P155" s="135">
        <v>0</v>
      </c>
      <c r="Q155" s="135">
        <v>0</v>
      </c>
    </row>
    <row r="156" spans="1:17" s="118" customFormat="1" ht="33.75">
      <c r="A156" s="132"/>
      <c r="B156" s="132" t="s">
        <v>279</v>
      </c>
      <c r="C156" s="133" t="s">
        <v>280</v>
      </c>
      <c r="D156" s="134">
        <f>E156+M156</f>
        <v>36000</v>
      </c>
      <c r="E156" s="134">
        <f>SUM(F156:L156)</f>
        <v>36000</v>
      </c>
      <c r="F156" s="134">
        <v>0</v>
      </c>
      <c r="G156" s="134">
        <v>0</v>
      </c>
      <c r="H156" s="134">
        <v>36000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5">
        <v>0</v>
      </c>
      <c r="O156" s="135">
        <v>0</v>
      </c>
      <c r="P156" s="135">
        <v>0</v>
      </c>
      <c r="Q156" s="135">
        <v>0</v>
      </c>
    </row>
    <row r="157" spans="1:17" s="118" customFormat="1" ht="33.75">
      <c r="A157" s="132"/>
      <c r="B157" s="132" t="s">
        <v>423</v>
      </c>
      <c r="C157" s="133" t="s">
        <v>424</v>
      </c>
      <c r="D157" s="134">
        <f>E157+M157</f>
        <v>18950</v>
      </c>
      <c r="E157" s="134">
        <f>SUM(F157:L157)</f>
        <v>18950</v>
      </c>
      <c r="F157" s="134">
        <v>17775</v>
      </c>
      <c r="G157" s="134">
        <v>1175</v>
      </c>
      <c r="H157" s="134">
        <v>0</v>
      </c>
      <c r="I157" s="134">
        <v>0</v>
      </c>
      <c r="J157" s="134">
        <v>0</v>
      </c>
      <c r="K157" s="134"/>
      <c r="L157" s="134">
        <v>0</v>
      </c>
      <c r="M157" s="134">
        <v>0</v>
      </c>
      <c r="N157" s="135">
        <v>0</v>
      </c>
      <c r="O157" s="135">
        <v>0</v>
      </c>
      <c r="P157" s="135">
        <v>0</v>
      </c>
      <c r="Q157" s="135">
        <v>0</v>
      </c>
    </row>
    <row r="158" spans="1:17" s="118" customFormat="1" ht="22.5">
      <c r="A158" s="132"/>
      <c r="B158" s="132" t="s">
        <v>281</v>
      </c>
      <c r="C158" s="133" t="s">
        <v>282</v>
      </c>
      <c r="D158" s="134">
        <f>E158+M158</f>
        <v>942535</v>
      </c>
      <c r="E158" s="134">
        <f>SUM(F158:L158)</f>
        <v>942535</v>
      </c>
      <c r="F158" s="134">
        <v>805825</v>
      </c>
      <c r="G158" s="134">
        <v>135810</v>
      </c>
      <c r="H158" s="134">
        <v>0</v>
      </c>
      <c r="I158" s="134">
        <v>900</v>
      </c>
      <c r="J158" s="134">
        <v>0</v>
      </c>
      <c r="K158" s="134">
        <v>0</v>
      </c>
      <c r="L158" s="134">
        <v>0</v>
      </c>
      <c r="M158" s="134">
        <v>0</v>
      </c>
      <c r="N158" s="135">
        <v>0</v>
      </c>
      <c r="O158" s="135">
        <v>0</v>
      </c>
      <c r="P158" s="135">
        <v>0</v>
      </c>
      <c r="Q158" s="135">
        <v>0</v>
      </c>
    </row>
    <row r="159" spans="1:17" s="118" customFormat="1" ht="11.25">
      <c r="A159" s="132"/>
      <c r="B159" s="132" t="s">
        <v>191</v>
      </c>
      <c r="C159" s="133" t="s">
        <v>14</v>
      </c>
      <c r="D159" s="134">
        <f>E159+M159</f>
        <v>87438</v>
      </c>
      <c r="E159" s="134">
        <f>SUM(F159:L159)</f>
        <v>87438</v>
      </c>
      <c r="F159" s="134">
        <v>0</v>
      </c>
      <c r="G159" s="134">
        <v>0</v>
      </c>
      <c r="H159" s="134">
        <v>0</v>
      </c>
      <c r="I159" s="134">
        <v>0</v>
      </c>
      <c r="J159" s="134">
        <v>87438</v>
      </c>
      <c r="K159" s="134">
        <v>0</v>
      </c>
      <c r="L159" s="134">
        <v>0</v>
      </c>
      <c r="M159" s="134">
        <v>0</v>
      </c>
      <c r="N159" s="135">
        <v>0</v>
      </c>
      <c r="O159" s="135">
        <v>0</v>
      </c>
      <c r="P159" s="135">
        <v>0</v>
      </c>
      <c r="Q159" s="135">
        <v>0</v>
      </c>
    </row>
    <row r="160" spans="1:17" s="131" customFormat="1" ht="22.5" customHeight="1">
      <c r="A160" s="136" t="s">
        <v>367</v>
      </c>
      <c r="B160" s="136"/>
      <c r="C160" s="137" t="s">
        <v>368</v>
      </c>
      <c r="D160" s="138">
        <f>SUM(D161,D162,D163,D164,D165,D166,D167)</f>
        <v>4849403</v>
      </c>
      <c r="E160" s="138">
        <f aca="true" t="shared" si="41" ref="E160:Q160">SUM(E161,E162,E163,E164,E165,E166,E167)</f>
        <v>4849403</v>
      </c>
      <c r="F160" s="138">
        <f t="shared" si="41"/>
        <v>3648909</v>
      </c>
      <c r="G160" s="138">
        <f t="shared" si="41"/>
        <v>475684</v>
      </c>
      <c r="H160" s="138">
        <f t="shared" si="41"/>
        <v>721280</v>
      </c>
      <c r="I160" s="138">
        <f t="shared" si="41"/>
        <v>3530</v>
      </c>
      <c r="J160" s="138">
        <f t="shared" si="41"/>
        <v>0</v>
      </c>
      <c r="K160" s="138">
        <f t="shared" si="41"/>
        <v>0</v>
      </c>
      <c r="L160" s="138">
        <f t="shared" si="41"/>
        <v>0</v>
      </c>
      <c r="M160" s="138">
        <f t="shared" si="41"/>
        <v>0</v>
      </c>
      <c r="N160" s="138">
        <f t="shared" si="41"/>
        <v>0</v>
      </c>
      <c r="O160" s="138">
        <f t="shared" si="41"/>
        <v>0</v>
      </c>
      <c r="P160" s="138">
        <f t="shared" si="41"/>
        <v>0</v>
      </c>
      <c r="Q160" s="138">
        <f t="shared" si="41"/>
        <v>0</v>
      </c>
    </row>
    <row r="161" spans="1:17" s="118" customFormat="1" ht="21.75" customHeight="1">
      <c r="A161" s="132"/>
      <c r="B161" s="132" t="s">
        <v>425</v>
      </c>
      <c r="C161" s="133" t="s">
        <v>426</v>
      </c>
      <c r="D161" s="134">
        <f aca="true" t="shared" si="42" ref="D161:D167">E161+M161</f>
        <v>1738698</v>
      </c>
      <c r="E161" s="134">
        <f>SUM(F161:L161)</f>
        <v>1738698</v>
      </c>
      <c r="F161" s="134">
        <v>1474529</v>
      </c>
      <c r="G161" s="134">
        <v>264169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5">
        <v>0</v>
      </c>
      <c r="O161" s="135">
        <v>0</v>
      </c>
      <c r="P161" s="135">
        <v>0</v>
      </c>
      <c r="Q161" s="135">
        <v>0</v>
      </c>
    </row>
    <row r="162" spans="1:17" s="118" customFormat="1" ht="23.25" customHeight="1">
      <c r="A162" s="132"/>
      <c r="B162" s="132" t="s">
        <v>427</v>
      </c>
      <c r="C162" s="133" t="s">
        <v>428</v>
      </c>
      <c r="D162" s="134">
        <f t="shared" si="42"/>
        <v>282860</v>
      </c>
      <c r="E162" s="134">
        <f aca="true" t="shared" si="43" ref="E162:E167">SUM(F162:L162)</f>
        <v>282860</v>
      </c>
      <c r="F162" s="134">
        <v>238514</v>
      </c>
      <c r="G162" s="134">
        <v>14346</v>
      </c>
      <c r="H162" s="134">
        <v>30000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5">
        <v>0</v>
      </c>
      <c r="O162" s="135">
        <v>0</v>
      </c>
      <c r="P162" s="135">
        <v>0</v>
      </c>
      <c r="Q162" s="135">
        <v>0</v>
      </c>
    </row>
    <row r="163" spans="1:17" s="118" customFormat="1" ht="36.75" customHeight="1">
      <c r="A163" s="132"/>
      <c r="B163" s="132" t="s">
        <v>429</v>
      </c>
      <c r="C163" s="133" t="s">
        <v>430</v>
      </c>
      <c r="D163" s="134">
        <f t="shared" si="42"/>
        <v>1008026</v>
      </c>
      <c r="E163" s="134">
        <f t="shared" si="43"/>
        <v>1008026</v>
      </c>
      <c r="F163" s="134">
        <v>922814</v>
      </c>
      <c r="G163" s="134">
        <v>84182</v>
      </c>
      <c r="H163" s="134">
        <v>0</v>
      </c>
      <c r="I163" s="134">
        <v>1030</v>
      </c>
      <c r="J163" s="134">
        <v>0</v>
      </c>
      <c r="K163" s="134">
        <v>0</v>
      </c>
      <c r="L163" s="134">
        <v>0</v>
      </c>
      <c r="M163" s="134">
        <v>0</v>
      </c>
      <c r="N163" s="135">
        <v>0</v>
      </c>
      <c r="O163" s="135">
        <v>0</v>
      </c>
      <c r="P163" s="135">
        <v>0</v>
      </c>
      <c r="Q163" s="135">
        <v>0</v>
      </c>
    </row>
    <row r="164" spans="1:17" s="118" customFormat="1" ht="11.25">
      <c r="A164" s="132"/>
      <c r="B164" s="132" t="s">
        <v>431</v>
      </c>
      <c r="C164" s="133" t="s">
        <v>432</v>
      </c>
      <c r="D164" s="134">
        <f t="shared" si="42"/>
        <v>806551</v>
      </c>
      <c r="E164" s="134">
        <f t="shared" si="43"/>
        <v>806551</v>
      </c>
      <c r="F164" s="134">
        <v>732452</v>
      </c>
      <c r="G164" s="134">
        <v>71599</v>
      </c>
      <c r="H164" s="134">
        <v>0</v>
      </c>
      <c r="I164" s="134">
        <v>2500</v>
      </c>
      <c r="J164" s="134">
        <v>0</v>
      </c>
      <c r="K164" s="134">
        <v>0</v>
      </c>
      <c r="L164" s="134">
        <v>0</v>
      </c>
      <c r="M164" s="134">
        <v>0</v>
      </c>
      <c r="N164" s="135">
        <v>0</v>
      </c>
      <c r="O164" s="135">
        <v>0</v>
      </c>
      <c r="P164" s="135">
        <v>0</v>
      </c>
      <c r="Q164" s="135">
        <v>0</v>
      </c>
    </row>
    <row r="165" spans="1:17" s="118" customFormat="1" ht="23.25" customHeight="1">
      <c r="A165" s="132"/>
      <c r="B165" s="132" t="s">
        <v>433</v>
      </c>
      <c r="C165" s="133" t="s">
        <v>434</v>
      </c>
      <c r="D165" s="134">
        <f t="shared" si="42"/>
        <v>300628</v>
      </c>
      <c r="E165" s="134">
        <f t="shared" si="43"/>
        <v>300628</v>
      </c>
      <c r="F165" s="134">
        <v>280600</v>
      </c>
      <c r="G165" s="134">
        <v>20028</v>
      </c>
      <c r="H165" s="134">
        <v>0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5">
        <v>0</v>
      </c>
      <c r="O165" s="135">
        <v>0</v>
      </c>
      <c r="P165" s="135">
        <v>0</v>
      </c>
      <c r="Q165" s="135">
        <v>0</v>
      </c>
    </row>
    <row r="166" spans="1:17" s="118" customFormat="1" ht="24.75" customHeight="1">
      <c r="A166" s="132"/>
      <c r="B166" s="132" t="s">
        <v>435</v>
      </c>
      <c r="C166" s="133" t="s">
        <v>436</v>
      </c>
      <c r="D166" s="134">
        <f t="shared" si="42"/>
        <v>691280</v>
      </c>
      <c r="E166" s="134">
        <f t="shared" si="43"/>
        <v>691280</v>
      </c>
      <c r="F166" s="134">
        <v>0</v>
      </c>
      <c r="G166" s="134">
        <v>0</v>
      </c>
      <c r="H166" s="134">
        <v>691280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5">
        <v>0</v>
      </c>
      <c r="O166" s="135">
        <v>0</v>
      </c>
      <c r="P166" s="135">
        <v>0</v>
      </c>
      <c r="Q166" s="135">
        <v>0</v>
      </c>
    </row>
    <row r="167" spans="1:17" s="118" customFormat="1" ht="24" customHeight="1">
      <c r="A167" s="132"/>
      <c r="B167" s="132" t="s">
        <v>375</v>
      </c>
      <c r="C167" s="133" t="s">
        <v>349</v>
      </c>
      <c r="D167" s="134">
        <f t="shared" si="42"/>
        <v>21360</v>
      </c>
      <c r="E167" s="134">
        <f t="shared" si="43"/>
        <v>21360</v>
      </c>
      <c r="F167" s="134">
        <v>0</v>
      </c>
      <c r="G167" s="134">
        <v>21360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0</v>
      </c>
      <c r="N167" s="135">
        <v>0</v>
      </c>
      <c r="O167" s="135">
        <v>0</v>
      </c>
      <c r="P167" s="135">
        <v>0</v>
      </c>
      <c r="Q167" s="135">
        <v>0</v>
      </c>
    </row>
    <row r="168" spans="1:17" s="131" customFormat="1" ht="21.75" customHeight="1">
      <c r="A168" s="136" t="s">
        <v>195</v>
      </c>
      <c r="B168" s="136"/>
      <c r="C168" s="137" t="s">
        <v>196</v>
      </c>
      <c r="D168" s="138">
        <f>D170+D169+D171+D172</f>
        <v>1329390</v>
      </c>
      <c r="E168" s="138">
        <f aca="true" t="shared" si="44" ref="E168:Q168">E170+E169+E171+E172</f>
        <v>1329390</v>
      </c>
      <c r="F168" s="138">
        <f t="shared" si="44"/>
        <v>0</v>
      </c>
      <c r="G168" s="138">
        <f t="shared" si="44"/>
        <v>1329390</v>
      </c>
      <c r="H168" s="138">
        <f t="shared" si="44"/>
        <v>0</v>
      </c>
      <c r="I168" s="138">
        <f t="shared" si="44"/>
        <v>0</v>
      </c>
      <c r="J168" s="138">
        <f t="shared" si="44"/>
        <v>0</v>
      </c>
      <c r="K168" s="138">
        <f t="shared" si="44"/>
        <v>0</v>
      </c>
      <c r="L168" s="138">
        <f t="shared" si="44"/>
        <v>0</v>
      </c>
      <c r="M168" s="138">
        <f t="shared" si="44"/>
        <v>0</v>
      </c>
      <c r="N168" s="138">
        <f t="shared" si="44"/>
        <v>0</v>
      </c>
      <c r="O168" s="138">
        <f t="shared" si="44"/>
        <v>0</v>
      </c>
      <c r="P168" s="138">
        <f t="shared" si="44"/>
        <v>0</v>
      </c>
      <c r="Q168" s="138">
        <f t="shared" si="44"/>
        <v>0</v>
      </c>
    </row>
    <row r="169" spans="1:17" s="118" customFormat="1" ht="22.5">
      <c r="A169" s="132"/>
      <c r="B169" s="132" t="s">
        <v>379</v>
      </c>
      <c r="C169" s="133" t="s">
        <v>380</v>
      </c>
      <c r="D169" s="134">
        <f>E169+M169</f>
        <v>300000</v>
      </c>
      <c r="E169" s="134">
        <f>SUM(F169:L169)</f>
        <v>300000</v>
      </c>
      <c r="F169" s="134">
        <v>0</v>
      </c>
      <c r="G169" s="134">
        <v>300000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0</v>
      </c>
    </row>
    <row r="170" spans="1:17" s="118" customFormat="1" ht="24" customHeight="1">
      <c r="A170" s="132"/>
      <c r="B170" s="132" t="s">
        <v>437</v>
      </c>
      <c r="C170" s="133" t="s">
        <v>438</v>
      </c>
      <c r="D170" s="134">
        <f>E170+M170</f>
        <v>4390</v>
      </c>
      <c r="E170" s="134">
        <f>SUM(F170:L170)</f>
        <v>4390</v>
      </c>
      <c r="F170" s="134">
        <v>0</v>
      </c>
      <c r="G170" s="134">
        <v>4390</v>
      </c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5">
        <v>0</v>
      </c>
      <c r="O170" s="135">
        <v>0</v>
      </c>
      <c r="P170" s="135">
        <v>0</v>
      </c>
      <c r="Q170" s="135">
        <v>0</v>
      </c>
    </row>
    <row r="171" spans="1:17" s="118" customFormat="1" ht="23.25" customHeight="1">
      <c r="A171" s="132"/>
      <c r="B171" s="132" t="s">
        <v>383</v>
      </c>
      <c r="C171" s="133" t="s">
        <v>384</v>
      </c>
      <c r="D171" s="134">
        <f>E171+M171</f>
        <v>994000</v>
      </c>
      <c r="E171" s="134">
        <f>SUM(F171:L171)</f>
        <v>994000</v>
      </c>
      <c r="F171" s="134">
        <v>0</v>
      </c>
      <c r="G171" s="134">
        <v>994000</v>
      </c>
      <c r="H171" s="134">
        <v>0</v>
      </c>
      <c r="I171" s="134">
        <v>0</v>
      </c>
      <c r="J171" s="134">
        <v>0</v>
      </c>
      <c r="K171" s="134">
        <v>0</v>
      </c>
      <c r="L171" s="134">
        <v>0</v>
      </c>
      <c r="M171" s="134">
        <v>0</v>
      </c>
      <c r="N171" s="135">
        <v>0</v>
      </c>
      <c r="O171" s="135">
        <v>0</v>
      </c>
      <c r="P171" s="135">
        <v>0</v>
      </c>
      <c r="Q171" s="135">
        <v>0</v>
      </c>
    </row>
    <row r="172" spans="1:17" s="118" customFormat="1" ht="23.25" customHeight="1">
      <c r="A172" s="152"/>
      <c r="B172" s="152" t="s">
        <v>212</v>
      </c>
      <c r="C172" s="153" t="s">
        <v>14</v>
      </c>
      <c r="D172" s="134">
        <f>E172+M172</f>
        <v>31000</v>
      </c>
      <c r="E172" s="134">
        <f>SUM(F172:L172)</f>
        <v>31000</v>
      </c>
      <c r="F172" s="154">
        <v>0</v>
      </c>
      <c r="G172" s="154">
        <v>31000</v>
      </c>
      <c r="H172" s="154">
        <v>0</v>
      </c>
      <c r="I172" s="154">
        <v>0</v>
      </c>
      <c r="J172" s="154">
        <v>0</v>
      </c>
      <c r="K172" s="154">
        <v>0</v>
      </c>
      <c r="L172" s="154">
        <v>0</v>
      </c>
      <c r="M172" s="154">
        <v>0</v>
      </c>
      <c r="N172" s="155">
        <v>0</v>
      </c>
      <c r="O172" s="155">
        <v>0</v>
      </c>
      <c r="P172" s="155">
        <v>0</v>
      </c>
      <c r="Q172" s="155">
        <v>0</v>
      </c>
    </row>
    <row r="173" spans="1:17" s="118" customFormat="1" ht="11.25">
      <c r="A173" s="367" t="s">
        <v>439</v>
      </c>
      <c r="B173" s="367"/>
      <c r="C173" s="367"/>
      <c r="D173" s="156">
        <f aca="true" t="shared" si="45" ref="D173:Q173">SUM(D168,D160,D154,D146,D141,D130,D126,D122,D117,D112)+D115</f>
        <v>116658003</v>
      </c>
      <c r="E173" s="156">
        <f t="shared" si="45"/>
        <v>67081444</v>
      </c>
      <c r="F173" s="156">
        <f t="shared" si="45"/>
        <v>33916136</v>
      </c>
      <c r="G173" s="156">
        <f t="shared" si="45"/>
        <v>25900774</v>
      </c>
      <c r="H173" s="156">
        <f t="shared" si="45"/>
        <v>4977590</v>
      </c>
      <c r="I173" s="156">
        <f t="shared" si="45"/>
        <v>2199506</v>
      </c>
      <c r="J173" s="156">
        <f t="shared" si="45"/>
        <v>87438</v>
      </c>
      <c r="K173" s="156">
        <f t="shared" si="45"/>
        <v>0</v>
      </c>
      <c r="L173" s="156">
        <f t="shared" si="45"/>
        <v>0</v>
      </c>
      <c r="M173" s="156">
        <f t="shared" si="45"/>
        <v>49576559</v>
      </c>
      <c r="N173" s="156">
        <f t="shared" si="45"/>
        <v>49576559</v>
      </c>
      <c r="O173" s="156">
        <f t="shared" si="45"/>
        <v>8793302</v>
      </c>
      <c r="P173" s="156">
        <f t="shared" si="45"/>
        <v>0</v>
      </c>
      <c r="Q173" s="156">
        <f t="shared" si="45"/>
        <v>0</v>
      </c>
    </row>
    <row r="174" spans="1:17" s="158" customFormat="1" ht="16.5" customHeight="1">
      <c r="A174" s="369" t="s">
        <v>440</v>
      </c>
      <c r="B174" s="369"/>
      <c r="C174" s="369"/>
      <c r="D174" s="157">
        <f aca="true" t="shared" si="46" ref="D174:Q174">D173+D110</f>
        <v>257436950</v>
      </c>
      <c r="E174" s="157">
        <f t="shared" si="46"/>
        <v>173668226</v>
      </c>
      <c r="F174" s="157">
        <f t="shared" si="46"/>
        <v>77521859</v>
      </c>
      <c r="G174" s="157">
        <f t="shared" si="46"/>
        <v>62431670</v>
      </c>
      <c r="H174" s="157">
        <f t="shared" si="46"/>
        <v>16961565</v>
      </c>
      <c r="I174" s="157">
        <f t="shared" si="46"/>
        <v>13323721</v>
      </c>
      <c r="J174" s="157">
        <f t="shared" si="46"/>
        <v>429411</v>
      </c>
      <c r="K174" s="157">
        <f t="shared" si="46"/>
        <v>0</v>
      </c>
      <c r="L174" s="157">
        <f t="shared" si="46"/>
        <v>3000000</v>
      </c>
      <c r="M174" s="157">
        <f t="shared" si="46"/>
        <v>83768724</v>
      </c>
      <c r="N174" s="157">
        <f t="shared" si="46"/>
        <v>83218324</v>
      </c>
      <c r="O174" s="157">
        <f t="shared" si="46"/>
        <v>23842652</v>
      </c>
      <c r="P174" s="157">
        <f t="shared" si="46"/>
        <v>550400</v>
      </c>
      <c r="Q174" s="157">
        <f t="shared" si="46"/>
        <v>0</v>
      </c>
    </row>
    <row r="176" spans="1:13" s="109" customFormat="1" ht="11.25" hidden="1">
      <c r="A176" s="159"/>
      <c r="B176" s="106"/>
      <c r="C176" s="108"/>
      <c r="D176" s="160">
        <f>'[1]Wydatki'!$J$918</f>
      </c>
      <c r="E176" s="160">
        <f>'[1]Wydatki'!$J$935</f>
      </c>
      <c r="F176" s="108"/>
      <c r="G176" s="108"/>
      <c r="H176" s="160">
        <f>SUM(H178:H183)</f>
        <v>16961565</v>
      </c>
      <c r="I176" s="108"/>
      <c r="J176" s="108"/>
      <c r="K176" s="108"/>
      <c r="L176" s="108"/>
      <c r="M176" s="160">
        <f>'[1]Wydatki'!$J$959</f>
      </c>
    </row>
    <row r="177" spans="1:13" s="164" customFormat="1" ht="11.25" hidden="1">
      <c r="A177" s="161"/>
      <c r="B177" s="161"/>
      <c r="C177" s="162" t="s">
        <v>441</v>
      </c>
      <c r="D177" s="163" t="e">
        <f>D174-D176</f>
        <v>#VALUE!</v>
      </c>
      <c r="E177" s="163" t="e">
        <f>E174-E176</f>
        <v>#VALUE!</v>
      </c>
      <c r="F177" s="163"/>
      <c r="G177" s="163"/>
      <c r="H177" s="163">
        <f>H174-H176</f>
        <v>0</v>
      </c>
      <c r="I177" s="163"/>
      <c r="J177" s="163"/>
      <c r="K177" s="163"/>
      <c r="L177" s="163"/>
      <c r="M177" s="163" t="e">
        <f>M174-M176</f>
        <v>#VALUE!</v>
      </c>
    </row>
    <row r="178" spans="8:13" ht="11.25" hidden="1">
      <c r="H178" s="165">
        <f>9!E18</f>
        <v>4135357</v>
      </c>
      <c r="M178" s="165">
        <f>SUM('11'!F19)</f>
        <v>2960365</v>
      </c>
    </row>
    <row r="179" ht="11.25" hidden="1">
      <c r="H179" s="165">
        <f>'10'!F10</f>
        <v>1977000</v>
      </c>
    </row>
    <row r="180" ht="11.25" hidden="1">
      <c r="H180" s="165">
        <f>'11'!E19</f>
        <v>706520</v>
      </c>
    </row>
    <row r="181" ht="11.25" hidden="1">
      <c r="H181" s="165">
        <f>SUM('12'!E19:F19)</f>
        <v>2990740</v>
      </c>
    </row>
    <row r="182" ht="11.25" hidden="1">
      <c r="H182" s="165">
        <f>SUM('13'!F34)</f>
        <v>4407734</v>
      </c>
    </row>
    <row r="183" ht="11.25" hidden="1">
      <c r="H183" s="165">
        <f>SUM('14'!E14)</f>
        <v>2744214</v>
      </c>
    </row>
    <row r="184" ht="11.25" hidden="1">
      <c r="H184" s="166"/>
    </row>
    <row r="185" ht="11.25" hidden="1"/>
    <row r="186" ht="11.25" hidden="1"/>
    <row r="187" spans="8:9" ht="11.25" hidden="1">
      <c r="H187" s="160">
        <f>SUM(H178:H183,M178)</f>
        <v>19921930</v>
      </c>
      <c r="I187" s="108" t="s">
        <v>442</v>
      </c>
    </row>
    <row r="188" spans="8:9" ht="11.25" hidden="1">
      <c r="H188" s="108"/>
      <c r="I188" s="108" t="s">
        <v>443</v>
      </c>
    </row>
    <row r="189" spans="8:9" ht="11.25" hidden="1">
      <c r="H189" s="166">
        <f>SUM(H176,M178)</f>
        <v>19921930</v>
      </c>
      <c r="I189" s="102" t="s">
        <v>444</v>
      </c>
    </row>
    <row r="190" spans="8:9" ht="11.25" hidden="1">
      <c r="H190" s="167">
        <f>H187-H189</f>
        <v>0</v>
      </c>
      <c r="I190" s="168" t="s">
        <v>445</v>
      </c>
    </row>
    <row r="191" ht="11.25" hidden="1"/>
  </sheetData>
  <sheetProtection sheet="1" objects="1" scenarios="1"/>
  <mergeCells count="22">
    <mergeCell ref="A1:Q1"/>
    <mergeCell ref="A4:A7"/>
    <mergeCell ref="B4:B7"/>
    <mergeCell ref="C4:C7"/>
    <mergeCell ref="D4:D7"/>
    <mergeCell ref="E5:E7"/>
    <mergeCell ref="A173:C173"/>
    <mergeCell ref="A174:C174"/>
    <mergeCell ref="N6:N7"/>
    <mergeCell ref="P6:P7"/>
    <mergeCell ref="Q6:Q7"/>
    <mergeCell ref="A9:Q9"/>
    <mergeCell ref="F6:G6"/>
    <mergeCell ref="H6:H7"/>
    <mergeCell ref="K6:K7"/>
    <mergeCell ref="L6:L7"/>
    <mergeCell ref="I6:I7"/>
    <mergeCell ref="J6:J7"/>
    <mergeCell ref="M5:M7"/>
    <mergeCell ref="N5:Q5"/>
    <mergeCell ref="A110:C110"/>
    <mergeCell ref="A111:Q111"/>
  </mergeCells>
  <printOptions horizontalCentered="1"/>
  <pageMargins left="0.39375" right="0.19652777777777777" top="1.4958333333333336" bottom="0.7875" header="0.5118055555555556" footer="0.5118055555555556"/>
  <pageSetup horizontalDpi="300" verticalDpi="300" orientation="landscape" paperSize="9" scale="95" r:id="rId1"/>
  <headerFooter alignWithMargins="0">
    <oddHeader xml:space="preserve">&amp;RZałącznik nr &amp;A
do uchwały ..................
 Rady Miasta Świnoujście
z dnia ..................... roku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pane ySplit="4" topLeftCell="A40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5.875" style="169" customWidth="1"/>
    <col min="2" max="2" width="10.00390625" style="169" customWidth="1"/>
    <col min="3" max="3" width="14.00390625" style="169" customWidth="1"/>
    <col min="4" max="4" width="82.125" style="169" customWidth="1"/>
    <col min="5" max="5" width="0" style="169" hidden="1" customWidth="1"/>
    <col min="6" max="6" width="17.25390625" style="169" customWidth="1"/>
    <col min="7" max="10" width="0" style="169" hidden="1" customWidth="1"/>
    <col min="11" max="11" width="19.125" style="169" customWidth="1"/>
    <col min="12" max="16384" width="9.125" style="169" customWidth="1"/>
  </cols>
  <sheetData>
    <row r="1" spans="1:10" ht="41.25" customHeight="1">
      <c r="A1" s="375" t="s">
        <v>446</v>
      </c>
      <c r="B1" s="375"/>
      <c r="C1" s="375"/>
      <c r="D1" s="375"/>
      <c r="E1" s="375"/>
      <c r="F1" s="375"/>
      <c r="G1" s="170"/>
      <c r="H1" s="170"/>
      <c r="I1" s="170"/>
      <c r="J1" s="170"/>
    </row>
    <row r="2" spans="1:10" ht="34.5" customHeight="1">
      <c r="A2" s="171"/>
      <c r="B2" s="171"/>
      <c r="C2" s="171"/>
      <c r="D2" s="171"/>
      <c r="E2" s="171"/>
      <c r="F2" s="172" t="s">
        <v>447</v>
      </c>
      <c r="G2" s="172" t="s">
        <v>447</v>
      </c>
      <c r="H2" s="172" t="s">
        <v>447</v>
      </c>
      <c r="I2" s="172" t="s">
        <v>447</v>
      </c>
      <c r="J2" s="172" t="s">
        <v>447</v>
      </c>
    </row>
    <row r="3" spans="1:10" ht="34.5" customHeight="1">
      <c r="A3" s="173" t="s">
        <v>448</v>
      </c>
      <c r="B3" s="173" t="s">
        <v>2</v>
      </c>
      <c r="C3" s="173" t="s">
        <v>3</v>
      </c>
      <c r="D3" s="174" t="s">
        <v>449</v>
      </c>
      <c r="E3" s="174" t="s">
        <v>450</v>
      </c>
      <c r="F3" s="175" t="s">
        <v>451</v>
      </c>
      <c r="G3" s="376" t="s">
        <v>452</v>
      </c>
      <c r="H3" s="376"/>
      <c r="I3" s="376"/>
      <c r="J3" s="376"/>
    </row>
    <row r="4" spans="1:10" ht="7.5" customHeight="1">
      <c r="A4" s="176">
        <v>1</v>
      </c>
      <c r="B4" s="176">
        <v>2</v>
      </c>
      <c r="C4" s="176">
        <v>3</v>
      </c>
      <c r="D4" s="176">
        <v>4</v>
      </c>
      <c r="E4" s="176">
        <v>5</v>
      </c>
      <c r="F4" s="176">
        <v>5</v>
      </c>
      <c r="G4" s="177">
        <v>6</v>
      </c>
      <c r="H4" s="176"/>
      <c r="I4" s="176">
        <v>7</v>
      </c>
      <c r="J4" s="176">
        <v>8</v>
      </c>
    </row>
    <row r="5" spans="1:10" s="181" customFormat="1" ht="19.5" customHeight="1">
      <c r="A5" s="178" t="s">
        <v>453</v>
      </c>
      <c r="B5" s="377" t="s">
        <v>454</v>
      </c>
      <c r="C5" s="377"/>
      <c r="D5" s="377"/>
      <c r="E5" s="179" t="e">
        <f>SUM(E6,E8,E9,E10,#REF!,#REF!,#REF!,#REF!,#REF!,E12,#REF!,#REF!,E16,E18,E19,#REF!,E22,E23,E25,#REF!,E31,#REF!,#REF!,#REF!,E32,E34,E36,#REF!)</f>
        <v>#REF!</v>
      </c>
      <c r="F5" s="179">
        <f>SUM(F6,F7,F8,F9,F10,F11,F12,F13,F14,F15,F16,F17,F18,F19,F20,F21,F22,F23,F24,F25,F26,F27,F28,F29,F30,F31,F32,F33,F34)+F35+F36</f>
        <v>65876959</v>
      </c>
      <c r="G5" s="180" t="e">
        <f>SUM(G6,G8,G9,G10,G11,#REF!,#REF!,#REF!,G12,G13,G14,G15,#REF!,#REF!,#REF!,G16,G18,G19,#REF!,G22,G23,G25,G26,#REF!,G30,G31,#REF!,#REF!)+G32+G33+G34+#REF!+G35+G36</f>
        <v>#REF!</v>
      </c>
      <c r="H5" s="179" t="e">
        <f>SUM(H6,H8,H9,H10,H11,#REF!,#REF!,#REF!,H12,H13,H14,H15,#REF!,#REF!,#REF!,H16,H18,H19,#REF!,H22,H23,H25,H26,#REF!,H30,H31,#REF!,#REF!)+H32+H33+H34+#REF!+H35+H36</f>
        <v>#REF!</v>
      </c>
      <c r="I5" s="179" t="e">
        <f>SUM(I6,I8,I9,I10,I11,#REF!,#REF!,#REF!,I12,I13,I14,I15,#REF!,#REF!,#REF!,I16,I18,I19,#REF!,I22,I23,I25,I26,#REF!,I30,I31,#REF!,#REF!)+I32+I33+I34+#REF!+I35+I36</f>
        <v>#REF!</v>
      </c>
      <c r="J5" s="179" t="e">
        <f>SUM(J6,J8,J9,J10,J11,#REF!,#REF!,#REF!,J12,J13,J14,J15,#REF!,#REF!,#REF!,J16,J18,J19,#REF!,J22,J23,J25,J26,#REF!,J30,J31,#REF!,#REF!)+J32+J33+J34+#REF!+J35+J36</f>
        <v>#REF!</v>
      </c>
    </row>
    <row r="6" spans="1:10" ht="24.75" customHeight="1">
      <c r="A6" s="182" t="s">
        <v>455</v>
      </c>
      <c r="B6" s="183" t="s">
        <v>313</v>
      </c>
      <c r="C6" s="183" t="s">
        <v>315</v>
      </c>
      <c r="D6" s="184" t="s">
        <v>456</v>
      </c>
      <c r="E6" s="185"/>
      <c r="F6" s="185">
        <v>80000</v>
      </c>
      <c r="G6" s="186"/>
      <c r="H6" s="185"/>
      <c r="I6" s="185"/>
      <c r="J6" s="187"/>
    </row>
    <row r="7" spans="1:10" ht="24.75" customHeight="1">
      <c r="A7" s="182" t="s">
        <v>457</v>
      </c>
      <c r="B7" s="183" t="s">
        <v>23</v>
      </c>
      <c r="C7" s="183" t="s">
        <v>227</v>
      </c>
      <c r="D7" s="184" t="s">
        <v>458</v>
      </c>
      <c r="E7" s="185">
        <v>40000001</v>
      </c>
      <c r="F7" s="185">
        <v>20239559</v>
      </c>
      <c r="G7" s="186"/>
      <c r="H7" s="185"/>
      <c r="I7" s="185"/>
      <c r="J7" s="187"/>
    </row>
    <row r="8" spans="1:10" ht="24.75" customHeight="1">
      <c r="A8" s="182" t="s">
        <v>459</v>
      </c>
      <c r="B8" s="183" t="s">
        <v>23</v>
      </c>
      <c r="C8" s="183" t="s">
        <v>227</v>
      </c>
      <c r="D8" s="184" t="s">
        <v>460</v>
      </c>
      <c r="E8" s="185">
        <v>8260000</v>
      </c>
      <c r="F8" s="185">
        <v>100000</v>
      </c>
      <c r="G8" s="186">
        <v>300000</v>
      </c>
      <c r="H8" s="185"/>
      <c r="I8" s="185"/>
      <c r="J8" s="187"/>
    </row>
    <row r="9" spans="1:10" ht="24.75" customHeight="1">
      <c r="A9" s="182" t="s">
        <v>461</v>
      </c>
      <c r="B9" s="188" t="s">
        <v>23</v>
      </c>
      <c r="C9" s="188" t="s">
        <v>227</v>
      </c>
      <c r="D9" s="189" t="s">
        <v>462</v>
      </c>
      <c r="E9" s="190">
        <v>18000000</v>
      </c>
      <c r="F9" s="185">
        <v>15134000</v>
      </c>
      <c r="G9" s="191">
        <v>5406000</v>
      </c>
      <c r="H9" s="190"/>
      <c r="I9" s="190">
        <v>2998000</v>
      </c>
      <c r="J9" s="192"/>
    </row>
    <row r="10" spans="1:10" ht="24.75" customHeight="1">
      <c r="A10" s="182" t="s">
        <v>463</v>
      </c>
      <c r="B10" s="193" t="s">
        <v>23</v>
      </c>
      <c r="C10" s="193" t="s">
        <v>227</v>
      </c>
      <c r="D10" s="194" t="s">
        <v>464</v>
      </c>
      <c r="E10" s="186">
        <v>31837000</v>
      </c>
      <c r="F10" s="185">
        <v>20000</v>
      </c>
      <c r="G10" s="191">
        <v>150000</v>
      </c>
      <c r="H10" s="191"/>
      <c r="I10" s="191"/>
      <c r="J10" s="195"/>
    </row>
    <row r="11" spans="1:10" ht="24.75" customHeight="1">
      <c r="A11" s="182" t="s">
        <v>465</v>
      </c>
      <c r="B11" s="193" t="s">
        <v>23</v>
      </c>
      <c r="C11" s="193" t="s">
        <v>227</v>
      </c>
      <c r="D11" s="194" t="s">
        <v>466</v>
      </c>
      <c r="E11" s="186"/>
      <c r="F11" s="185">
        <v>40000</v>
      </c>
      <c r="G11" s="191">
        <v>100000</v>
      </c>
      <c r="H11" s="191"/>
      <c r="I11" s="191"/>
      <c r="J11" s="195"/>
    </row>
    <row r="12" spans="1:10" ht="24.75" customHeight="1">
      <c r="A12" s="182" t="s">
        <v>467</v>
      </c>
      <c r="B12" s="196" t="s">
        <v>23</v>
      </c>
      <c r="C12" s="196" t="s">
        <v>25</v>
      </c>
      <c r="D12" s="194" t="s">
        <v>468</v>
      </c>
      <c r="E12" s="186">
        <v>1560000</v>
      </c>
      <c r="F12" s="185">
        <v>440000</v>
      </c>
      <c r="G12" s="186"/>
      <c r="H12" s="191"/>
      <c r="I12" s="191">
        <v>4600000</v>
      </c>
      <c r="J12" s="195"/>
    </row>
    <row r="13" spans="1:10" ht="24.75" customHeight="1">
      <c r="A13" s="182" t="s">
        <v>469</v>
      </c>
      <c r="B13" s="196" t="s">
        <v>23</v>
      </c>
      <c r="C13" s="196" t="s">
        <v>25</v>
      </c>
      <c r="D13" s="194" t="s">
        <v>470</v>
      </c>
      <c r="E13" s="186"/>
      <c r="F13" s="185">
        <v>2300000</v>
      </c>
      <c r="G13" s="186">
        <v>300000</v>
      </c>
      <c r="H13" s="191"/>
      <c r="I13" s="191"/>
      <c r="J13" s="195"/>
    </row>
    <row r="14" spans="1:10" ht="24.75" customHeight="1">
      <c r="A14" s="182" t="s">
        <v>471</v>
      </c>
      <c r="B14" s="196" t="s">
        <v>23</v>
      </c>
      <c r="C14" s="196" t="s">
        <v>25</v>
      </c>
      <c r="D14" s="194" t="s">
        <v>472</v>
      </c>
      <c r="E14" s="186"/>
      <c r="F14" s="185">
        <v>500000</v>
      </c>
      <c r="G14" s="186">
        <v>130000</v>
      </c>
      <c r="H14" s="191"/>
      <c r="I14" s="191"/>
      <c r="J14" s="195"/>
    </row>
    <row r="15" spans="1:10" ht="24.75" customHeight="1">
      <c r="A15" s="182" t="s">
        <v>473</v>
      </c>
      <c r="B15" s="196" t="s">
        <v>23</v>
      </c>
      <c r="C15" s="196" t="s">
        <v>25</v>
      </c>
      <c r="D15" s="194" t="s">
        <v>474</v>
      </c>
      <c r="E15" s="186"/>
      <c r="F15" s="185">
        <v>150000</v>
      </c>
      <c r="G15" s="186"/>
      <c r="H15" s="191"/>
      <c r="I15" s="191">
        <v>3454000</v>
      </c>
      <c r="J15" s="195"/>
    </row>
    <row r="16" spans="1:10" ht="24.75" customHeight="1">
      <c r="A16" s="182" t="s">
        <v>475</v>
      </c>
      <c r="B16" s="196" t="s">
        <v>36</v>
      </c>
      <c r="C16" s="196" t="s">
        <v>42</v>
      </c>
      <c r="D16" s="194" t="s">
        <v>476</v>
      </c>
      <c r="E16" s="186">
        <v>800000</v>
      </c>
      <c r="F16" s="185">
        <v>5328000</v>
      </c>
      <c r="G16" s="186">
        <v>4746000</v>
      </c>
      <c r="H16" s="186"/>
      <c r="I16" s="186">
        <v>2964000</v>
      </c>
      <c r="J16" s="197"/>
    </row>
    <row r="17" spans="1:10" ht="24.75" customHeight="1">
      <c r="A17" s="182" t="s">
        <v>477</v>
      </c>
      <c r="B17" s="196" t="s">
        <v>36</v>
      </c>
      <c r="C17" s="196" t="s">
        <v>42</v>
      </c>
      <c r="D17" s="194" t="s">
        <v>478</v>
      </c>
      <c r="E17" s="186">
        <v>800000</v>
      </c>
      <c r="F17" s="185">
        <v>110000</v>
      </c>
      <c r="G17" s="186">
        <v>4746000</v>
      </c>
      <c r="H17" s="186"/>
      <c r="I17" s="186">
        <v>2964000</v>
      </c>
      <c r="J17" s="197"/>
    </row>
    <row r="18" spans="1:10" ht="24.75" customHeight="1">
      <c r="A18" s="182" t="s">
        <v>479</v>
      </c>
      <c r="B18" s="196" t="s">
        <v>45</v>
      </c>
      <c r="C18" s="196" t="s">
        <v>57</v>
      </c>
      <c r="D18" s="194" t="s">
        <v>480</v>
      </c>
      <c r="E18" s="186">
        <v>27539000</v>
      </c>
      <c r="F18" s="185">
        <v>2800000</v>
      </c>
      <c r="G18" s="186">
        <v>1912500</v>
      </c>
      <c r="H18" s="186"/>
      <c r="I18" s="186"/>
      <c r="J18" s="197">
        <v>337500</v>
      </c>
    </row>
    <row r="19" spans="1:10" ht="24.75" customHeight="1">
      <c r="A19" s="182" t="s">
        <v>481</v>
      </c>
      <c r="B19" s="196" t="s">
        <v>66</v>
      </c>
      <c r="C19" s="196" t="s">
        <v>75</v>
      </c>
      <c r="D19" s="194" t="s">
        <v>482</v>
      </c>
      <c r="E19" s="186">
        <v>8021000</v>
      </c>
      <c r="F19" s="185">
        <v>140000</v>
      </c>
      <c r="G19" s="186">
        <v>240000</v>
      </c>
      <c r="H19" s="186"/>
      <c r="I19" s="186"/>
      <c r="J19" s="197"/>
    </row>
    <row r="20" spans="1:10" ht="24.75" customHeight="1">
      <c r="A20" s="182" t="s">
        <v>483</v>
      </c>
      <c r="B20" s="196" t="s">
        <v>156</v>
      </c>
      <c r="C20" s="196" t="s">
        <v>158</v>
      </c>
      <c r="D20" s="194" t="s">
        <v>484</v>
      </c>
      <c r="E20" s="186"/>
      <c r="F20" s="185">
        <v>85000</v>
      </c>
      <c r="G20" s="186"/>
      <c r="H20" s="186"/>
      <c r="I20" s="186"/>
      <c r="J20" s="197"/>
    </row>
    <row r="21" spans="1:10" ht="30" customHeight="1">
      <c r="A21" s="182" t="s">
        <v>485</v>
      </c>
      <c r="B21" s="196" t="s">
        <v>156</v>
      </c>
      <c r="C21" s="196" t="s">
        <v>158</v>
      </c>
      <c r="D21" s="194" t="s">
        <v>486</v>
      </c>
      <c r="E21" s="186"/>
      <c r="F21" s="185">
        <v>260000</v>
      </c>
      <c r="G21" s="186"/>
      <c r="H21" s="186"/>
      <c r="I21" s="186"/>
      <c r="J21" s="197"/>
    </row>
    <row r="22" spans="1:10" ht="30" customHeight="1">
      <c r="A22" s="182" t="s">
        <v>487</v>
      </c>
      <c r="B22" s="196" t="s">
        <v>156</v>
      </c>
      <c r="C22" s="196" t="s">
        <v>158</v>
      </c>
      <c r="D22" s="194" t="s">
        <v>488</v>
      </c>
      <c r="E22" s="186"/>
      <c r="F22" s="185">
        <v>1280000</v>
      </c>
      <c r="G22" s="186">
        <v>520000</v>
      </c>
      <c r="H22" s="186"/>
      <c r="I22" s="186">
        <v>520000</v>
      </c>
      <c r="J22" s="197"/>
    </row>
    <row r="23" spans="1:10" ht="24.75" customHeight="1">
      <c r="A23" s="182" t="s">
        <v>489</v>
      </c>
      <c r="B23" s="196" t="s">
        <v>156</v>
      </c>
      <c r="C23" s="196" t="s">
        <v>405</v>
      </c>
      <c r="D23" s="194" t="s">
        <v>490</v>
      </c>
      <c r="E23" s="186">
        <v>3675000</v>
      </c>
      <c r="F23" s="185">
        <v>10000</v>
      </c>
      <c r="G23" s="186">
        <v>260000</v>
      </c>
      <c r="H23" s="186"/>
      <c r="I23" s="186"/>
      <c r="J23" s="197"/>
    </row>
    <row r="24" spans="1:10" ht="24.75" customHeight="1">
      <c r="A24" s="182" t="s">
        <v>491</v>
      </c>
      <c r="B24" s="196" t="s">
        <v>156</v>
      </c>
      <c r="C24" s="196" t="s">
        <v>268</v>
      </c>
      <c r="D24" s="194" t="s">
        <v>492</v>
      </c>
      <c r="E24" s="186"/>
      <c r="F24" s="185">
        <v>80000</v>
      </c>
      <c r="G24" s="186"/>
      <c r="H24" s="186"/>
      <c r="I24" s="186"/>
      <c r="J24" s="197"/>
    </row>
    <row r="25" spans="1:10" ht="24.75" customHeight="1">
      <c r="A25" s="182" t="s">
        <v>493</v>
      </c>
      <c r="B25" s="196" t="s">
        <v>163</v>
      </c>
      <c r="C25" s="196" t="s">
        <v>415</v>
      </c>
      <c r="D25" s="198" t="s">
        <v>494</v>
      </c>
      <c r="E25" s="199"/>
      <c r="F25" s="185">
        <v>120000</v>
      </c>
      <c r="G25" s="186">
        <v>100000</v>
      </c>
      <c r="H25" s="186"/>
      <c r="I25" s="186"/>
      <c r="J25" s="197"/>
    </row>
    <row r="26" spans="1:10" ht="24.75" customHeight="1">
      <c r="A26" s="182" t="s">
        <v>495</v>
      </c>
      <c r="B26" s="193" t="s">
        <v>163</v>
      </c>
      <c r="C26" s="193" t="s">
        <v>165</v>
      </c>
      <c r="D26" s="200" t="s">
        <v>496</v>
      </c>
      <c r="E26" s="201"/>
      <c r="F26" s="190">
        <v>1793000</v>
      </c>
      <c r="G26" s="191">
        <v>170000</v>
      </c>
      <c r="H26" s="191"/>
      <c r="I26" s="191"/>
      <c r="J26" s="195"/>
    </row>
    <row r="27" spans="1:10" ht="24.75" customHeight="1">
      <c r="A27" s="182" t="s">
        <v>497</v>
      </c>
      <c r="B27" s="193" t="s">
        <v>163</v>
      </c>
      <c r="C27" s="193" t="s">
        <v>165</v>
      </c>
      <c r="D27" s="200" t="s">
        <v>498</v>
      </c>
      <c r="E27" s="201"/>
      <c r="F27" s="190">
        <v>345000</v>
      </c>
      <c r="G27" s="191"/>
      <c r="H27" s="191"/>
      <c r="I27" s="191"/>
      <c r="J27" s="195"/>
    </row>
    <row r="28" spans="1:10" ht="24.75" customHeight="1">
      <c r="A28" s="182" t="s">
        <v>499</v>
      </c>
      <c r="B28" s="193" t="s">
        <v>163</v>
      </c>
      <c r="C28" s="193" t="s">
        <v>167</v>
      </c>
      <c r="D28" s="200" t="s">
        <v>500</v>
      </c>
      <c r="E28" s="201"/>
      <c r="F28" s="190">
        <v>150000</v>
      </c>
      <c r="G28" s="191"/>
      <c r="H28" s="191"/>
      <c r="I28" s="191"/>
      <c r="J28" s="195"/>
    </row>
    <row r="29" spans="1:10" ht="30" customHeight="1">
      <c r="A29" s="182" t="s">
        <v>501</v>
      </c>
      <c r="B29" s="193" t="s">
        <v>187</v>
      </c>
      <c r="C29" s="193" t="s">
        <v>191</v>
      </c>
      <c r="D29" s="200" t="s">
        <v>502</v>
      </c>
      <c r="E29" s="201"/>
      <c r="F29" s="190">
        <v>460400</v>
      </c>
      <c r="G29" s="191"/>
      <c r="H29" s="191"/>
      <c r="I29" s="191"/>
      <c r="J29" s="195"/>
    </row>
    <row r="30" spans="1:10" ht="46.5" customHeight="1">
      <c r="A30" s="182" t="s">
        <v>503</v>
      </c>
      <c r="B30" s="193" t="s">
        <v>195</v>
      </c>
      <c r="C30" s="202" t="s">
        <v>197</v>
      </c>
      <c r="D30" s="203" t="s">
        <v>504</v>
      </c>
      <c r="E30" s="191">
        <v>2300000</v>
      </c>
      <c r="F30" s="190">
        <v>1600000</v>
      </c>
      <c r="G30" s="191">
        <v>152500</v>
      </c>
      <c r="H30" s="191"/>
      <c r="I30" s="191">
        <v>807500</v>
      </c>
      <c r="J30" s="195"/>
    </row>
    <row r="31" spans="1:10" ht="30" customHeight="1">
      <c r="A31" s="182" t="s">
        <v>505</v>
      </c>
      <c r="B31" s="196" t="s">
        <v>195</v>
      </c>
      <c r="C31" s="196" t="s">
        <v>197</v>
      </c>
      <c r="D31" s="194" t="s">
        <v>506</v>
      </c>
      <c r="E31" s="186">
        <v>24471000</v>
      </c>
      <c r="F31" s="185">
        <v>1900000</v>
      </c>
      <c r="G31" s="186">
        <v>396000</v>
      </c>
      <c r="H31" s="186"/>
      <c r="I31" s="186"/>
      <c r="J31" s="197">
        <v>44000</v>
      </c>
    </row>
    <row r="32" spans="1:10" ht="24.75" customHeight="1">
      <c r="A32" s="182" t="s">
        <v>507</v>
      </c>
      <c r="B32" s="196" t="s">
        <v>195</v>
      </c>
      <c r="C32" s="196" t="s">
        <v>212</v>
      </c>
      <c r="D32" s="194" t="s">
        <v>508</v>
      </c>
      <c r="E32" s="186">
        <v>15982000</v>
      </c>
      <c r="F32" s="185">
        <v>3500000</v>
      </c>
      <c r="G32" s="186">
        <v>3800000</v>
      </c>
      <c r="H32" s="186"/>
      <c r="I32" s="186"/>
      <c r="J32" s="197"/>
    </row>
    <row r="33" spans="1:10" ht="24.75" customHeight="1">
      <c r="A33" s="182" t="s">
        <v>509</v>
      </c>
      <c r="B33" s="196" t="s">
        <v>195</v>
      </c>
      <c r="C33" s="196" t="s">
        <v>212</v>
      </c>
      <c r="D33" s="194" t="s">
        <v>510</v>
      </c>
      <c r="E33" s="186"/>
      <c r="F33" s="185">
        <v>182000</v>
      </c>
      <c r="G33" s="186">
        <v>100000</v>
      </c>
      <c r="H33" s="186"/>
      <c r="I33" s="186"/>
      <c r="J33" s="197"/>
    </row>
    <row r="34" spans="1:10" ht="32.25" customHeight="1">
      <c r="A34" s="182" t="s">
        <v>511</v>
      </c>
      <c r="B34" s="196" t="s">
        <v>213</v>
      </c>
      <c r="C34" s="196" t="s">
        <v>389</v>
      </c>
      <c r="D34" s="194" t="s">
        <v>512</v>
      </c>
      <c r="E34" s="186">
        <v>1114000</v>
      </c>
      <c r="F34" s="185">
        <v>30000</v>
      </c>
      <c r="G34" s="186">
        <v>100000</v>
      </c>
      <c r="H34" s="186"/>
      <c r="I34" s="186">
        <v>300000</v>
      </c>
      <c r="J34" s="197"/>
    </row>
    <row r="35" spans="1:10" ht="24.75" customHeight="1">
      <c r="A35" s="182" t="s">
        <v>513</v>
      </c>
      <c r="B35" s="196" t="s">
        <v>217</v>
      </c>
      <c r="C35" s="196" t="s">
        <v>219</v>
      </c>
      <c r="D35" s="194" t="s">
        <v>514</v>
      </c>
      <c r="E35" s="186"/>
      <c r="F35" s="185">
        <v>5200000</v>
      </c>
      <c r="G35" s="186">
        <v>281000</v>
      </c>
      <c r="H35" s="186"/>
      <c r="I35" s="186"/>
      <c r="J35" s="197"/>
    </row>
    <row r="36" spans="1:10" ht="24.75" customHeight="1">
      <c r="A36" s="182" t="s">
        <v>515</v>
      </c>
      <c r="B36" s="204" t="s">
        <v>217</v>
      </c>
      <c r="C36" s="204" t="s">
        <v>219</v>
      </c>
      <c r="D36" s="205" t="s">
        <v>516</v>
      </c>
      <c r="E36" s="206">
        <v>28862000</v>
      </c>
      <c r="F36" s="207">
        <v>1500000</v>
      </c>
      <c r="G36" s="206">
        <v>287650</v>
      </c>
      <c r="H36" s="206"/>
      <c r="I36" s="206">
        <v>1573350</v>
      </c>
      <c r="J36" s="208"/>
    </row>
    <row r="37" spans="1:10" s="181" customFormat="1" ht="19.5" customHeight="1">
      <c r="A37" s="209" t="s">
        <v>517</v>
      </c>
      <c r="B37" s="374" t="s">
        <v>518</v>
      </c>
      <c r="C37" s="374"/>
      <c r="D37" s="374"/>
      <c r="E37" s="210">
        <f>SUM(E40:E55)</f>
        <v>0</v>
      </c>
      <c r="F37" s="210">
        <f>SUM(F38,F39,F40,F41,F42,F43,F44,F45,F46,F47,F48,F49,F50,F51,F52,F53,F54,F55)</f>
        <v>17891765</v>
      </c>
      <c r="G37" s="211" t="e">
        <f>SUM(G38,G40,G41,G42,#REF!,G44,G45,#REF!,#REF!,G47,G48,#REF!,G52,G53,G54,G55)</f>
        <v>#REF!</v>
      </c>
      <c r="H37" s="210" t="e">
        <f>SUM(H38,H40,H41,H42,#REF!,H44,H45,#REF!,#REF!,H47,H48,#REF!,H52,H53,H54,H55)</f>
        <v>#REF!</v>
      </c>
      <c r="I37" s="210" t="e">
        <f>SUM(I38,I40,I41,I42,#REF!,I44,I45,#REF!,#REF!,I47,I48,#REF!,I52,I53,I54,I55)</f>
        <v>#REF!</v>
      </c>
      <c r="J37" s="210" t="e">
        <f>SUM(J38,J40,J41,J42,#REF!,J44,J45,#REF!,#REF!,J47,J48,#REF!,J52,J53,J54,J55)</f>
        <v>#REF!</v>
      </c>
    </row>
    <row r="38" spans="1:10" ht="24.75" customHeight="1">
      <c r="A38" s="182" t="s">
        <v>519</v>
      </c>
      <c r="B38" s="183" t="s">
        <v>23</v>
      </c>
      <c r="C38" s="183" t="s">
        <v>316</v>
      </c>
      <c r="D38" s="184" t="s">
        <v>317</v>
      </c>
      <c r="E38" s="185"/>
      <c r="F38" s="185">
        <v>50000</v>
      </c>
      <c r="G38" s="186">
        <v>100000</v>
      </c>
      <c r="H38" s="185"/>
      <c r="I38" s="185"/>
      <c r="J38" s="187"/>
    </row>
    <row r="39" spans="1:10" ht="24.75" customHeight="1">
      <c r="A39" s="182" t="s">
        <v>520</v>
      </c>
      <c r="B39" s="183" t="s">
        <v>23</v>
      </c>
      <c r="C39" s="183" t="s">
        <v>227</v>
      </c>
      <c r="D39" s="184" t="s">
        <v>521</v>
      </c>
      <c r="E39" s="185"/>
      <c r="F39" s="185">
        <v>13700000</v>
      </c>
      <c r="G39" s="186"/>
      <c r="H39" s="185"/>
      <c r="I39" s="185"/>
      <c r="J39" s="187"/>
    </row>
    <row r="40" spans="1:10" ht="24.75" customHeight="1">
      <c r="A40" s="182" t="s">
        <v>522</v>
      </c>
      <c r="B40" s="183" t="s">
        <v>45</v>
      </c>
      <c r="C40" s="183" t="s">
        <v>318</v>
      </c>
      <c r="D40" s="184" t="s">
        <v>319</v>
      </c>
      <c r="E40" s="185"/>
      <c r="F40" s="185">
        <v>2026365</v>
      </c>
      <c r="G40" s="186">
        <v>354000</v>
      </c>
      <c r="H40" s="185"/>
      <c r="I40" s="185"/>
      <c r="J40" s="187"/>
    </row>
    <row r="41" spans="1:10" ht="24.75" customHeight="1">
      <c r="A41" s="182" t="s">
        <v>523</v>
      </c>
      <c r="B41" s="183" t="s">
        <v>45</v>
      </c>
      <c r="C41" s="183" t="s">
        <v>47</v>
      </c>
      <c r="D41" s="184" t="s">
        <v>48</v>
      </c>
      <c r="E41" s="185"/>
      <c r="F41" s="185">
        <f>500000+5000</f>
        <v>505000</v>
      </c>
      <c r="G41" s="186">
        <v>2610000</v>
      </c>
      <c r="H41" s="185"/>
      <c r="I41" s="185"/>
      <c r="J41" s="192"/>
    </row>
    <row r="42" spans="1:10" ht="24.75" customHeight="1">
      <c r="A42" s="182" t="s">
        <v>524</v>
      </c>
      <c r="B42" s="183" t="s">
        <v>60</v>
      </c>
      <c r="C42" s="183" t="s">
        <v>237</v>
      </c>
      <c r="D42" s="184" t="s">
        <v>238</v>
      </c>
      <c r="E42" s="185"/>
      <c r="F42" s="185">
        <v>8000</v>
      </c>
      <c r="G42" s="186">
        <v>52000</v>
      </c>
      <c r="H42" s="185"/>
      <c r="I42" s="185"/>
      <c r="J42" s="192"/>
    </row>
    <row r="43" spans="1:10" ht="24.75" customHeight="1">
      <c r="A43" s="182" t="s">
        <v>525</v>
      </c>
      <c r="B43" s="183" t="s">
        <v>60</v>
      </c>
      <c r="C43" s="183" t="s">
        <v>240</v>
      </c>
      <c r="D43" s="184" t="s">
        <v>241</v>
      </c>
      <c r="E43" s="185"/>
      <c r="F43" s="185">
        <v>11000</v>
      </c>
      <c r="G43" s="186"/>
      <c r="H43" s="185"/>
      <c r="I43" s="185"/>
      <c r="J43" s="192"/>
    </row>
    <row r="44" spans="1:10" ht="24.75" customHeight="1">
      <c r="A44" s="182" t="s">
        <v>526</v>
      </c>
      <c r="B44" s="183" t="s">
        <v>66</v>
      </c>
      <c r="C44" s="183" t="s">
        <v>322</v>
      </c>
      <c r="D44" s="184" t="s">
        <v>323</v>
      </c>
      <c r="E44" s="185"/>
      <c r="F44" s="185">
        <f>SUM(G44:J44)</f>
        <v>4000</v>
      </c>
      <c r="G44" s="186">
        <v>4000</v>
      </c>
      <c r="H44" s="185"/>
      <c r="I44" s="185"/>
      <c r="J44" s="192"/>
    </row>
    <row r="45" spans="1:10" ht="24.75" customHeight="1">
      <c r="A45" s="182" t="s">
        <v>527</v>
      </c>
      <c r="B45" s="183" t="s">
        <v>66</v>
      </c>
      <c r="C45" s="183" t="s">
        <v>71</v>
      </c>
      <c r="D45" s="184" t="s">
        <v>528</v>
      </c>
      <c r="E45" s="185"/>
      <c r="F45" s="185">
        <v>114000</v>
      </c>
      <c r="G45" s="186">
        <v>300000</v>
      </c>
      <c r="H45" s="185"/>
      <c r="I45" s="185"/>
      <c r="J45" s="187"/>
    </row>
    <row r="46" spans="1:10" ht="24.75" customHeight="1">
      <c r="A46" s="182" t="s">
        <v>529</v>
      </c>
      <c r="B46" s="193" t="s">
        <v>83</v>
      </c>
      <c r="C46" s="193" t="s">
        <v>327</v>
      </c>
      <c r="D46" s="194" t="s">
        <v>328</v>
      </c>
      <c r="E46" s="186"/>
      <c r="F46" s="185">
        <v>40000</v>
      </c>
      <c r="G46" s="191"/>
      <c r="H46" s="191"/>
      <c r="I46" s="191"/>
      <c r="J46" s="195"/>
    </row>
    <row r="47" spans="1:10" ht="24.75" customHeight="1">
      <c r="A47" s="182" t="s">
        <v>530</v>
      </c>
      <c r="B47" s="193" t="s">
        <v>163</v>
      </c>
      <c r="C47" s="193" t="s">
        <v>413</v>
      </c>
      <c r="D47" s="194" t="s">
        <v>414</v>
      </c>
      <c r="E47" s="186"/>
      <c r="F47" s="185">
        <v>40000</v>
      </c>
      <c r="G47" s="191">
        <v>238000</v>
      </c>
      <c r="H47" s="191"/>
      <c r="I47" s="191"/>
      <c r="J47" s="195"/>
    </row>
    <row r="48" spans="1:10" ht="24.75" customHeight="1">
      <c r="A48" s="182" t="s">
        <v>531</v>
      </c>
      <c r="B48" s="193" t="s">
        <v>163</v>
      </c>
      <c r="C48" s="193" t="s">
        <v>415</v>
      </c>
      <c r="D48" s="194" t="s">
        <v>416</v>
      </c>
      <c r="E48" s="186"/>
      <c r="F48" s="185">
        <v>69000</v>
      </c>
      <c r="G48" s="191">
        <v>44500</v>
      </c>
      <c r="H48" s="191"/>
      <c r="I48" s="191"/>
      <c r="J48" s="195"/>
    </row>
    <row r="49" spans="1:10" ht="24.75" customHeight="1">
      <c r="A49" s="182" t="s">
        <v>532</v>
      </c>
      <c r="B49" s="193" t="s">
        <v>163</v>
      </c>
      <c r="C49" s="193" t="s">
        <v>353</v>
      </c>
      <c r="D49" s="194" t="s">
        <v>354</v>
      </c>
      <c r="E49" s="186"/>
      <c r="F49" s="185">
        <v>10000</v>
      </c>
      <c r="G49" s="191"/>
      <c r="H49" s="191"/>
      <c r="I49" s="191"/>
      <c r="J49" s="195"/>
    </row>
    <row r="50" spans="1:10" ht="24.75" customHeight="1">
      <c r="A50" s="182" t="s">
        <v>533</v>
      </c>
      <c r="B50" s="193" t="s">
        <v>168</v>
      </c>
      <c r="C50" s="193" t="s">
        <v>182</v>
      </c>
      <c r="D50" s="194" t="s">
        <v>183</v>
      </c>
      <c r="E50" s="186"/>
      <c r="F50" s="185">
        <v>29000</v>
      </c>
      <c r="G50" s="191"/>
      <c r="H50" s="191"/>
      <c r="I50" s="191"/>
      <c r="J50" s="195"/>
    </row>
    <row r="51" spans="1:10" ht="24.75" customHeight="1">
      <c r="A51" s="182" t="s">
        <v>534</v>
      </c>
      <c r="B51" s="196" t="s">
        <v>195</v>
      </c>
      <c r="C51" s="196" t="s">
        <v>212</v>
      </c>
      <c r="D51" s="194" t="s">
        <v>14</v>
      </c>
      <c r="E51" s="186"/>
      <c r="F51" s="185">
        <v>500400</v>
      </c>
      <c r="G51" s="186"/>
      <c r="H51" s="186"/>
      <c r="I51" s="186"/>
      <c r="J51" s="197"/>
    </row>
    <row r="52" spans="1:10" ht="24.75" customHeight="1">
      <c r="A52" s="182" t="s">
        <v>535</v>
      </c>
      <c r="B52" s="196" t="s">
        <v>213</v>
      </c>
      <c r="C52" s="196" t="s">
        <v>385</v>
      </c>
      <c r="D52" s="194" t="s">
        <v>386</v>
      </c>
      <c r="E52" s="186"/>
      <c r="F52" s="185">
        <v>30000</v>
      </c>
      <c r="G52" s="186">
        <v>811660</v>
      </c>
      <c r="H52" s="186"/>
      <c r="I52" s="186"/>
      <c r="J52" s="197"/>
    </row>
    <row r="53" spans="1:10" ht="24.75" customHeight="1">
      <c r="A53" s="182" t="s">
        <v>536</v>
      </c>
      <c r="B53" s="196" t="s">
        <v>213</v>
      </c>
      <c r="C53" s="196" t="s">
        <v>387</v>
      </c>
      <c r="D53" s="194" t="s">
        <v>388</v>
      </c>
      <c r="E53" s="186"/>
      <c r="F53" s="185">
        <v>62000</v>
      </c>
      <c r="G53" s="186">
        <v>400000</v>
      </c>
      <c r="H53" s="186"/>
      <c r="I53" s="186"/>
      <c r="J53" s="197"/>
    </row>
    <row r="54" spans="1:10" ht="24.75" customHeight="1">
      <c r="A54" s="182" t="s">
        <v>537</v>
      </c>
      <c r="B54" s="196" t="s">
        <v>213</v>
      </c>
      <c r="C54" s="196" t="s">
        <v>389</v>
      </c>
      <c r="D54" s="194" t="s">
        <v>390</v>
      </c>
      <c r="E54" s="186"/>
      <c r="F54" s="185">
        <v>213000</v>
      </c>
      <c r="G54" s="186"/>
      <c r="H54" s="186"/>
      <c r="I54" s="186"/>
      <c r="J54" s="197"/>
    </row>
    <row r="55" spans="1:10" ht="24.75" customHeight="1">
      <c r="A55" s="182" t="s">
        <v>538</v>
      </c>
      <c r="B55" s="204" t="s">
        <v>217</v>
      </c>
      <c r="C55" s="204" t="s">
        <v>392</v>
      </c>
      <c r="D55" s="205" t="s">
        <v>393</v>
      </c>
      <c r="E55" s="206"/>
      <c r="F55" s="207">
        <v>480000</v>
      </c>
      <c r="G55" s="206">
        <v>340000</v>
      </c>
      <c r="H55" s="206"/>
      <c r="I55" s="206"/>
      <c r="J55" s="208"/>
    </row>
    <row r="56" spans="1:10" s="181" customFormat="1" ht="19.5" customHeight="1">
      <c r="A56" s="374" t="s">
        <v>539</v>
      </c>
      <c r="B56" s="374"/>
      <c r="C56" s="374"/>
      <c r="D56" s="374"/>
      <c r="E56" s="210" t="e">
        <f aca="true" t="shared" si="0" ref="E56:J56">SUM(E5,E37)</f>
        <v>#REF!</v>
      </c>
      <c r="F56" s="210">
        <f t="shared" si="0"/>
        <v>83768724</v>
      </c>
      <c r="G56" s="211" t="e">
        <f t="shared" si="0"/>
        <v>#REF!</v>
      </c>
      <c r="H56" s="210" t="e">
        <f t="shared" si="0"/>
        <v>#REF!</v>
      </c>
      <c r="I56" s="210" t="e">
        <f t="shared" si="0"/>
        <v>#REF!</v>
      </c>
      <c r="J56" s="210" t="e">
        <f t="shared" si="0"/>
        <v>#REF!</v>
      </c>
    </row>
    <row r="59" ht="12.75">
      <c r="F59" s="212"/>
    </row>
    <row r="61" spans="4:6" s="213" customFormat="1" ht="12.75">
      <c r="D61" s="214"/>
      <c r="F61" s="215"/>
    </row>
  </sheetData>
  <sheetProtection sheet="1" objects="1" scenarios="1"/>
  <mergeCells count="5">
    <mergeCell ref="A56:D56"/>
    <mergeCell ref="A1:F1"/>
    <mergeCell ref="G3:J3"/>
    <mergeCell ref="B5:D5"/>
    <mergeCell ref="B37:D37"/>
  </mergeCells>
  <printOptions horizontalCentered="1"/>
  <pageMargins left="0.7875" right="0.19652777777777777" top="1.3777777777777778" bottom="0.7875" header="0.5118055555555556" footer="0.5118055555555556"/>
  <pageSetup horizontalDpi="300" verticalDpi="300" orientation="landscape" paperSize="9" r:id="rId1"/>
  <headerFooter alignWithMargins="0">
    <oddHeader xml:space="preserve">&amp;R&amp;9Załącznik nr &amp;A
do uchwały Nr ...................   
Rady Miasta Świnoujście  
z dnia ...........................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4.75390625" style="169" customWidth="1"/>
    <col min="2" max="2" width="41.625" style="169" customWidth="1"/>
    <col min="3" max="3" width="14.375" style="169" customWidth="1"/>
    <col min="4" max="4" width="18.125" style="169" customWidth="1"/>
    <col min="5" max="5" width="10.375" style="169" customWidth="1"/>
    <col min="6" max="6" width="12.00390625" style="169" customWidth="1"/>
    <col min="7" max="16384" width="9.125" style="169" customWidth="1"/>
  </cols>
  <sheetData>
    <row r="1" spans="1:4" ht="15" customHeight="1">
      <c r="A1" s="371" t="s">
        <v>540</v>
      </c>
      <c r="B1" s="371"/>
      <c r="C1" s="371"/>
      <c r="D1" s="371"/>
    </row>
    <row r="2" ht="6.75" customHeight="1">
      <c r="A2" s="216"/>
    </row>
    <row r="3" ht="12.75">
      <c r="D3" s="217" t="s">
        <v>447</v>
      </c>
    </row>
    <row r="4" spans="1:4" ht="15" customHeight="1">
      <c r="A4" s="378" t="s">
        <v>448</v>
      </c>
      <c r="B4" s="378" t="s">
        <v>541</v>
      </c>
      <c r="C4" s="379" t="s">
        <v>542</v>
      </c>
      <c r="D4" s="379" t="s">
        <v>543</v>
      </c>
    </row>
    <row r="5" spans="1:4" ht="15" customHeight="1">
      <c r="A5" s="378"/>
      <c r="B5" s="378"/>
      <c r="C5" s="378"/>
      <c r="D5" s="379"/>
    </row>
    <row r="6" spans="1:4" ht="15.75" customHeight="1">
      <c r="A6" s="378"/>
      <c r="B6" s="378"/>
      <c r="C6" s="378"/>
      <c r="D6" s="379"/>
    </row>
    <row r="7" spans="1:4" s="219" customFormat="1" ht="6.75" customHeight="1">
      <c r="A7" s="218">
        <v>1</v>
      </c>
      <c r="B7" s="218">
        <v>2</v>
      </c>
      <c r="C7" s="218">
        <v>3</v>
      </c>
      <c r="D7" s="218">
        <v>4</v>
      </c>
    </row>
    <row r="8" spans="1:4" ht="18.75" customHeight="1">
      <c r="A8" s="374" t="s">
        <v>544</v>
      </c>
      <c r="B8" s="374"/>
      <c r="C8" s="374"/>
      <c r="D8" s="210">
        <f>SUM(D9,D10,D11,D12,D13,D14,D15,D16,D17)</f>
        <v>22043300</v>
      </c>
    </row>
    <row r="9" spans="1:4" ht="18.75" customHeight="1">
      <c r="A9" s="220" t="s">
        <v>455</v>
      </c>
      <c r="B9" s="221" t="s">
        <v>545</v>
      </c>
      <c r="C9" s="220" t="s">
        <v>546</v>
      </c>
      <c r="D9" s="222">
        <v>0</v>
      </c>
    </row>
    <row r="10" spans="1:4" ht="18.75" customHeight="1">
      <c r="A10" s="182" t="s">
        <v>457</v>
      </c>
      <c r="B10" s="223" t="s">
        <v>547</v>
      </c>
      <c r="C10" s="182" t="s">
        <v>546</v>
      </c>
      <c r="D10" s="185">
        <v>0</v>
      </c>
    </row>
    <row r="11" spans="1:4" ht="42.75" customHeight="1">
      <c r="A11" s="182" t="s">
        <v>459</v>
      </c>
      <c r="B11" s="184" t="s">
        <v>548</v>
      </c>
      <c r="C11" s="182" t="s">
        <v>549</v>
      </c>
      <c r="D11" s="185">
        <v>7500</v>
      </c>
    </row>
    <row r="12" spans="1:4" ht="38.25">
      <c r="A12" s="182" t="s">
        <v>461</v>
      </c>
      <c r="B12" s="184" t="s">
        <v>550</v>
      </c>
      <c r="C12" s="182" t="s">
        <v>551</v>
      </c>
      <c r="D12" s="185">
        <v>0</v>
      </c>
    </row>
    <row r="13" spans="1:4" ht="18.75" customHeight="1">
      <c r="A13" s="182" t="s">
        <v>463</v>
      </c>
      <c r="B13" s="223" t="s">
        <v>552</v>
      </c>
      <c r="C13" s="182" t="s">
        <v>553</v>
      </c>
      <c r="D13" s="185">
        <v>35800</v>
      </c>
    </row>
    <row r="14" spans="1:4" ht="18.75" customHeight="1">
      <c r="A14" s="182" t="s">
        <v>465</v>
      </c>
      <c r="B14" s="223" t="s">
        <v>554</v>
      </c>
      <c r="C14" s="182" t="s">
        <v>555</v>
      </c>
      <c r="D14" s="185">
        <v>0</v>
      </c>
    </row>
    <row r="15" spans="1:4" ht="18.75" customHeight="1">
      <c r="A15" s="182" t="s">
        <v>467</v>
      </c>
      <c r="B15" s="223" t="s">
        <v>556</v>
      </c>
      <c r="C15" s="182" t="s">
        <v>557</v>
      </c>
      <c r="D15" s="185">
        <v>0</v>
      </c>
    </row>
    <row r="16" spans="1:4" ht="18.75" customHeight="1">
      <c r="A16" s="182" t="s">
        <v>469</v>
      </c>
      <c r="B16" s="223" t="s">
        <v>558</v>
      </c>
      <c r="C16" s="182" t="s">
        <v>559</v>
      </c>
      <c r="D16" s="185">
        <v>22000000</v>
      </c>
    </row>
    <row r="17" spans="1:4" ht="18.75" customHeight="1">
      <c r="A17" s="182" t="s">
        <v>471</v>
      </c>
      <c r="B17" s="224" t="s">
        <v>560</v>
      </c>
      <c r="C17" s="225" t="s">
        <v>561</v>
      </c>
      <c r="D17" s="207">
        <v>0</v>
      </c>
    </row>
    <row r="18" spans="1:4" ht="18.75" customHeight="1">
      <c r="A18" s="374" t="s">
        <v>562</v>
      </c>
      <c r="B18" s="374"/>
      <c r="C18" s="374"/>
      <c r="D18" s="210">
        <f>D19+D20+D21+D22+D23+D24+D25</f>
        <v>8800000</v>
      </c>
    </row>
    <row r="19" spans="1:4" ht="18.75" customHeight="1">
      <c r="A19" s="220" t="s">
        <v>455</v>
      </c>
      <c r="B19" s="221" t="s">
        <v>563</v>
      </c>
      <c r="C19" s="220" t="s">
        <v>564</v>
      </c>
      <c r="D19" s="222">
        <v>0</v>
      </c>
    </row>
    <row r="20" spans="1:4" ht="18.75" customHeight="1">
      <c r="A20" s="182" t="s">
        <v>457</v>
      </c>
      <c r="B20" s="223" t="s">
        <v>565</v>
      </c>
      <c r="C20" s="182" t="s">
        <v>564</v>
      </c>
      <c r="D20" s="185">
        <v>2800000</v>
      </c>
    </row>
    <row r="21" spans="1:6" ht="38.25">
      <c r="A21" s="182" t="s">
        <v>459</v>
      </c>
      <c r="B21" s="184" t="s">
        <v>566</v>
      </c>
      <c r="C21" s="182" t="s">
        <v>567</v>
      </c>
      <c r="D21" s="185">
        <v>0</v>
      </c>
      <c r="E21" s="226"/>
      <c r="F21" s="226"/>
    </row>
    <row r="22" spans="1:4" ht="18.75" customHeight="1">
      <c r="A22" s="182" t="s">
        <v>461</v>
      </c>
      <c r="B22" s="223" t="s">
        <v>568</v>
      </c>
      <c r="C22" s="182" t="s">
        <v>569</v>
      </c>
      <c r="D22" s="185">
        <v>0</v>
      </c>
    </row>
    <row r="23" spans="1:4" ht="18.75" customHeight="1">
      <c r="A23" s="182" t="s">
        <v>463</v>
      </c>
      <c r="B23" s="223" t="s">
        <v>570</v>
      </c>
      <c r="C23" s="182" t="s">
        <v>571</v>
      </c>
      <c r="D23" s="185">
        <v>0</v>
      </c>
    </row>
    <row r="24" spans="1:4" ht="18.75" customHeight="1">
      <c r="A24" s="182" t="s">
        <v>465</v>
      </c>
      <c r="B24" s="223" t="s">
        <v>572</v>
      </c>
      <c r="C24" s="182" t="s">
        <v>573</v>
      </c>
      <c r="D24" s="185">
        <v>6000000</v>
      </c>
    </row>
    <row r="25" spans="1:4" ht="18.75" customHeight="1">
      <c r="A25" s="225" t="s">
        <v>467</v>
      </c>
      <c r="B25" s="224" t="s">
        <v>574</v>
      </c>
      <c r="C25" s="225" t="s">
        <v>575</v>
      </c>
      <c r="D25" s="207">
        <v>0</v>
      </c>
    </row>
    <row r="26" spans="1:4" ht="7.5" customHeight="1">
      <c r="A26" s="227"/>
      <c r="B26" s="228"/>
      <c r="C26" s="228"/>
      <c r="D26" s="228"/>
    </row>
    <row r="27" spans="1:6" ht="12.75">
      <c r="A27" s="229"/>
      <c r="B27" s="230"/>
      <c r="C27" s="230"/>
      <c r="D27" s="230"/>
      <c r="E27" s="230"/>
      <c r="F27" s="230"/>
    </row>
  </sheetData>
  <sheetProtection sheet="1" objects="1" scenarios="1"/>
  <mergeCells count="7">
    <mergeCell ref="A8:C8"/>
    <mergeCell ref="A18:C18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 r:id="rId1"/>
  <headerFooter alignWithMargins="0">
    <oddHeader xml:space="preserve">&amp;RZałącznik nr &amp;A
do uchwały Nr .................  
Rady Miasta Świnoujście
z dnia .....................roku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30" sqref="L30"/>
    </sheetView>
  </sheetViews>
  <sheetFormatPr defaultColWidth="9.00390625" defaultRowHeight="12.75"/>
  <cols>
    <col min="1" max="1" width="5.625" style="231" customWidth="1"/>
    <col min="2" max="2" width="8.875" style="231" customWidth="1"/>
    <col min="3" max="4" width="12.75390625" style="231" customWidth="1"/>
    <col min="5" max="5" width="13.875" style="231" customWidth="1"/>
    <col min="6" max="6" width="15.00390625" style="232" customWidth="1"/>
    <col min="7" max="7" width="15.75390625" style="232" customWidth="1"/>
    <col min="8" max="8" width="12.625" style="232" customWidth="1"/>
    <col min="9" max="9" width="12.75390625" style="232" customWidth="1"/>
    <col min="10" max="10" width="12.25390625" style="232" customWidth="1"/>
    <col min="11" max="11" width="12.375" style="232" customWidth="1"/>
    <col min="12" max="16384" width="9.125" style="232" customWidth="1"/>
  </cols>
  <sheetData>
    <row r="1" spans="1:11" s="233" customFormat="1" ht="48.75" customHeight="1">
      <c r="A1" s="375" t="s">
        <v>576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233" customFormat="1" ht="12.75">
      <c r="A2" s="234"/>
      <c r="B2" s="234"/>
      <c r="C2" s="234"/>
      <c r="D2" s="234"/>
      <c r="E2" s="234"/>
      <c r="F2" s="235"/>
      <c r="G2" s="235"/>
      <c r="H2" s="235"/>
      <c r="I2" s="235"/>
      <c r="J2" s="235"/>
      <c r="K2" s="236" t="s">
        <v>447</v>
      </c>
    </row>
    <row r="3" spans="1:11" s="237" customFormat="1" ht="14.25" customHeight="1">
      <c r="A3" s="378" t="s">
        <v>2</v>
      </c>
      <c r="B3" s="378" t="s">
        <v>3</v>
      </c>
      <c r="C3" s="379" t="s">
        <v>577</v>
      </c>
      <c r="D3" s="379" t="s">
        <v>578</v>
      </c>
      <c r="E3" s="379" t="s">
        <v>7</v>
      </c>
      <c r="F3" s="379"/>
      <c r="G3" s="379"/>
      <c r="H3" s="379"/>
      <c r="I3" s="379"/>
      <c r="J3" s="379"/>
      <c r="K3" s="379"/>
    </row>
    <row r="4" spans="1:11" s="237" customFormat="1" ht="16.5" customHeight="1">
      <c r="A4" s="378"/>
      <c r="B4" s="378"/>
      <c r="C4" s="379"/>
      <c r="D4" s="379"/>
      <c r="E4" s="379" t="s">
        <v>579</v>
      </c>
      <c r="F4" s="379" t="s">
        <v>289</v>
      </c>
      <c r="G4" s="379"/>
      <c r="H4" s="379"/>
      <c r="I4" s="379"/>
      <c r="J4" s="379"/>
      <c r="K4" s="379" t="s">
        <v>580</v>
      </c>
    </row>
    <row r="5" spans="1:11" s="237" customFormat="1" ht="20.25" customHeight="1">
      <c r="A5" s="378"/>
      <c r="B5" s="378"/>
      <c r="C5" s="379"/>
      <c r="D5" s="379"/>
      <c r="E5" s="379"/>
      <c r="F5" s="379" t="s">
        <v>291</v>
      </c>
      <c r="G5" s="379"/>
      <c r="H5" s="379" t="s">
        <v>292</v>
      </c>
      <c r="I5" s="379" t="s">
        <v>581</v>
      </c>
      <c r="J5" s="364" t="s">
        <v>582</v>
      </c>
      <c r="K5" s="379"/>
    </row>
    <row r="6" spans="1:11" s="237" customFormat="1" ht="88.5" customHeight="1">
      <c r="A6" s="378"/>
      <c r="B6" s="378"/>
      <c r="C6" s="379"/>
      <c r="D6" s="379"/>
      <c r="E6" s="379"/>
      <c r="F6" s="174" t="s">
        <v>583</v>
      </c>
      <c r="G6" s="174" t="s">
        <v>584</v>
      </c>
      <c r="H6" s="379"/>
      <c r="I6" s="379"/>
      <c r="J6" s="364"/>
      <c r="K6" s="379"/>
    </row>
    <row r="7" spans="1:11" s="233" customFormat="1" ht="9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</row>
    <row r="8" spans="1:11" s="233" customFormat="1" ht="15.75" customHeight="1">
      <c r="A8" s="384" t="s">
        <v>585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</row>
    <row r="9" spans="1:11" s="240" customFormat="1" ht="15.75" customHeight="1">
      <c r="A9" s="238">
        <v>750</v>
      </c>
      <c r="B9" s="238"/>
      <c r="C9" s="239">
        <f>C10</f>
        <v>373400</v>
      </c>
      <c r="D9" s="239">
        <f aca="true" t="shared" si="0" ref="D9:K9">D10</f>
        <v>373400</v>
      </c>
      <c r="E9" s="239">
        <f t="shared" si="0"/>
        <v>373400</v>
      </c>
      <c r="F9" s="239">
        <f t="shared" si="0"/>
        <v>373400</v>
      </c>
      <c r="G9" s="239">
        <f t="shared" si="0"/>
        <v>0</v>
      </c>
      <c r="H9" s="239">
        <f t="shared" si="0"/>
        <v>0</v>
      </c>
      <c r="I9" s="239">
        <f t="shared" si="0"/>
        <v>0</v>
      </c>
      <c r="J9" s="239">
        <f t="shared" si="0"/>
        <v>0</v>
      </c>
      <c r="K9" s="239">
        <f t="shared" si="0"/>
        <v>0</v>
      </c>
    </row>
    <row r="10" spans="1:11" s="233" customFormat="1" ht="15.75" customHeight="1">
      <c r="A10" s="182"/>
      <c r="B10" s="182">
        <v>75011</v>
      </c>
      <c r="C10" s="185">
        <f>1!E50</f>
        <v>373400</v>
      </c>
      <c r="D10" s="185">
        <f>E10+K10</f>
        <v>373400</v>
      </c>
      <c r="E10" s="185">
        <f>SUM(F10,G10,I10,J10)</f>
        <v>373400</v>
      </c>
      <c r="F10" s="185">
        <v>373400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</row>
    <row r="11" spans="1:11" s="240" customFormat="1" ht="15.75" customHeight="1">
      <c r="A11" s="238">
        <v>751</v>
      </c>
      <c r="B11" s="238"/>
      <c r="C11" s="239">
        <f>C12</f>
        <v>7116</v>
      </c>
      <c r="D11" s="239">
        <f aca="true" t="shared" si="1" ref="D11:K11">D12</f>
        <v>7116</v>
      </c>
      <c r="E11" s="239">
        <f t="shared" si="1"/>
        <v>7116</v>
      </c>
      <c r="F11" s="239">
        <f t="shared" si="1"/>
        <v>7116</v>
      </c>
      <c r="G11" s="239">
        <f t="shared" si="1"/>
        <v>0</v>
      </c>
      <c r="H11" s="239">
        <f t="shared" si="1"/>
        <v>0</v>
      </c>
      <c r="I11" s="239">
        <f t="shared" si="1"/>
        <v>0</v>
      </c>
      <c r="J11" s="239">
        <f t="shared" si="1"/>
        <v>0</v>
      </c>
      <c r="K11" s="239">
        <f t="shared" si="1"/>
        <v>0</v>
      </c>
    </row>
    <row r="12" spans="1:11" s="233" customFormat="1" ht="15.75" customHeight="1">
      <c r="A12" s="182"/>
      <c r="B12" s="182">
        <v>75101</v>
      </c>
      <c r="C12" s="185">
        <f>1!E66</f>
        <v>7116</v>
      </c>
      <c r="D12" s="185">
        <f>E12+K12</f>
        <v>7116</v>
      </c>
      <c r="E12" s="185">
        <f>SUM(F12,G12,I12,J12)</f>
        <v>7116</v>
      </c>
      <c r="F12" s="185">
        <v>7116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</row>
    <row r="13" spans="1:11" s="242" customFormat="1" ht="12.75" customHeight="1" hidden="1">
      <c r="A13" s="238">
        <v>754</v>
      </c>
      <c r="B13" s="238"/>
      <c r="C13" s="239">
        <f>C14</f>
        <v>0</v>
      </c>
      <c r="D13" s="241">
        <f aca="true" t="shared" si="2" ref="D13:K13">D14</f>
        <v>0</v>
      </c>
      <c r="E13" s="241">
        <f t="shared" si="2"/>
        <v>0</v>
      </c>
      <c r="F13" s="241">
        <f t="shared" si="2"/>
        <v>0</v>
      </c>
      <c r="G13" s="241">
        <f t="shared" si="2"/>
        <v>0</v>
      </c>
      <c r="H13" s="241">
        <f t="shared" si="2"/>
        <v>0</v>
      </c>
      <c r="I13" s="241">
        <f t="shared" si="2"/>
        <v>0</v>
      </c>
      <c r="J13" s="241">
        <f t="shared" si="2"/>
        <v>0</v>
      </c>
      <c r="K13" s="241">
        <f t="shared" si="2"/>
        <v>0</v>
      </c>
    </row>
    <row r="14" spans="1:11" ht="12.75" customHeight="1" hidden="1">
      <c r="A14" s="182"/>
      <c r="B14" s="182">
        <v>75414</v>
      </c>
      <c r="C14" s="185">
        <f>1!E74</f>
        <v>0</v>
      </c>
      <c r="D14" s="243">
        <f>E14+K14</f>
        <v>0</v>
      </c>
      <c r="E14" s="243">
        <f>SUM(F14,G14,I14,J14)</f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</row>
    <row r="15" spans="1:11" s="240" customFormat="1" ht="15.75" customHeight="1">
      <c r="A15" s="238">
        <v>851</v>
      </c>
      <c r="B15" s="238"/>
      <c r="C15" s="239">
        <f aca="true" t="shared" si="3" ref="C15:J15">SUM(C16)</f>
        <v>12000</v>
      </c>
      <c r="D15" s="239">
        <f t="shared" si="3"/>
        <v>12000</v>
      </c>
      <c r="E15" s="239">
        <f t="shared" si="3"/>
        <v>12000</v>
      </c>
      <c r="F15" s="239">
        <f t="shared" si="3"/>
        <v>9135</v>
      </c>
      <c r="G15" s="239">
        <f t="shared" si="3"/>
        <v>2865</v>
      </c>
      <c r="H15" s="239">
        <f t="shared" si="3"/>
        <v>0</v>
      </c>
      <c r="I15" s="239">
        <f t="shared" si="3"/>
        <v>0</v>
      </c>
      <c r="J15" s="239">
        <f t="shared" si="3"/>
        <v>0</v>
      </c>
      <c r="K15" s="239">
        <f>K16+K17+K18+K19+K20</f>
        <v>0</v>
      </c>
    </row>
    <row r="16" spans="1:11" s="233" customFormat="1" ht="18" customHeight="1">
      <c r="A16" s="182"/>
      <c r="B16" s="182">
        <v>85195</v>
      </c>
      <c r="C16" s="185">
        <f>1!E127</f>
        <v>12000</v>
      </c>
      <c r="D16" s="185">
        <f>E16+K16</f>
        <v>12000</v>
      </c>
      <c r="E16" s="185">
        <f>SUM(F16,G16,I16,J16)</f>
        <v>12000</v>
      </c>
      <c r="F16" s="185">
        <v>9135</v>
      </c>
      <c r="G16" s="185">
        <v>2865</v>
      </c>
      <c r="H16" s="185">
        <v>0</v>
      </c>
      <c r="I16" s="185">
        <v>0</v>
      </c>
      <c r="J16" s="185">
        <v>0</v>
      </c>
      <c r="K16" s="185">
        <v>0</v>
      </c>
    </row>
    <row r="17" spans="1:11" s="240" customFormat="1" ht="15.75" customHeight="1">
      <c r="A17" s="238">
        <v>852</v>
      </c>
      <c r="B17" s="238"/>
      <c r="C17" s="239">
        <f>C18+C19+C20+C21+C22</f>
        <v>5849000</v>
      </c>
      <c r="D17" s="239">
        <f aca="true" t="shared" si="4" ref="D17:K17">D18+D19+D20+D21+D22</f>
        <v>5849000</v>
      </c>
      <c r="E17" s="239">
        <f>SUM(E18,E19,E20,E21,E22)</f>
        <v>5849000</v>
      </c>
      <c r="F17" s="239">
        <f t="shared" si="4"/>
        <v>342349</v>
      </c>
      <c r="G17" s="239">
        <f t="shared" si="4"/>
        <v>24425</v>
      </c>
      <c r="H17" s="239">
        <f t="shared" si="4"/>
        <v>168000</v>
      </c>
      <c r="I17" s="239">
        <f t="shared" si="4"/>
        <v>5314226</v>
      </c>
      <c r="J17" s="239">
        <f t="shared" si="4"/>
        <v>0</v>
      </c>
      <c r="K17" s="239">
        <f t="shared" si="4"/>
        <v>0</v>
      </c>
    </row>
    <row r="18" spans="1:11" s="233" customFormat="1" ht="15.75" customHeight="1">
      <c r="A18" s="182"/>
      <c r="B18" s="182">
        <v>85203</v>
      </c>
      <c r="C18" s="185">
        <f>1!E131</f>
        <v>168000</v>
      </c>
      <c r="D18" s="185">
        <f>E18+K18</f>
        <v>168000</v>
      </c>
      <c r="E18" s="185">
        <f>SUM(F18:J18)</f>
        <v>168000</v>
      </c>
      <c r="F18" s="185">
        <v>0</v>
      </c>
      <c r="G18" s="185">
        <v>0</v>
      </c>
      <c r="H18" s="185">
        <v>168000</v>
      </c>
      <c r="I18" s="185">
        <v>0</v>
      </c>
      <c r="J18" s="185">
        <v>0</v>
      </c>
      <c r="K18" s="185">
        <v>0</v>
      </c>
    </row>
    <row r="19" spans="1:11" ht="15.75" customHeight="1">
      <c r="A19" s="182"/>
      <c r="B19" s="182">
        <v>85212</v>
      </c>
      <c r="C19" s="185">
        <f>1!E133</f>
        <v>5575000</v>
      </c>
      <c r="D19" s="185">
        <f>E19+K19</f>
        <v>5575000</v>
      </c>
      <c r="E19" s="185">
        <f>SUM(F19:J19)</f>
        <v>5575000</v>
      </c>
      <c r="F19" s="185">
        <v>242409</v>
      </c>
      <c r="G19" s="185">
        <v>19191</v>
      </c>
      <c r="H19" s="185">
        <v>0</v>
      </c>
      <c r="I19" s="185">
        <v>5313400</v>
      </c>
      <c r="J19" s="185">
        <v>0</v>
      </c>
      <c r="K19" s="185">
        <v>0</v>
      </c>
    </row>
    <row r="20" spans="1:11" s="233" customFormat="1" ht="15.75" customHeight="1">
      <c r="A20" s="182"/>
      <c r="B20" s="182">
        <v>85213</v>
      </c>
      <c r="C20" s="185">
        <f>1!E136</f>
        <v>29000</v>
      </c>
      <c r="D20" s="185">
        <f>E20+K20</f>
        <v>29000</v>
      </c>
      <c r="E20" s="185">
        <f>SUM(F20:J20)</f>
        <v>29000</v>
      </c>
      <c r="F20" s="185">
        <v>29000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</row>
    <row r="21" spans="1:11" ht="12.75" customHeight="1" hidden="1">
      <c r="A21" s="182"/>
      <c r="B21" s="182">
        <v>85214</v>
      </c>
      <c r="C21" s="185"/>
      <c r="D21" s="243">
        <f>E21+K21</f>
        <v>0</v>
      </c>
      <c r="E21" s="243">
        <f>SUM(F21:J21)</f>
        <v>0</v>
      </c>
      <c r="F21" s="243"/>
      <c r="G21" s="243"/>
      <c r="H21" s="243"/>
      <c r="I21" s="243"/>
      <c r="J21" s="243"/>
      <c r="K21" s="243"/>
    </row>
    <row r="22" spans="1:11" s="233" customFormat="1" ht="15.75" customHeight="1">
      <c r="A22" s="225"/>
      <c r="B22" s="225">
        <v>85228</v>
      </c>
      <c r="C22" s="207">
        <f>1!E147</f>
        <v>77000</v>
      </c>
      <c r="D22" s="207">
        <f>E22+K22</f>
        <v>77000</v>
      </c>
      <c r="E22" s="207">
        <f>SUM(F22:J22)</f>
        <v>77000</v>
      </c>
      <c r="F22" s="207">
        <v>70940</v>
      </c>
      <c r="G22" s="207">
        <v>5234</v>
      </c>
      <c r="H22" s="207">
        <v>0</v>
      </c>
      <c r="I22" s="207">
        <v>826</v>
      </c>
      <c r="J22" s="207">
        <v>0</v>
      </c>
      <c r="K22" s="207">
        <v>0</v>
      </c>
    </row>
    <row r="23" spans="1:11" s="240" customFormat="1" ht="15.75" customHeight="1">
      <c r="A23" s="380" t="s">
        <v>586</v>
      </c>
      <c r="B23" s="380"/>
      <c r="C23" s="179">
        <f aca="true" t="shared" si="5" ref="C23:K23">SUM(C9,C11,C13,C15,C17)</f>
        <v>6241516</v>
      </c>
      <c r="D23" s="179">
        <f t="shared" si="5"/>
        <v>6241516</v>
      </c>
      <c r="E23" s="179">
        <f t="shared" si="5"/>
        <v>6241516</v>
      </c>
      <c r="F23" s="179">
        <f t="shared" si="5"/>
        <v>732000</v>
      </c>
      <c r="G23" s="179">
        <f t="shared" si="5"/>
        <v>27290</v>
      </c>
      <c r="H23" s="179">
        <f t="shared" si="5"/>
        <v>168000</v>
      </c>
      <c r="I23" s="179">
        <f t="shared" si="5"/>
        <v>5314226</v>
      </c>
      <c r="J23" s="179">
        <f t="shared" si="5"/>
        <v>0</v>
      </c>
      <c r="K23" s="179">
        <f t="shared" si="5"/>
        <v>0</v>
      </c>
    </row>
    <row r="24" spans="1:11" s="233" customFormat="1" ht="15.75" customHeight="1">
      <c r="A24" s="381" t="s">
        <v>587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</row>
    <row r="25" spans="1:11" s="240" customFormat="1" ht="15.75" customHeight="1">
      <c r="A25" s="244" t="s">
        <v>45</v>
      </c>
      <c r="B25" s="244"/>
      <c r="C25" s="239">
        <f>C26</f>
        <v>42000</v>
      </c>
      <c r="D25" s="239">
        <f aca="true" t="shared" si="6" ref="D25:K25">D26</f>
        <v>42000</v>
      </c>
      <c r="E25" s="239">
        <f t="shared" si="6"/>
        <v>42000</v>
      </c>
      <c r="F25" s="239">
        <f t="shared" si="6"/>
        <v>0</v>
      </c>
      <c r="G25" s="239">
        <f t="shared" si="6"/>
        <v>42000</v>
      </c>
      <c r="H25" s="239">
        <f t="shared" si="6"/>
        <v>0</v>
      </c>
      <c r="I25" s="239">
        <f t="shared" si="6"/>
        <v>0</v>
      </c>
      <c r="J25" s="239">
        <f t="shared" si="6"/>
        <v>0</v>
      </c>
      <c r="K25" s="239">
        <f t="shared" si="6"/>
        <v>0</v>
      </c>
    </row>
    <row r="26" spans="1:11" s="233" customFormat="1" ht="15.75" customHeight="1">
      <c r="A26" s="183"/>
      <c r="B26" s="183" t="s">
        <v>47</v>
      </c>
      <c r="C26" s="185">
        <f>1!E201</f>
        <v>42000</v>
      </c>
      <c r="D26" s="185">
        <f>E26+K26</f>
        <v>42000</v>
      </c>
      <c r="E26" s="185">
        <f>SUM(F26,G26,I26,J26)</f>
        <v>42000</v>
      </c>
      <c r="F26" s="185">
        <v>0</v>
      </c>
      <c r="G26" s="185">
        <v>42000</v>
      </c>
      <c r="H26" s="185">
        <v>0</v>
      </c>
      <c r="I26" s="185">
        <v>0</v>
      </c>
      <c r="J26" s="185">
        <v>0</v>
      </c>
      <c r="K26" s="185">
        <v>0</v>
      </c>
    </row>
    <row r="27" spans="1:11" s="240" customFormat="1" ht="15.75" customHeight="1">
      <c r="A27" s="244" t="s">
        <v>60</v>
      </c>
      <c r="B27" s="244"/>
      <c r="C27" s="239">
        <f>C28+C29+C30+C31</f>
        <v>459000</v>
      </c>
      <c r="D27" s="239">
        <f aca="true" t="shared" si="7" ref="D27:K27">D28+D29+D30+D31</f>
        <v>459000</v>
      </c>
      <c r="E27" s="239">
        <f t="shared" si="7"/>
        <v>448000</v>
      </c>
      <c r="F27" s="239">
        <f t="shared" si="7"/>
        <v>339582</v>
      </c>
      <c r="G27" s="239">
        <f t="shared" si="7"/>
        <v>108418</v>
      </c>
      <c r="H27" s="239">
        <f t="shared" si="7"/>
        <v>0</v>
      </c>
      <c r="I27" s="239">
        <f t="shared" si="7"/>
        <v>0</v>
      </c>
      <c r="J27" s="239">
        <f t="shared" si="7"/>
        <v>0</v>
      </c>
      <c r="K27" s="239">
        <f t="shared" si="7"/>
        <v>11000</v>
      </c>
    </row>
    <row r="28" spans="1:11" s="233" customFormat="1" ht="15.75" customHeight="1">
      <c r="A28" s="183"/>
      <c r="B28" s="183" t="s">
        <v>234</v>
      </c>
      <c r="C28" s="185">
        <f>1!E204</f>
        <v>57000</v>
      </c>
      <c r="D28" s="185">
        <f>E28+K28</f>
        <v>57000</v>
      </c>
      <c r="E28" s="185">
        <f>SUM(F28,G28,I28,J28)</f>
        <v>57000</v>
      </c>
      <c r="F28" s="185">
        <v>0</v>
      </c>
      <c r="G28" s="185">
        <v>57000</v>
      </c>
      <c r="H28" s="185">
        <v>0</v>
      </c>
      <c r="I28" s="185">
        <v>0</v>
      </c>
      <c r="J28" s="185">
        <v>0</v>
      </c>
      <c r="K28" s="185">
        <v>0</v>
      </c>
    </row>
    <row r="29" spans="1:11" s="233" customFormat="1" ht="15.75" customHeight="1">
      <c r="A29" s="188"/>
      <c r="B29" s="188" t="s">
        <v>237</v>
      </c>
      <c r="C29" s="190">
        <f>1!E209</f>
        <v>14000</v>
      </c>
      <c r="D29" s="190">
        <f>E29+K29</f>
        <v>14000</v>
      </c>
      <c r="E29" s="185">
        <f>SUM(F29,G29,I29,J29)</f>
        <v>14000</v>
      </c>
      <c r="F29" s="190">
        <v>0</v>
      </c>
      <c r="G29" s="190">
        <v>14000</v>
      </c>
      <c r="H29" s="190">
        <v>0</v>
      </c>
      <c r="I29" s="190">
        <v>0</v>
      </c>
      <c r="J29" s="190">
        <v>0</v>
      </c>
      <c r="K29" s="190">
        <v>0</v>
      </c>
    </row>
    <row r="30" spans="1:11" s="233" customFormat="1" ht="15.75" customHeight="1">
      <c r="A30" s="183"/>
      <c r="B30" s="183" t="s">
        <v>240</v>
      </c>
      <c r="C30" s="185">
        <f>1!F212+1!G213</f>
        <v>388000</v>
      </c>
      <c r="D30" s="185">
        <f>E30+K30</f>
        <v>388000</v>
      </c>
      <c r="E30" s="185">
        <f>SUM(F30,G30,I30,J30)</f>
        <v>377000</v>
      </c>
      <c r="F30" s="185">
        <v>339582</v>
      </c>
      <c r="G30" s="185">
        <v>37418</v>
      </c>
      <c r="H30" s="185">
        <v>0</v>
      </c>
      <c r="I30" s="185">
        <v>0</v>
      </c>
      <c r="J30" s="185">
        <v>0</v>
      </c>
      <c r="K30" s="185">
        <v>11000</v>
      </c>
    </row>
    <row r="31" spans="1:11" ht="12.75" customHeight="1" hidden="1">
      <c r="A31" s="245"/>
      <c r="B31" s="245" t="s">
        <v>244</v>
      </c>
      <c r="C31" s="246">
        <f>1!E215</f>
        <v>0</v>
      </c>
      <c r="D31" s="247">
        <f>E31+K31</f>
        <v>0</v>
      </c>
      <c r="E31" s="248">
        <f>SUM(F31,G31,I31,J31)</f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7">
        <v>0</v>
      </c>
    </row>
    <row r="32" spans="1:11" s="240" customFormat="1" ht="15.75" customHeight="1">
      <c r="A32" s="249" t="s">
        <v>66</v>
      </c>
      <c r="B32" s="249"/>
      <c r="C32" s="250">
        <f>C33+C34</f>
        <v>101900</v>
      </c>
      <c r="D32" s="250">
        <f aca="true" t="shared" si="8" ref="D32:K32">D33+D34</f>
        <v>101900</v>
      </c>
      <c r="E32" s="250">
        <f t="shared" si="8"/>
        <v>101900</v>
      </c>
      <c r="F32" s="250">
        <f t="shared" si="8"/>
        <v>91878</v>
      </c>
      <c r="G32" s="250">
        <f t="shared" si="8"/>
        <v>10022</v>
      </c>
      <c r="H32" s="250">
        <f t="shared" si="8"/>
        <v>0</v>
      </c>
      <c r="I32" s="250">
        <f t="shared" si="8"/>
        <v>0</v>
      </c>
      <c r="J32" s="250">
        <f t="shared" si="8"/>
        <v>0</v>
      </c>
      <c r="K32" s="250">
        <f t="shared" si="8"/>
        <v>0</v>
      </c>
    </row>
    <row r="33" spans="1:11" ht="15.75" customHeight="1">
      <c r="A33" s="251"/>
      <c r="B33" s="251" t="s">
        <v>68</v>
      </c>
      <c r="C33" s="252">
        <f>1!E218</f>
        <v>82900</v>
      </c>
      <c r="D33" s="252">
        <f>E33+K33</f>
        <v>82900</v>
      </c>
      <c r="E33" s="252">
        <f>SUM(F33,G33,I33,J33)</f>
        <v>82900</v>
      </c>
      <c r="F33" s="252">
        <v>82900</v>
      </c>
      <c r="G33" s="252">
        <v>0</v>
      </c>
      <c r="H33" s="252">
        <v>0</v>
      </c>
      <c r="I33" s="252">
        <v>0</v>
      </c>
      <c r="J33" s="252">
        <v>0</v>
      </c>
      <c r="K33" s="252">
        <v>0</v>
      </c>
    </row>
    <row r="34" spans="1:11" s="233" customFormat="1" ht="15.75" customHeight="1">
      <c r="A34" s="251"/>
      <c r="B34" s="251" t="s">
        <v>247</v>
      </c>
      <c r="C34" s="252">
        <f>1!E224</f>
        <v>19000</v>
      </c>
      <c r="D34" s="252">
        <f>E34+K34</f>
        <v>19000</v>
      </c>
      <c r="E34" s="252">
        <f>SUM(F34,G34,I34,J34)</f>
        <v>19000</v>
      </c>
      <c r="F34" s="252">
        <v>8978</v>
      </c>
      <c r="G34" s="252">
        <v>10022</v>
      </c>
      <c r="H34" s="252">
        <v>0</v>
      </c>
      <c r="I34" s="252">
        <v>0</v>
      </c>
      <c r="J34" s="252">
        <v>0</v>
      </c>
      <c r="K34" s="252">
        <v>0</v>
      </c>
    </row>
    <row r="35" spans="1:11" s="240" customFormat="1" ht="15.75" customHeight="1">
      <c r="A35" s="249" t="s">
        <v>83</v>
      </c>
      <c r="B35" s="249"/>
      <c r="C35" s="250">
        <f>C36</f>
        <v>3795000</v>
      </c>
      <c r="D35" s="250">
        <f aca="true" t="shared" si="9" ref="D35:K35">D36</f>
        <v>3795000</v>
      </c>
      <c r="E35" s="250">
        <f t="shared" si="9"/>
        <v>3795000</v>
      </c>
      <c r="F35" s="250">
        <f t="shared" si="9"/>
        <v>3165522</v>
      </c>
      <c r="G35" s="250">
        <f t="shared" si="9"/>
        <v>449478</v>
      </c>
      <c r="H35" s="250">
        <f t="shared" si="9"/>
        <v>0</v>
      </c>
      <c r="I35" s="250">
        <f t="shared" si="9"/>
        <v>180000</v>
      </c>
      <c r="J35" s="250">
        <f t="shared" si="9"/>
        <v>0</v>
      </c>
      <c r="K35" s="250">
        <f t="shared" si="9"/>
        <v>0</v>
      </c>
    </row>
    <row r="36" spans="1:11" s="233" customFormat="1" ht="15.75" customHeight="1">
      <c r="A36" s="251"/>
      <c r="B36" s="251" t="s">
        <v>250</v>
      </c>
      <c r="C36" s="252">
        <f>1!E228</f>
        <v>3795000</v>
      </c>
      <c r="D36" s="252">
        <f>E36+K36</f>
        <v>3795000</v>
      </c>
      <c r="E36" s="252">
        <f>SUM(F36,G36,I36,J36)</f>
        <v>3795000</v>
      </c>
      <c r="F36" s="252">
        <v>3165522</v>
      </c>
      <c r="G36" s="252">
        <v>449478</v>
      </c>
      <c r="H36" s="252">
        <v>0</v>
      </c>
      <c r="I36" s="252">
        <v>180000</v>
      </c>
      <c r="J36" s="252">
        <v>0</v>
      </c>
      <c r="K36" s="252">
        <v>0</v>
      </c>
    </row>
    <row r="37" spans="1:11" s="240" customFormat="1" ht="15.75" customHeight="1">
      <c r="A37" s="249" t="s">
        <v>163</v>
      </c>
      <c r="B37" s="249"/>
      <c r="C37" s="250">
        <f>C38</f>
        <v>740000</v>
      </c>
      <c r="D37" s="250">
        <f aca="true" t="shared" si="10" ref="D37:K37">D38</f>
        <v>740000</v>
      </c>
      <c r="E37" s="250">
        <f t="shared" si="10"/>
        <v>740000</v>
      </c>
      <c r="F37" s="250">
        <f t="shared" si="10"/>
        <v>740000</v>
      </c>
      <c r="G37" s="250">
        <f t="shared" si="10"/>
        <v>0</v>
      </c>
      <c r="H37" s="250">
        <f t="shared" si="10"/>
        <v>0</v>
      </c>
      <c r="I37" s="250">
        <f t="shared" si="10"/>
        <v>0</v>
      </c>
      <c r="J37" s="250">
        <f t="shared" si="10"/>
        <v>0</v>
      </c>
      <c r="K37" s="250">
        <f t="shared" si="10"/>
        <v>0</v>
      </c>
    </row>
    <row r="38" spans="1:11" s="233" customFormat="1" ht="15.75" customHeight="1">
      <c r="A38" s="251"/>
      <c r="B38" s="251" t="s">
        <v>271</v>
      </c>
      <c r="C38" s="252">
        <f>1!E254</f>
        <v>740000</v>
      </c>
      <c r="D38" s="252">
        <f>E38+K38</f>
        <v>740000</v>
      </c>
      <c r="E38" s="252">
        <f>SUM(F38,G38,I38,J38)</f>
        <v>740000</v>
      </c>
      <c r="F38" s="252">
        <v>740000</v>
      </c>
      <c r="G38" s="252">
        <v>0</v>
      </c>
      <c r="H38" s="252">
        <v>0</v>
      </c>
      <c r="I38" s="252">
        <v>0</v>
      </c>
      <c r="J38" s="252">
        <v>0</v>
      </c>
      <c r="K38" s="252">
        <v>0</v>
      </c>
    </row>
    <row r="39" spans="1:11" s="233" customFormat="1" ht="15.75" customHeight="1">
      <c r="A39" s="249" t="s">
        <v>168</v>
      </c>
      <c r="B39" s="249"/>
      <c r="C39" s="250">
        <f>SUM(C40)</f>
        <v>318000</v>
      </c>
      <c r="D39" s="250">
        <f aca="true" t="shared" si="11" ref="D39:K41">D40</f>
        <v>318000</v>
      </c>
      <c r="E39" s="250">
        <f t="shared" si="11"/>
        <v>318000</v>
      </c>
      <c r="F39" s="250">
        <f t="shared" si="11"/>
        <v>191414</v>
      </c>
      <c r="G39" s="250">
        <f t="shared" si="11"/>
        <v>126586</v>
      </c>
      <c r="H39" s="250">
        <f t="shared" si="11"/>
        <v>0</v>
      </c>
      <c r="I39" s="250">
        <f t="shared" si="11"/>
        <v>0</v>
      </c>
      <c r="J39" s="250">
        <f t="shared" si="11"/>
        <v>0</v>
      </c>
      <c r="K39" s="250">
        <f t="shared" si="11"/>
        <v>0</v>
      </c>
    </row>
    <row r="40" spans="1:11" s="233" customFormat="1" ht="15.75" customHeight="1">
      <c r="A40" s="251"/>
      <c r="B40" s="251" t="s">
        <v>277</v>
      </c>
      <c r="C40" s="252">
        <f>1!E261</f>
        <v>318000</v>
      </c>
      <c r="D40" s="252">
        <f>E40+K40</f>
        <v>318000</v>
      </c>
      <c r="E40" s="252">
        <f>SUM(F40,G40,I40,J40)</f>
        <v>318000</v>
      </c>
      <c r="F40" s="252">
        <v>191414</v>
      </c>
      <c r="G40" s="252">
        <v>126586</v>
      </c>
      <c r="H40" s="252">
        <v>0</v>
      </c>
      <c r="I40" s="252">
        <v>0</v>
      </c>
      <c r="J40" s="252">
        <v>0</v>
      </c>
      <c r="K40" s="252">
        <v>0</v>
      </c>
    </row>
    <row r="41" spans="1:11" s="240" customFormat="1" ht="15.75" customHeight="1">
      <c r="A41" s="249" t="s">
        <v>187</v>
      </c>
      <c r="B41" s="249"/>
      <c r="C41" s="250">
        <f>SUM(C42)</f>
        <v>36000</v>
      </c>
      <c r="D41" s="250">
        <f t="shared" si="11"/>
        <v>36000</v>
      </c>
      <c r="E41" s="250">
        <f t="shared" si="11"/>
        <v>36000</v>
      </c>
      <c r="F41" s="250">
        <f t="shared" si="11"/>
        <v>0</v>
      </c>
      <c r="G41" s="250">
        <f t="shared" si="11"/>
        <v>0</v>
      </c>
      <c r="H41" s="250">
        <f t="shared" si="11"/>
        <v>36000</v>
      </c>
      <c r="I41" s="250">
        <f t="shared" si="11"/>
        <v>0</v>
      </c>
      <c r="J41" s="250">
        <f t="shared" si="11"/>
        <v>0</v>
      </c>
      <c r="K41" s="250">
        <f t="shared" si="11"/>
        <v>0</v>
      </c>
    </row>
    <row r="42" spans="1:11" s="233" customFormat="1" ht="15.75" customHeight="1">
      <c r="A42" s="253"/>
      <c r="B42" s="253" t="s">
        <v>279</v>
      </c>
      <c r="C42" s="207">
        <f>1!E264</f>
        <v>36000</v>
      </c>
      <c r="D42" s="207">
        <f>E42+K42</f>
        <v>36000</v>
      </c>
      <c r="E42" s="207">
        <f>SUM(F42,G42,H42,I42,J42)</f>
        <v>36000</v>
      </c>
      <c r="F42" s="207">
        <v>0</v>
      </c>
      <c r="G42" s="207">
        <v>0</v>
      </c>
      <c r="H42" s="207">
        <v>36000</v>
      </c>
      <c r="I42" s="207">
        <v>0</v>
      </c>
      <c r="J42" s="207">
        <v>0</v>
      </c>
      <c r="K42" s="207">
        <v>0</v>
      </c>
    </row>
    <row r="43" spans="1:11" s="240" customFormat="1" ht="15.75" customHeight="1">
      <c r="A43" s="382" t="s">
        <v>588</v>
      </c>
      <c r="B43" s="382"/>
      <c r="C43" s="254">
        <f aca="true" t="shared" si="12" ref="C43:K43">SUM(C25,C27,C32,C35,C37,C39,C41)</f>
        <v>5491900</v>
      </c>
      <c r="D43" s="254">
        <f t="shared" si="12"/>
        <v>5491900</v>
      </c>
      <c r="E43" s="254">
        <f t="shared" si="12"/>
        <v>5480900</v>
      </c>
      <c r="F43" s="254">
        <f t="shared" si="12"/>
        <v>4528396</v>
      </c>
      <c r="G43" s="254">
        <f t="shared" si="12"/>
        <v>736504</v>
      </c>
      <c r="H43" s="254">
        <f t="shared" si="12"/>
        <v>36000</v>
      </c>
      <c r="I43" s="254">
        <f t="shared" si="12"/>
        <v>180000</v>
      </c>
      <c r="J43" s="254">
        <f t="shared" si="12"/>
        <v>0</v>
      </c>
      <c r="K43" s="254">
        <f t="shared" si="12"/>
        <v>11000</v>
      </c>
    </row>
    <row r="44" spans="1:11" s="233" customFormat="1" ht="15" customHeight="1">
      <c r="A44" s="383" t="s">
        <v>539</v>
      </c>
      <c r="B44" s="383"/>
      <c r="C44" s="210">
        <f>SUM(C23,C43)</f>
        <v>11733416</v>
      </c>
      <c r="D44" s="210">
        <f aca="true" t="shared" si="13" ref="D44:K44">SUM(D23,D43)</f>
        <v>11733416</v>
      </c>
      <c r="E44" s="210">
        <f t="shared" si="13"/>
        <v>11722416</v>
      </c>
      <c r="F44" s="210">
        <f t="shared" si="13"/>
        <v>5260396</v>
      </c>
      <c r="G44" s="210">
        <f t="shared" si="13"/>
        <v>763794</v>
      </c>
      <c r="H44" s="210">
        <f>SUM(H23,H43)</f>
        <v>204000</v>
      </c>
      <c r="I44" s="210">
        <f>SUM(I23,I43)</f>
        <v>5494226</v>
      </c>
      <c r="J44" s="210">
        <f t="shared" si="13"/>
        <v>0</v>
      </c>
      <c r="K44" s="210">
        <f t="shared" si="13"/>
        <v>11000</v>
      </c>
    </row>
    <row r="46" ht="12.75">
      <c r="A46" s="255"/>
    </row>
  </sheetData>
  <sheetProtection sheet="1" objects="1" scenarios="1"/>
  <mergeCells count="18">
    <mergeCell ref="A1:K1"/>
    <mergeCell ref="A3:A6"/>
    <mergeCell ref="B3:B6"/>
    <mergeCell ref="C3:C6"/>
    <mergeCell ref="D3:D6"/>
    <mergeCell ref="E3:K3"/>
    <mergeCell ref="E4:E6"/>
    <mergeCell ref="F4:J4"/>
    <mergeCell ref="K4:K6"/>
    <mergeCell ref="F5:G5"/>
    <mergeCell ref="A23:B23"/>
    <mergeCell ref="A24:K24"/>
    <mergeCell ref="A43:B43"/>
    <mergeCell ref="A44:B44"/>
    <mergeCell ref="H5:H6"/>
    <mergeCell ref="I5:I6"/>
    <mergeCell ref="J5:J6"/>
    <mergeCell ref="A8:K8"/>
  </mergeCells>
  <printOptions horizontalCentered="1"/>
  <pageMargins left="0.7875" right="0.5513888888888889" top="1.3777777777777778" bottom="0.39375" header="0.5118055555555556" footer="0.5118055555555556"/>
  <pageSetup horizontalDpi="300" verticalDpi="300" orientation="landscape" paperSize="9" scale="95" r:id="rId1"/>
  <headerFooter alignWithMargins="0">
    <oddHeader xml:space="preserve">&amp;RZałącznik nr &amp;A
do uchwały Nr ................... 
Rady Miasta Świnoujście
z dnia .....................roku </oddHead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5.625" style="169" customWidth="1"/>
    <col min="2" max="2" width="8.125" style="169" customWidth="1"/>
    <col min="3" max="3" width="11.25390625" style="169" customWidth="1"/>
    <col min="4" max="4" width="11.125" style="169" customWidth="1"/>
    <col min="5" max="5" width="12.875" style="169" customWidth="1"/>
    <col min="6" max="6" width="15.625" style="233" customWidth="1"/>
    <col min="7" max="7" width="15.75390625" style="233" customWidth="1"/>
    <col min="8" max="8" width="13.125" style="233" customWidth="1"/>
    <col min="9" max="9" width="12.75390625" style="233" customWidth="1"/>
    <col min="10" max="10" width="12.25390625" style="233" customWidth="1"/>
    <col min="11" max="11" width="14.00390625" style="233" customWidth="1"/>
    <col min="12" max="16384" width="9.125" style="233" customWidth="1"/>
  </cols>
  <sheetData>
    <row r="1" spans="1:11" ht="48.75" customHeight="1">
      <c r="A1" s="385" t="s">
        <v>589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2.75">
      <c r="A2" s="234"/>
      <c r="B2" s="234"/>
      <c r="C2" s="234"/>
      <c r="D2" s="234"/>
      <c r="E2" s="234"/>
      <c r="F2" s="235"/>
      <c r="G2" s="235"/>
      <c r="H2" s="235"/>
      <c r="I2" s="235"/>
      <c r="J2" s="235"/>
      <c r="K2" s="236" t="s">
        <v>447</v>
      </c>
    </row>
    <row r="3" spans="1:11" s="237" customFormat="1" ht="20.25" customHeight="1">
      <c r="A3" s="378" t="s">
        <v>2</v>
      </c>
      <c r="B3" s="378" t="s">
        <v>3</v>
      </c>
      <c r="C3" s="379" t="s">
        <v>577</v>
      </c>
      <c r="D3" s="379" t="s">
        <v>578</v>
      </c>
      <c r="E3" s="379" t="s">
        <v>7</v>
      </c>
      <c r="F3" s="379"/>
      <c r="G3" s="379"/>
      <c r="H3" s="379"/>
      <c r="I3" s="379"/>
      <c r="J3" s="379"/>
      <c r="K3" s="379"/>
    </row>
    <row r="4" spans="1:11" s="237" customFormat="1" ht="16.5" customHeight="1">
      <c r="A4" s="378"/>
      <c r="B4" s="378"/>
      <c r="C4" s="379"/>
      <c r="D4" s="379"/>
      <c r="E4" s="379" t="s">
        <v>579</v>
      </c>
      <c r="F4" s="379" t="s">
        <v>289</v>
      </c>
      <c r="G4" s="379"/>
      <c r="H4" s="379"/>
      <c r="I4" s="379"/>
      <c r="J4" s="379"/>
      <c r="K4" s="379" t="s">
        <v>580</v>
      </c>
    </row>
    <row r="5" spans="1:11" s="237" customFormat="1" ht="20.25" customHeight="1">
      <c r="A5" s="378"/>
      <c r="B5" s="378"/>
      <c r="C5" s="379"/>
      <c r="D5" s="379"/>
      <c r="E5" s="379"/>
      <c r="F5" s="379" t="s">
        <v>291</v>
      </c>
      <c r="G5" s="379"/>
      <c r="H5" s="379" t="s">
        <v>292</v>
      </c>
      <c r="I5" s="379" t="s">
        <v>581</v>
      </c>
      <c r="J5" s="364" t="s">
        <v>582</v>
      </c>
      <c r="K5" s="379"/>
    </row>
    <row r="6" spans="1:11" s="237" customFormat="1" ht="88.5" customHeight="1">
      <c r="A6" s="378"/>
      <c r="B6" s="378"/>
      <c r="C6" s="379"/>
      <c r="D6" s="379"/>
      <c r="E6" s="379"/>
      <c r="F6" s="174" t="s">
        <v>590</v>
      </c>
      <c r="G6" s="174" t="s">
        <v>584</v>
      </c>
      <c r="H6" s="379"/>
      <c r="I6" s="379"/>
      <c r="J6" s="364"/>
      <c r="K6" s="379"/>
    </row>
    <row r="7" spans="1:11" ht="9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</row>
    <row r="8" spans="1:11" ht="15.75" customHeight="1">
      <c r="A8" s="381" t="s">
        <v>587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9" spans="1:11" s="240" customFormat="1" ht="15.75" customHeight="1">
      <c r="A9" s="249" t="s">
        <v>66</v>
      </c>
      <c r="B9" s="249"/>
      <c r="C9" s="250">
        <f>SUM(C10)</f>
        <v>2500</v>
      </c>
      <c r="D9" s="250">
        <f aca="true" t="shared" si="0" ref="D9:K9">SUM(D10)</f>
        <v>2500</v>
      </c>
      <c r="E9" s="250">
        <f t="shared" si="0"/>
        <v>2500</v>
      </c>
      <c r="F9" s="250">
        <f t="shared" si="0"/>
        <v>0</v>
      </c>
      <c r="G9" s="250">
        <f t="shared" si="0"/>
        <v>2500</v>
      </c>
      <c r="H9" s="250">
        <f t="shared" si="0"/>
        <v>0</v>
      </c>
      <c r="I9" s="250">
        <f t="shared" si="0"/>
        <v>0</v>
      </c>
      <c r="J9" s="250">
        <f t="shared" si="0"/>
        <v>0</v>
      </c>
      <c r="K9" s="250">
        <f t="shared" si="0"/>
        <v>0</v>
      </c>
    </row>
    <row r="10" spans="1:11" ht="15.75" customHeight="1">
      <c r="A10" s="251"/>
      <c r="B10" s="251" t="s">
        <v>247</v>
      </c>
      <c r="C10" s="252">
        <f>1!E225</f>
        <v>2500</v>
      </c>
      <c r="D10" s="252">
        <f>E10+K10</f>
        <v>2500</v>
      </c>
      <c r="E10" s="252">
        <f>SUM(F10,G10,I10,J10)</f>
        <v>2500</v>
      </c>
      <c r="F10" s="252">
        <v>0</v>
      </c>
      <c r="G10" s="252">
        <v>2500</v>
      </c>
      <c r="H10" s="252">
        <v>0</v>
      </c>
      <c r="I10" s="252">
        <v>0</v>
      </c>
      <c r="J10" s="252">
        <v>0</v>
      </c>
      <c r="K10" s="252">
        <v>0</v>
      </c>
    </row>
    <row r="11" spans="1:11" ht="16.5" customHeight="1">
      <c r="A11" s="383" t="s">
        <v>539</v>
      </c>
      <c r="B11" s="383"/>
      <c r="C11" s="210">
        <f>SUM(C9)</f>
        <v>2500</v>
      </c>
      <c r="D11" s="210">
        <f aca="true" t="shared" si="1" ref="D11:K11">SUM(D9)</f>
        <v>2500</v>
      </c>
      <c r="E11" s="210">
        <f t="shared" si="1"/>
        <v>2500</v>
      </c>
      <c r="F11" s="210">
        <f t="shared" si="1"/>
        <v>0</v>
      </c>
      <c r="G11" s="210">
        <f t="shared" si="1"/>
        <v>2500</v>
      </c>
      <c r="H11" s="210">
        <f t="shared" si="1"/>
        <v>0</v>
      </c>
      <c r="I11" s="210">
        <f t="shared" si="1"/>
        <v>0</v>
      </c>
      <c r="J11" s="210">
        <f t="shared" si="1"/>
        <v>0</v>
      </c>
      <c r="K11" s="210">
        <f t="shared" si="1"/>
        <v>0</v>
      </c>
    </row>
    <row r="13" ht="12.75">
      <c r="A13" s="256"/>
    </row>
  </sheetData>
  <sheetProtection sheet="1" objects="1" scenarios="1"/>
  <mergeCells count="15">
    <mergeCell ref="A11:B11"/>
    <mergeCell ref="H5:H6"/>
    <mergeCell ref="I5:I6"/>
    <mergeCell ref="J5:J6"/>
    <mergeCell ref="A8:K8"/>
    <mergeCell ref="A1:K1"/>
    <mergeCell ref="A3:A6"/>
    <mergeCell ref="B3:B6"/>
    <mergeCell ref="C3:C6"/>
    <mergeCell ref="D3:D6"/>
    <mergeCell ref="E3:K3"/>
    <mergeCell ref="E4:E6"/>
    <mergeCell ref="F4:J4"/>
    <mergeCell ref="K4:K6"/>
    <mergeCell ref="F5:G5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Nr XIX/144/2011.
Rady Miasta Świnoujście
z dnia 22 grudnia 2011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5.625" style="169" customWidth="1"/>
    <col min="2" max="2" width="8.875" style="169" customWidth="1"/>
    <col min="3" max="3" width="12.00390625" style="169" customWidth="1"/>
    <col min="4" max="4" width="11.875" style="169" customWidth="1"/>
    <col min="5" max="5" width="13.125" style="169" customWidth="1"/>
    <col min="6" max="6" width="15.00390625" style="233" customWidth="1"/>
    <col min="7" max="7" width="14.875" style="233" customWidth="1"/>
    <col min="8" max="8" width="13.375" style="233" customWidth="1"/>
    <col min="9" max="9" width="12.75390625" style="233" customWidth="1"/>
    <col min="10" max="10" width="12.25390625" style="233" customWidth="1"/>
    <col min="11" max="11" width="14.00390625" style="233" customWidth="1"/>
    <col min="12" max="16384" width="9.125" style="233" customWidth="1"/>
  </cols>
  <sheetData>
    <row r="1" spans="1:11" ht="48.75" customHeight="1">
      <c r="A1" s="375" t="s">
        <v>591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2.75">
      <c r="A2" s="234"/>
      <c r="B2" s="234"/>
      <c r="C2" s="234"/>
      <c r="D2" s="234"/>
      <c r="E2" s="234"/>
      <c r="F2" s="235"/>
      <c r="G2" s="235"/>
      <c r="H2" s="235"/>
      <c r="I2" s="235"/>
      <c r="J2" s="235"/>
      <c r="K2" s="236" t="s">
        <v>447</v>
      </c>
    </row>
    <row r="3" spans="1:11" s="237" customFormat="1" ht="20.25" customHeight="1">
      <c r="A3" s="378" t="s">
        <v>2</v>
      </c>
      <c r="B3" s="378" t="s">
        <v>3</v>
      </c>
      <c r="C3" s="379" t="s">
        <v>577</v>
      </c>
      <c r="D3" s="379" t="s">
        <v>578</v>
      </c>
      <c r="E3" s="379" t="s">
        <v>7</v>
      </c>
      <c r="F3" s="379"/>
      <c r="G3" s="379"/>
      <c r="H3" s="379"/>
      <c r="I3" s="379"/>
      <c r="J3" s="379"/>
      <c r="K3" s="379"/>
    </row>
    <row r="4" spans="1:11" s="237" customFormat="1" ht="16.5" customHeight="1">
      <c r="A4" s="378"/>
      <c r="B4" s="378"/>
      <c r="C4" s="379"/>
      <c r="D4" s="379"/>
      <c r="E4" s="379" t="s">
        <v>579</v>
      </c>
      <c r="F4" s="379" t="s">
        <v>289</v>
      </c>
      <c r="G4" s="379"/>
      <c r="H4" s="379"/>
      <c r="I4" s="379"/>
      <c r="J4" s="379"/>
      <c r="K4" s="379" t="s">
        <v>580</v>
      </c>
    </row>
    <row r="5" spans="1:11" s="237" customFormat="1" ht="20.25" customHeight="1">
      <c r="A5" s="378"/>
      <c r="B5" s="378"/>
      <c r="C5" s="379"/>
      <c r="D5" s="379"/>
      <c r="E5" s="379"/>
      <c r="F5" s="379" t="s">
        <v>291</v>
      </c>
      <c r="G5" s="379"/>
      <c r="H5" s="379" t="s">
        <v>292</v>
      </c>
      <c r="I5" s="379" t="s">
        <v>581</v>
      </c>
      <c r="J5" s="364" t="s">
        <v>582</v>
      </c>
      <c r="K5" s="379"/>
    </row>
    <row r="6" spans="1:11" s="237" customFormat="1" ht="88.5" customHeight="1">
      <c r="A6" s="378"/>
      <c r="B6" s="378"/>
      <c r="C6" s="379"/>
      <c r="D6" s="379"/>
      <c r="E6" s="379"/>
      <c r="F6" s="174" t="s">
        <v>590</v>
      </c>
      <c r="G6" s="174" t="s">
        <v>584</v>
      </c>
      <c r="H6" s="379"/>
      <c r="I6" s="379"/>
      <c r="J6" s="364"/>
      <c r="K6" s="379"/>
    </row>
    <row r="7" spans="1:11" ht="9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</row>
    <row r="8" spans="1:11" ht="15.75" customHeight="1">
      <c r="A8" s="381" t="s">
        <v>587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9" spans="1:11" s="240" customFormat="1" ht="21.75" customHeight="1">
      <c r="A9" s="249" t="s">
        <v>168</v>
      </c>
      <c r="B9" s="249"/>
      <c r="C9" s="250">
        <f aca="true" t="shared" si="0" ref="C9:K9">SUM(C10)</f>
        <v>134328</v>
      </c>
      <c r="D9" s="250">
        <f t="shared" si="0"/>
        <v>134328</v>
      </c>
      <c r="E9" s="250">
        <f t="shared" si="0"/>
        <v>134328</v>
      </c>
      <c r="F9" s="250">
        <f t="shared" si="0"/>
        <v>0</v>
      </c>
      <c r="G9" s="250">
        <f t="shared" si="0"/>
        <v>0</v>
      </c>
      <c r="H9" s="250">
        <f t="shared" si="0"/>
        <v>0</v>
      </c>
      <c r="I9" s="250">
        <f t="shared" si="0"/>
        <v>134328</v>
      </c>
      <c r="J9" s="250">
        <f t="shared" si="0"/>
        <v>0</v>
      </c>
      <c r="K9" s="250">
        <f t="shared" si="0"/>
        <v>0</v>
      </c>
    </row>
    <row r="10" spans="1:11" ht="20.25" customHeight="1">
      <c r="A10" s="251"/>
      <c r="B10" s="251" t="s">
        <v>273</v>
      </c>
      <c r="C10" s="252">
        <f>1!E259</f>
        <v>134328</v>
      </c>
      <c r="D10" s="252">
        <f>E10+K10</f>
        <v>134328</v>
      </c>
      <c r="E10" s="252">
        <f>SUM(F10,G10,I10,J10)</f>
        <v>134328</v>
      </c>
      <c r="F10" s="252">
        <v>0</v>
      </c>
      <c r="G10" s="252">
        <v>0</v>
      </c>
      <c r="H10" s="252"/>
      <c r="I10" s="252">
        <v>134328</v>
      </c>
      <c r="J10" s="252">
        <v>0</v>
      </c>
      <c r="K10" s="252">
        <v>0</v>
      </c>
    </row>
    <row r="11" spans="1:11" ht="21.75" customHeight="1">
      <c r="A11" s="383" t="s">
        <v>539</v>
      </c>
      <c r="B11" s="383"/>
      <c r="C11" s="210">
        <f aca="true" t="shared" si="1" ref="C11:K11">SUM(C9)</f>
        <v>134328</v>
      </c>
      <c r="D11" s="210">
        <f t="shared" si="1"/>
        <v>134328</v>
      </c>
      <c r="E11" s="210">
        <f t="shared" si="1"/>
        <v>134328</v>
      </c>
      <c r="F11" s="210">
        <f t="shared" si="1"/>
        <v>0</v>
      </c>
      <c r="G11" s="210">
        <f t="shared" si="1"/>
        <v>0</v>
      </c>
      <c r="H11" s="210">
        <f t="shared" si="1"/>
        <v>0</v>
      </c>
      <c r="I11" s="210">
        <f t="shared" si="1"/>
        <v>134328</v>
      </c>
      <c r="J11" s="210">
        <f t="shared" si="1"/>
        <v>0</v>
      </c>
      <c r="K11" s="210">
        <f t="shared" si="1"/>
        <v>0</v>
      </c>
    </row>
    <row r="13" ht="12.75">
      <c r="A13" s="256"/>
    </row>
  </sheetData>
  <sheetProtection sheet="1" objects="1" scenarios="1"/>
  <mergeCells count="15">
    <mergeCell ref="A11:B11"/>
    <mergeCell ref="H5:H6"/>
    <mergeCell ref="I5:I6"/>
    <mergeCell ref="J5:J6"/>
    <mergeCell ref="A8:K8"/>
    <mergeCell ref="A1:K1"/>
    <mergeCell ref="A3:A6"/>
    <mergeCell ref="B3:B6"/>
    <mergeCell ref="C3:C6"/>
    <mergeCell ref="D3:D6"/>
    <mergeCell ref="E3:K3"/>
    <mergeCell ref="E4:E6"/>
    <mergeCell ref="F4:J4"/>
    <mergeCell ref="K4:K6"/>
    <mergeCell ref="F5:G5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Nr XIX/144/2011 
Rady Miasta Świnoujście
z dnia 22 grudnia 2011 roku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1" max="1" width="3.00390625" style="257" customWidth="1"/>
    <col min="2" max="2" width="34.25390625" style="232" customWidth="1"/>
    <col min="3" max="3" width="12.875" style="232" customWidth="1"/>
    <col min="4" max="4" width="10.75390625" style="232" customWidth="1"/>
    <col min="5" max="5" width="16.125" style="232" customWidth="1"/>
    <col min="6" max="6" width="10.125" style="258" customWidth="1"/>
    <col min="7" max="7" width="10.375" style="258" customWidth="1"/>
    <col min="8" max="8" width="10.125" style="232" customWidth="1"/>
    <col min="9" max="9" width="10.625" style="232" customWidth="1"/>
    <col min="10" max="10" width="14.125" style="232" customWidth="1"/>
    <col min="11" max="16384" width="9.125" style="232" customWidth="1"/>
  </cols>
  <sheetData>
    <row r="1" spans="1:10" s="233" customFormat="1" ht="18">
      <c r="A1" s="371" t="s">
        <v>592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s="233" customFormat="1" ht="16.5">
      <c r="A2" s="386"/>
      <c r="B2" s="386"/>
      <c r="C2" s="386"/>
      <c r="D2" s="386"/>
      <c r="E2" s="386"/>
      <c r="F2" s="386"/>
      <c r="G2" s="386"/>
      <c r="H2" s="386"/>
      <c r="I2" s="386"/>
      <c r="J2" s="386"/>
    </row>
    <row r="3" spans="1:10" s="233" customFormat="1" ht="12.75">
      <c r="A3" s="237"/>
      <c r="B3" s="169"/>
      <c r="C3" s="169"/>
      <c r="D3" s="169"/>
      <c r="E3" s="169"/>
      <c r="F3" s="169"/>
      <c r="G3" s="169"/>
      <c r="H3" s="169"/>
      <c r="I3" s="169"/>
      <c r="J3" s="259" t="s">
        <v>447</v>
      </c>
    </row>
    <row r="4" spans="1:10" s="233" customFormat="1" ht="15" customHeight="1">
      <c r="A4" s="378" t="s">
        <v>448</v>
      </c>
      <c r="B4" s="378" t="s">
        <v>449</v>
      </c>
      <c r="C4" s="379" t="s">
        <v>593</v>
      </c>
      <c r="D4" s="379" t="s">
        <v>594</v>
      </c>
      <c r="E4" s="379"/>
      <c r="F4" s="379"/>
      <c r="G4" s="379"/>
      <c r="H4" s="379" t="s">
        <v>723</v>
      </c>
      <c r="I4" s="379"/>
      <c r="J4" s="379" t="s">
        <v>596</v>
      </c>
    </row>
    <row r="5" spans="1:10" s="233" customFormat="1" ht="15" customHeight="1">
      <c r="A5" s="378"/>
      <c r="B5" s="378"/>
      <c r="C5" s="379"/>
      <c r="D5" s="379" t="s">
        <v>597</v>
      </c>
      <c r="E5" s="378" t="s">
        <v>289</v>
      </c>
      <c r="F5" s="378"/>
      <c r="G5" s="378"/>
      <c r="H5" s="379" t="s">
        <v>597</v>
      </c>
      <c r="I5" s="379" t="s">
        <v>598</v>
      </c>
      <c r="J5" s="379"/>
    </row>
    <row r="6" spans="1:10" s="233" customFormat="1" ht="18" customHeight="1">
      <c r="A6" s="378"/>
      <c r="B6" s="378"/>
      <c r="C6" s="379"/>
      <c r="D6" s="379"/>
      <c r="E6" s="379" t="s">
        <v>599</v>
      </c>
      <c r="F6" s="378" t="s">
        <v>7</v>
      </c>
      <c r="G6" s="378"/>
      <c r="H6" s="379"/>
      <c r="I6" s="379"/>
      <c r="J6" s="379"/>
    </row>
    <row r="7" spans="1:10" s="233" customFormat="1" ht="42" customHeight="1">
      <c r="A7" s="378"/>
      <c r="B7" s="378"/>
      <c r="C7" s="379"/>
      <c r="D7" s="379"/>
      <c r="E7" s="379"/>
      <c r="F7" s="175" t="s">
        <v>600</v>
      </c>
      <c r="G7" s="175" t="s">
        <v>601</v>
      </c>
      <c r="H7" s="379"/>
      <c r="I7" s="379"/>
      <c r="J7" s="379"/>
    </row>
    <row r="8" spans="1:10" s="233" customFormat="1" ht="7.5" customHeight="1">
      <c r="A8" s="176">
        <v>1</v>
      </c>
      <c r="B8" s="176">
        <v>2</v>
      </c>
      <c r="C8" s="176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6">
        <v>10</v>
      </c>
    </row>
    <row r="9" spans="1:10" s="240" customFormat="1" ht="27.75" customHeight="1">
      <c r="A9" s="384" t="s">
        <v>602</v>
      </c>
      <c r="B9" s="384"/>
      <c r="C9" s="260">
        <f>C10+C11</f>
        <v>412331</v>
      </c>
      <c r="D9" s="260">
        <f aca="true" t="shared" si="0" ref="D9:J9">D10+D11</f>
        <v>16900665</v>
      </c>
      <c r="E9" s="260">
        <f t="shared" si="0"/>
        <v>4483365</v>
      </c>
      <c r="F9" s="260">
        <f t="shared" si="0"/>
        <v>1977000</v>
      </c>
      <c r="G9" s="260">
        <f t="shared" si="0"/>
        <v>2506365</v>
      </c>
      <c r="H9" s="260">
        <f t="shared" si="0"/>
        <v>16897665</v>
      </c>
      <c r="I9" s="260">
        <f t="shared" si="0"/>
        <v>0</v>
      </c>
      <c r="J9" s="260">
        <f t="shared" si="0"/>
        <v>415331</v>
      </c>
    </row>
    <row r="10" spans="1:10" s="233" customFormat="1" ht="24.75" customHeight="1">
      <c r="A10" s="182" t="s">
        <v>455</v>
      </c>
      <c r="B10" s="261" t="s">
        <v>603</v>
      </c>
      <c r="C10" s="185">
        <v>324600</v>
      </c>
      <c r="D10" s="185">
        <f>13148665-953000</f>
        <v>12195665</v>
      </c>
      <c r="E10" s="185">
        <f>SUM(F10,G10)</f>
        <v>3103365</v>
      </c>
      <c r="F10" s="185">
        <v>1077000</v>
      </c>
      <c r="G10" s="185">
        <v>2026365</v>
      </c>
      <c r="H10" s="185">
        <v>12200665</v>
      </c>
      <c r="I10" s="185">
        <v>0</v>
      </c>
      <c r="J10" s="185">
        <f>C10+D10-H10</f>
        <v>319600</v>
      </c>
    </row>
    <row r="11" spans="1:11" ht="26.25" customHeight="1">
      <c r="A11" s="225" t="s">
        <v>457</v>
      </c>
      <c r="B11" s="262" t="s">
        <v>604</v>
      </c>
      <c r="C11" s="207">
        <v>87731</v>
      </c>
      <c r="D11" s="207">
        <v>4705000</v>
      </c>
      <c r="E11" s="207">
        <f>SUM(F11,G11)</f>
        <v>1380000</v>
      </c>
      <c r="F11" s="207">
        <v>900000</v>
      </c>
      <c r="G11" s="207">
        <f>480000</f>
        <v>480000</v>
      </c>
      <c r="H11" s="207">
        <v>4697000</v>
      </c>
      <c r="I11" s="207">
        <v>0</v>
      </c>
      <c r="J11" s="207">
        <f>C11+D11-H11</f>
        <v>95731</v>
      </c>
      <c r="K11" s="263"/>
    </row>
  </sheetData>
  <sheetProtection password="CF53" sheet="1" objects="1" scenarios="1"/>
  <mergeCells count="15">
    <mergeCell ref="A9:B9"/>
    <mergeCell ref="H5:H7"/>
    <mergeCell ref="I5:I7"/>
    <mergeCell ref="E6:E7"/>
    <mergeCell ref="F6:G6"/>
    <mergeCell ref="A1:J1"/>
    <mergeCell ref="A2:J2"/>
    <mergeCell ref="A4:A7"/>
    <mergeCell ref="B4:B7"/>
    <mergeCell ref="C4:C7"/>
    <mergeCell ref="D4:G4"/>
    <mergeCell ref="H4:I4"/>
    <mergeCell ref="J4:J7"/>
    <mergeCell ref="D5:D7"/>
    <mergeCell ref="E5:G5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300" verticalDpi="300" orientation="landscape" paperSize="9" r:id="rId1"/>
  <headerFooter alignWithMargins="0">
    <oddHeader xml:space="preserve">&amp;R&amp;9Załącznik nr &amp;A
do uchwały Nr  XIX/144/2011
Rady Miasta Świnoujście
z dnia 22 grudnia 2011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K31" sqref="K31"/>
    </sheetView>
  </sheetViews>
  <sheetFormatPr defaultColWidth="9.00390625" defaultRowHeight="12.75"/>
  <cols>
    <col min="1" max="1" width="3.00390625" style="257" customWidth="1"/>
    <col min="2" max="2" width="26.75390625" style="232" customWidth="1"/>
    <col min="3" max="3" width="13.375" style="232" customWidth="1"/>
    <col min="4" max="4" width="10.75390625" style="232" customWidth="1"/>
    <col min="5" max="5" width="10.125" style="232" customWidth="1"/>
    <col min="6" max="6" width="13.25390625" style="232" customWidth="1"/>
    <col min="7" max="7" width="13.125" style="232" customWidth="1"/>
    <col min="8" max="16384" width="9.125" style="232" customWidth="1"/>
  </cols>
  <sheetData>
    <row r="1" spans="1:7" s="233" customFormat="1" ht="55.5" customHeight="1">
      <c r="A1" s="385" t="s">
        <v>605</v>
      </c>
      <c r="B1" s="385"/>
      <c r="C1" s="385"/>
      <c r="D1" s="385"/>
      <c r="E1" s="385"/>
      <c r="F1" s="385"/>
      <c r="G1" s="385"/>
    </row>
    <row r="2" spans="1:6" s="233" customFormat="1" ht="16.5">
      <c r="A2" s="386"/>
      <c r="B2" s="386"/>
      <c r="C2" s="386"/>
      <c r="D2" s="386"/>
      <c r="E2" s="386"/>
      <c r="F2" s="386"/>
    </row>
    <row r="3" spans="1:7" s="233" customFormat="1" ht="12.75">
      <c r="A3" s="237"/>
      <c r="B3" s="169"/>
      <c r="C3" s="169"/>
      <c r="D3" s="169"/>
      <c r="E3" s="169"/>
      <c r="G3" s="259" t="s">
        <v>447</v>
      </c>
    </row>
    <row r="4" spans="1:7" s="233" customFormat="1" ht="84" customHeight="1">
      <c r="A4" s="173" t="s">
        <v>448</v>
      </c>
      <c r="B4" s="173" t="s">
        <v>449</v>
      </c>
      <c r="C4" s="174" t="s">
        <v>593</v>
      </c>
      <c r="D4" s="264" t="s">
        <v>606</v>
      </c>
      <c r="E4" s="174" t="s">
        <v>595</v>
      </c>
      <c r="F4" s="174" t="s">
        <v>596</v>
      </c>
      <c r="G4" s="174" t="s">
        <v>607</v>
      </c>
    </row>
    <row r="5" spans="1:7" s="233" customFormat="1" ht="7.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</row>
    <row r="6" spans="1:7" s="266" customFormat="1" ht="21" customHeight="1">
      <c r="A6" s="377" t="s">
        <v>585</v>
      </c>
      <c r="B6" s="377"/>
      <c r="C6" s="265">
        <f>SUM(C7:C21)</f>
        <v>0</v>
      </c>
      <c r="D6" s="265">
        <f>SUM(D7:D21)</f>
        <v>2340208</v>
      </c>
      <c r="E6" s="265">
        <f>SUM(E7:E21)</f>
        <v>2340208</v>
      </c>
      <c r="F6" s="265">
        <f>SUM(F7:F21)</f>
        <v>0</v>
      </c>
      <c r="G6" s="265">
        <f>SUM(G7:G21)</f>
        <v>0</v>
      </c>
    </row>
    <row r="7" spans="1:7" s="233" customFormat="1" ht="19.5" customHeight="1">
      <c r="A7" s="267" t="s">
        <v>455</v>
      </c>
      <c r="B7" s="268" t="s">
        <v>608</v>
      </c>
      <c r="C7" s="190">
        <v>0</v>
      </c>
      <c r="D7" s="190">
        <v>162975</v>
      </c>
      <c r="E7" s="190">
        <v>162975</v>
      </c>
      <c r="F7" s="190">
        <f>C7+D7-E7</f>
        <v>0</v>
      </c>
      <c r="G7" s="190">
        <v>0</v>
      </c>
    </row>
    <row r="8" spans="1:7" s="233" customFormat="1" ht="19.5" customHeight="1">
      <c r="A8" s="267" t="s">
        <v>457</v>
      </c>
      <c r="B8" s="268" t="s">
        <v>609</v>
      </c>
      <c r="C8" s="190">
        <v>0</v>
      </c>
      <c r="D8" s="190">
        <v>29100</v>
      </c>
      <c r="E8" s="190">
        <v>29100</v>
      </c>
      <c r="F8" s="190">
        <f aca="true" t="shared" si="0" ref="F8:F21">C8+D8-E8</f>
        <v>0</v>
      </c>
      <c r="G8" s="190">
        <v>0</v>
      </c>
    </row>
    <row r="9" spans="1:7" s="233" customFormat="1" ht="30" customHeight="1">
      <c r="A9" s="267" t="s">
        <v>459</v>
      </c>
      <c r="B9" s="189" t="s">
        <v>610</v>
      </c>
      <c r="C9" s="190">
        <v>0</v>
      </c>
      <c r="D9" s="190">
        <v>320660</v>
      </c>
      <c r="E9" s="190">
        <v>320660</v>
      </c>
      <c r="F9" s="190">
        <f t="shared" si="0"/>
        <v>0</v>
      </c>
      <c r="G9" s="190">
        <v>0</v>
      </c>
    </row>
    <row r="10" spans="1:7" s="233" customFormat="1" ht="19.5" customHeight="1">
      <c r="A10" s="267" t="s">
        <v>461</v>
      </c>
      <c r="B10" s="223" t="s">
        <v>611</v>
      </c>
      <c r="C10" s="185">
        <v>0</v>
      </c>
      <c r="D10" s="185">
        <v>185750</v>
      </c>
      <c r="E10" s="269">
        <v>185750</v>
      </c>
      <c r="F10" s="190">
        <f t="shared" si="0"/>
        <v>0</v>
      </c>
      <c r="G10" s="185">
        <v>0</v>
      </c>
    </row>
    <row r="11" spans="1:7" s="233" customFormat="1" ht="19.5" customHeight="1">
      <c r="A11" s="267" t="s">
        <v>463</v>
      </c>
      <c r="B11" s="223" t="s">
        <v>612</v>
      </c>
      <c r="C11" s="185">
        <v>0</v>
      </c>
      <c r="D11" s="185">
        <v>121010</v>
      </c>
      <c r="E11" s="185">
        <v>121010</v>
      </c>
      <c r="F11" s="190">
        <f t="shared" si="0"/>
        <v>0</v>
      </c>
      <c r="G11" s="185">
        <v>0</v>
      </c>
    </row>
    <row r="12" spans="1:7" s="233" customFormat="1" ht="19.5" customHeight="1">
      <c r="A12" s="267" t="s">
        <v>465</v>
      </c>
      <c r="B12" s="268" t="s">
        <v>613</v>
      </c>
      <c r="C12" s="190">
        <v>0</v>
      </c>
      <c r="D12" s="190">
        <v>166000</v>
      </c>
      <c r="E12" s="190">
        <v>166000</v>
      </c>
      <c r="F12" s="190">
        <f t="shared" si="0"/>
        <v>0</v>
      </c>
      <c r="G12" s="185">
        <v>0</v>
      </c>
    </row>
    <row r="13" spans="1:7" s="233" customFormat="1" ht="19.5" customHeight="1">
      <c r="A13" s="267" t="s">
        <v>467</v>
      </c>
      <c r="B13" s="268" t="s">
        <v>614</v>
      </c>
      <c r="C13" s="190">
        <v>0</v>
      </c>
      <c r="D13" s="190">
        <v>158860</v>
      </c>
      <c r="E13" s="190">
        <v>158860</v>
      </c>
      <c r="F13" s="190">
        <f t="shared" si="0"/>
        <v>0</v>
      </c>
      <c r="G13" s="185">
        <v>0</v>
      </c>
    </row>
    <row r="14" spans="1:7" s="233" customFormat="1" ht="19.5" customHeight="1">
      <c r="A14" s="267" t="s">
        <v>469</v>
      </c>
      <c r="B14" s="268" t="s">
        <v>615</v>
      </c>
      <c r="C14" s="190">
        <v>0</v>
      </c>
      <c r="D14" s="190">
        <v>85820</v>
      </c>
      <c r="E14" s="190">
        <v>85820</v>
      </c>
      <c r="F14" s="190">
        <f t="shared" si="0"/>
        <v>0</v>
      </c>
      <c r="G14" s="185">
        <v>0</v>
      </c>
    </row>
    <row r="15" spans="1:7" s="233" customFormat="1" ht="19.5" customHeight="1">
      <c r="A15" s="267" t="s">
        <v>471</v>
      </c>
      <c r="B15" s="268" t="s">
        <v>616</v>
      </c>
      <c r="C15" s="190">
        <v>0</v>
      </c>
      <c r="D15" s="190">
        <v>135100</v>
      </c>
      <c r="E15" s="190">
        <v>135100</v>
      </c>
      <c r="F15" s="190">
        <f t="shared" si="0"/>
        <v>0</v>
      </c>
      <c r="G15" s="185">
        <v>0</v>
      </c>
    </row>
    <row r="16" spans="1:7" s="233" customFormat="1" ht="19.5" customHeight="1">
      <c r="A16" s="267" t="s">
        <v>473</v>
      </c>
      <c r="B16" s="268" t="s">
        <v>617</v>
      </c>
      <c r="C16" s="190">
        <v>0</v>
      </c>
      <c r="D16" s="190">
        <v>155705</v>
      </c>
      <c r="E16" s="190">
        <v>155705</v>
      </c>
      <c r="F16" s="190">
        <f t="shared" si="0"/>
        <v>0</v>
      </c>
      <c r="G16" s="185">
        <v>0</v>
      </c>
    </row>
    <row r="17" spans="1:7" s="233" customFormat="1" ht="19.5" customHeight="1">
      <c r="A17" s="267" t="s">
        <v>475</v>
      </c>
      <c r="B17" s="268" t="s">
        <v>618</v>
      </c>
      <c r="C17" s="190">
        <v>0</v>
      </c>
      <c r="D17" s="190">
        <v>91166</v>
      </c>
      <c r="E17" s="190">
        <v>91166</v>
      </c>
      <c r="F17" s="190">
        <f>C17+D17-E17</f>
        <v>0</v>
      </c>
      <c r="G17" s="185">
        <v>0</v>
      </c>
    </row>
    <row r="18" spans="1:7" s="233" customFormat="1" ht="26.25" customHeight="1">
      <c r="A18" s="267" t="s">
        <v>477</v>
      </c>
      <c r="B18" s="189" t="s">
        <v>619</v>
      </c>
      <c r="C18" s="190">
        <v>0</v>
      </c>
      <c r="D18" s="190">
        <v>534800</v>
      </c>
      <c r="E18" s="190">
        <v>534800</v>
      </c>
      <c r="F18" s="190">
        <f t="shared" si="0"/>
        <v>0</v>
      </c>
      <c r="G18" s="185">
        <v>0</v>
      </c>
    </row>
    <row r="19" spans="1:7" s="233" customFormat="1" ht="19.5" customHeight="1">
      <c r="A19" s="267" t="s">
        <v>479</v>
      </c>
      <c r="B19" s="268" t="s">
        <v>620</v>
      </c>
      <c r="C19" s="190">
        <v>0</v>
      </c>
      <c r="D19" s="190">
        <v>141250</v>
      </c>
      <c r="E19" s="190">
        <v>141250</v>
      </c>
      <c r="F19" s="190">
        <f t="shared" si="0"/>
        <v>0</v>
      </c>
      <c r="G19" s="185">
        <v>0</v>
      </c>
    </row>
    <row r="20" spans="1:7" s="233" customFormat="1" ht="19.5" customHeight="1">
      <c r="A20" s="267" t="s">
        <v>481</v>
      </c>
      <c r="B20" s="268" t="s">
        <v>621</v>
      </c>
      <c r="C20" s="190">
        <v>0</v>
      </c>
      <c r="D20" s="190">
        <v>18010</v>
      </c>
      <c r="E20" s="190">
        <v>18010</v>
      </c>
      <c r="F20" s="190">
        <f t="shared" si="0"/>
        <v>0</v>
      </c>
      <c r="G20" s="185">
        <v>0</v>
      </c>
    </row>
    <row r="21" spans="1:7" s="233" customFormat="1" ht="19.5" customHeight="1">
      <c r="A21" s="267" t="s">
        <v>483</v>
      </c>
      <c r="B21" s="224" t="s">
        <v>622</v>
      </c>
      <c r="C21" s="207">
        <v>0</v>
      </c>
      <c r="D21" s="207">
        <v>34002</v>
      </c>
      <c r="E21" s="207">
        <v>34002</v>
      </c>
      <c r="F21" s="190">
        <f t="shared" si="0"/>
        <v>0</v>
      </c>
      <c r="G21" s="185">
        <v>0</v>
      </c>
    </row>
    <row r="22" spans="1:7" s="240" customFormat="1" ht="23.25" customHeight="1">
      <c r="A22" s="377" t="s">
        <v>587</v>
      </c>
      <c r="B22" s="377"/>
      <c r="C22" s="210">
        <f>SUM(C23:C28)</f>
        <v>0</v>
      </c>
      <c r="D22" s="210">
        <f>SUM(D23:D28)</f>
        <v>1345755</v>
      </c>
      <c r="E22" s="210">
        <f>SUM(E23:E28)</f>
        <v>1345755</v>
      </c>
      <c r="F22" s="210">
        <f>SUM(F23:F28)</f>
        <v>0</v>
      </c>
      <c r="G22" s="210">
        <f>SUM(G23:G28)</f>
        <v>0</v>
      </c>
    </row>
    <row r="23" spans="1:7" s="233" customFormat="1" ht="29.25" customHeight="1">
      <c r="A23" s="182" t="s">
        <v>485</v>
      </c>
      <c r="B23" s="184" t="s">
        <v>623</v>
      </c>
      <c r="C23" s="185">
        <v>0</v>
      </c>
      <c r="D23" s="185">
        <v>90005</v>
      </c>
      <c r="E23" s="185">
        <v>90005</v>
      </c>
      <c r="F23" s="190">
        <f aca="true" t="shared" si="1" ref="F23:F28">C23+D23-E23</f>
        <v>0</v>
      </c>
      <c r="G23" s="270">
        <v>0</v>
      </c>
    </row>
    <row r="24" spans="1:7" s="233" customFormat="1" ht="28.5" customHeight="1">
      <c r="A24" s="182" t="s">
        <v>487</v>
      </c>
      <c r="B24" s="271" t="s">
        <v>624</v>
      </c>
      <c r="C24" s="246">
        <v>0</v>
      </c>
      <c r="D24" s="246">
        <v>53300</v>
      </c>
      <c r="E24" s="246">
        <v>53300</v>
      </c>
      <c r="F24" s="190">
        <f t="shared" si="1"/>
        <v>0</v>
      </c>
      <c r="G24" s="270">
        <v>0</v>
      </c>
    </row>
    <row r="25" spans="1:7" s="233" customFormat="1" ht="29.25" customHeight="1">
      <c r="A25" s="182" t="s">
        <v>489</v>
      </c>
      <c r="B25" s="272" t="s">
        <v>625</v>
      </c>
      <c r="C25" s="252">
        <v>0</v>
      </c>
      <c r="D25" s="252">
        <v>336000</v>
      </c>
      <c r="E25" s="252">
        <v>336000</v>
      </c>
      <c r="F25" s="190">
        <f t="shared" si="1"/>
        <v>0</v>
      </c>
      <c r="G25" s="270">
        <v>0</v>
      </c>
    </row>
    <row r="26" spans="1:7" s="233" customFormat="1" ht="29.25" customHeight="1">
      <c r="A26" s="182" t="s">
        <v>491</v>
      </c>
      <c r="B26" s="272" t="s">
        <v>626</v>
      </c>
      <c r="C26" s="252">
        <v>0</v>
      </c>
      <c r="D26" s="252">
        <v>306130</v>
      </c>
      <c r="E26" s="252">
        <v>306130</v>
      </c>
      <c r="F26" s="190">
        <f t="shared" si="1"/>
        <v>0</v>
      </c>
      <c r="G26" s="270">
        <v>0</v>
      </c>
    </row>
    <row r="27" spans="1:7" s="233" customFormat="1" ht="29.25" customHeight="1">
      <c r="A27" s="182" t="s">
        <v>493</v>
      </c>
      <c r="B27" s="272" t="s">
        <v>627</v>
      </c>
      <c r="C27" s="252">
        <v>0</v>
      </c>
      <c r="D27" s="252">
        <v>8300</v>
      </c>
      <c r="E27" s="252">
        <v>8300</v>
      </c>
      <c r="F27" s="190">
        <f t="shared" si="1"/>
        <v>0</v>
      </c>
      <c r="G27" s="270">
        <v>0</v>
      </c>
    </row>
    <row r="28" spans="1:7" s="233" customFormat="1" ht="28.5" customHeight="1">
      <c r="A28" s="182" t="s">
        <v>495</v>
      </c>
      <c r="B28" s="273" t="s">
        <v>628</v>
      </c>
      <c r="C28" s="207">
        <v>0</v>
      </c>
      <c r="D28" s="207">
        <v>552020</v>
      </c>
      <c r="E28" s="207">
        <v>552020</v>
      </c>
      <c r="F28" s="190">
        <f t="shared" si="1"/>
        <v>0</v>
      </c>
      <c r="G28" s="270">
        <v>0</v>
      </c>
    </row>
    <row r="29" spans="1:7" s="233" customFormat="1" ht="24" customHeight="1">
      <c r="A29" s="377" t="s">
        <v>539</v>
      </c>
      <c r="B29" s="377"/>
      <c r="C29" s="210">
        <f>C22+C6</f>
        <v>0</v>
      </c>
      <c r="D29" s="210">
        <f>D22+D6</f>
        <v>3685963</v>
      </c>
      <c r="E29" s="210">
        <f>E22+E6</f>
        <v>3685963</v>
      </c>
      <c r="F29" s="210">
        <f>F22+F6</f>
        <v>0</v>
      </c>
      <c r="G29" s="210">
        <f>G22+G6</f>
        <v>0</v>
      </c>
    </row>
    <row r="30" ht="4.5" customHeight="1"/>
    <row r="31" spans="1:2" ht="12.75" customHeight="1">
      <c r="A31" s="274"/>
      <c r="B31" s="275"/>
    </row>
    <row r="32" spans="1:2" ht="12.75">
      <c r="A32" s="274"/>
      <c r="B32" s="275"/>
    </row>
    <row r="33" spans="1:2" ht="12.75">
      <c r="A33" s="274"/>
      <c r="B33" s="275"/>
    </row>
    <row r="34" spans="1:2" ht="12.75">
      <c r="A34" s="274"/>
      <c r="B34" s="275"/>
    </row>
  </sheetData>
  <sheetProtection sheet="1" objects="1" scenarios="1"/>
  <mergeCells count="5">
    <mergeCell ref="A29:B29"/>
    <mergeCell ref="A1:G1"/>
    <mergeCell ref="A2:F2"/>
    <mergeCell ref="A6:B6"/>
    <mergeCell ref="A22:B22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300" verticalDpi="300" orientation="portrait" paperSize="9" r:id="rId1"/>
  <headerFooter alignWithMargins="0">
    <oddHeader xml:space="preserve">&amp;R&amp;9Załącznik nr &amp;A
do uchwały Nr XIX/144/2011
Rady Miasta Świnoujście
z dnia 22 grudnia 2011.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mkondratenko</cp:lastModifiedBy>
  <cp:lastPrinted>2011-12-27T13:11:14Z</cp:lastPrinted>
  <dcterms:created xsi:type="dcterms:W3CDTF">1998-12-09T13:02:10Z</dcterms:created>
  <dcterms:modified xsi:type="dcterms:W3CDTF">2011-12-27T13:11:19Z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Dotyczy projektu uchwały budżetowej</vt:lpwstr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AdHocReviewCycleID">
    <vt:i4>-1700704043</vt:i4>
  </property>
  <property fmtid="{D5CDD505-2E9C-101B-9397-08002B2CF9AE}" pid="6" name="_ReviewingToolsShownOnce">
    <vt:lpwstr/>
  </property>
</Properties>
</file>