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20" tabRatio="912" activeTab="7"/>
  </bookViews>
  <sheets>
    <sheet name="1Zmiany D i W" sheetId="1" r:id="rId1"/>
    <sheet name="2Zmiany P i R" sheetId="2" r:id="rId2"/>
    <sheet name="3Wysokość i przezn. nadwyżki" sheetId="3" r:id="rId3"/>
    <sheet name="4D i W wg działów" sheetId="4" r:id="rId4"/>
    <sheet name="5PiR" sheetId="5" r:id="rId5"/>
    <sheet name="6D" sheetId="6" r:id="rId6"/>
    <sheet name="7Dmajatkowe" sheetId="7" r:id="rId7"/>
    <sheet name="8D wg źródeł" sheetId="8" r:id="rId8"/>
    <sheet name="9W" sheetId="9" r:id="rId9"/>
    <sheet name="10W dotacje z budżetu miasta" sheetId="10" r:id="rId10"/>
    <sheet name="11W jednostek pom." sheetId="11" r:id="rId11"/>
    <sheet name="12D i W dot. z budż. państwa" sheetId="12" r:id="rId12"/>
    <sheet name="13DiW zlecone" sheetId="13" r:id="rId13"/>
    <sheet name="14DiW porozumienia" sheetId="14" r:id="rId14"/>
    <sheet name="15DiW porozumienia z jst" sheetId="15" r:id="rId15"/>
    <sheet name="16Programy UE" sheetId="16" r:id="rId16"/>
    <sheet name="17Inwestycje" sheetId="17" r:id="rId17"/>
    <sheet name="18D i W własne jednostek" sheetId="18" r:id="rId18"/>
    <sheet name="19niewygasy2009" sheetId="19" r:id="rId19"/>
    <sheet name="20ZGM" sheetId="20" r:id="rId20"/>
    <sheet name="21Przedszkola" sheetId="21" r:id="rId21"/>
    <sheet name="22 Wyspiarz" sheetId="22" r:id="rId22"/>
    <sheet name="23PFGZGiK" sheetId="23" r:id="rId23"/>
    <sheet name="24MDK" sheetId="24" r:id="rId24"/>
    <sheet name="25Bibloteka" sheetId="25" r:id="rId25"/>
    <sheet name="26Muzeum" sheetId="26" r:id="rId26"/>
    <sheet name="27SP ZOZ SZPITAL" sheetId="27" r:id="rId27"/>
    <sheet name="28SP ZOZ ZP-O" sheetId="28" r:id="rId28"/>
  </sheets>
  <definedNames>
    <definedName name="_xlnm.Print_Area" localSheetId="9">'10W dotacje z budżetu miasta'!$A$1:$F$103</definedName>
    <definedName name="_xlnm.Print_Area" localSheetId="10">'11W jednostek pom.'!$A$1:$H$17</definedName>
    <definedName name="_xlnm.Print_Area" localSheetId="11">'12D i W dot. z budż. państwa'!$A$1:$I$58</definedName>
    <definedName name="_xlnm.Print_Area" localSheetId="12">'13DiW zlecone'!$A$1:$K$65</definedName>
    <definedName name="_xlnm.Print_Area" localSheetId="13">'14DiW porozumienia'!$A$1:$K$25</definedName>
    <definedName name="_xlnm.Print_Area" localSheetId="14">'15DiW porozumienia z jst'!$A$1:$K$14</definedName>
    <definedName name="_xlnm.Print_Area" localSheetId="15">'16Programy UE'!$A$1:$L$68</definedName>
    <definedName name="_xlnm.Print_Area" localSheetId="16">'17Inwestycje'!$A$1:$F$56</definedName>
    <definedName name="_xlnm.Print_Area" localSheetId="17">'18D i W własne jednostek'!$A$1:$I$35</definedName>
    <definedName name="_xlnm.Print_Area" localSheetId="18">'19niewygasy2009'!$A$1:$G$17</definedName>
    <definedName name="_xlnm.Print_Area" localSheetId="0">'1Zmiany D i W'!$A$1:$F$54</definedName>
    <definedName name="_xlnm.Print_Area" localSheetId="19">'20ZGM'!$A$1:$F$55</definedName>
    <definedName name="_xlnm.Print_Area" localSheetId="20">'21Przedszkola'!$A$1:$F$43</definedName>
    <definedName name="_xlnm.Print_Area" localSheetId="21">'22 Wyspiarz'!$A$1:$F$51</definedName>
    <definedName name="_xlnm.Print_Area" localSheetId="22">'23PFGZGiK'!$A$1:$F$33</definedName>
    <definedName name="_xlnm.Print_Area" localSheetId="23">'24MDK'!$A$1:$E$30</definedName>
    <definedName name="_xlnm.Print_Area" localSheetId="24">'25Bibloteka'!$A$1:$E$34</definedName>
    <definedName name="_xlnm.Print_Area" localSheetId="25">'26Muzeum'!$A$1:$E$32</definedName>
    <definedName name="_xlnm.Print_Area" localSheetId="26">'27SP ZOZ SZPITAL'!$A$1:$E$93</definedName>
    <definedName name="_xlnm.Print_Area" localSheetId="27">'28SP ZOZ ZP-O'!$A$1:$E$56</definedName>
    <definedName name="_xlnm.Print_Area" localSheetId="1">'2Zmiany P i R'!$A$1:$F$13</definedName>
    <definedName name="_xlnm.Print_Area" localSheetId="2">'3Wysokość i przezn. nadwyżki'!$A$1:$F$45</definedName>
    <definedName name="_xlnm.Print_Area" localSheetId="3">'4D i W wg działów'!$A$1:$H$33</definedName>
    <definedName name="_xlnm.Print_Area" localSheetId="4">'5PiR'!$A$1:$F$16</definedName>
    <definedName name="_xlnm.Print_Area" localSheetId="5">'6D'!$A$1:$G$450</definedName>
    <definedName name="_xlnm.Print_Area" localSheetId="6">'7Dmajatkowe'!$A$1:$G$68</definedName>
    <definedName name="_xlnm.Print_Area" localSheetId="7">'8D wg źródeł'!$A$1:$E$84</definedName>
    <definedName name="_xlnm.Print_Area" localSheetId="8">'9W'!$A$1:$F$761</definedName>
    <definedName name="_xlnm.Print_Titles" localSheetId="9">'10W dotacje z budżetu miasta'!$6:$7</definedName>
    <definedName name="_xlnm.Print_Titles" localSheetId="11">'12D i W dot. z budż. państwa'!$5:$7</definedName>
    <definedName name="_xlnm.Print_Titles" localSheetId="12">'13DiW zlecone'!$5:$9</definedName>
    <definedName name="_xlnm.Print_Titles" localSheetId="13">'14DiW porozumienia'!$5:$9</definedName>
    <definedName name="_xlnm.Print_Titles" localSheetId="14">'15DiW porozumienia z jst'!$5:$9</definedName>
    <definedName name="_xlnm.Print_Titles" localSheetId="15">'16Programy UE'!$3:$5</definedName>
    <definedName name="_xlnm.Print_Titles" localSheetId="16">'17Inwestycje'!$4:$5</definedName>
    <definedName name="_xlnm.Print_Titles" localSheetId="17">'18D i W własne jednostek'!$6:$8</definedName>
    <definedName name="_xlnm.Print_Titles" localSheetId="0">'1Zmiany D i W'!$5:$7</definedName>
    <definedName name="_xlnm.Print_Titles" localSheetId="19">'20ZGM'!$6:$7</definedName>
    <definedName name="_xlnm.Print_Titles" localSheetId="20">'21Przedszkola'!$4:$5</definedName>
    <definedName name="_xlnm.Print_Titles" localSheetId="21">'22 Wyspiarz'!$6:$7</definedName>
    <definedName name="_xlnm.Print_Titles" localSheetId="22">'23PFGZGiK'!$6:$7</definedName>
    <definedName name="_xlnm.Print_Titles" localSheetId="26">'27SP ZOZ SZPITAL'!$5:$6</definedName>
    <definedName name="_xlnm.Print_Titles" localSheetId="27">'28SP ZOZ ZP-O'!$6:$7</definedName>
    <definedName name="_xlnm.Print_Titles" localSheetId="3">'4D i W wg działów'!$5:$7</definedName>
    <definedName name="_xlnm.Print_Titles" localSheetId="5">'6D'!$5:$6</definedName>
    <definedName name="_xlnm.Print_Titles" localSheetId="6">'7Dmajatkowe'!$5:$6</definedName>
    <definedName name="_xlnm.Print_Titles" localSheetId="7">'8D wg źródeł'!$5:$6</definedName>
    <definedName name="_xlnm.Print_Titles" localSheetId="8">'9W'!$5:$6</definedName>
  </definedNames>
  <calcPr fullCalcOnLoad="1"/>
</workbook>
</file>

<file path=xl/sharedStrings.xml><?xml version="1.0" encoding="utf-8"?>
<sst xmlns="http://schemas.openxmlformats.org/spreadsheetml/2006/main" count="4300" uniqueCount="1448">
  <si>
    <t>Placówka opiekuńczo – wychowawcza o charakterze interwencyjnym (adaptacja pomieszczeń w budynku SOSW przy ul. Piastowskiej 55)</t>
  </si>
  <si>
    <t>Rewitalizacja zespołu zabytkowych fortów (zagospodarowanie terenu przy kompleksie Fortu Zachodniego)</t>
  </si>
  <si>
    <t>RAZEM</t>
  </si>
  <si>
    <t>WYDATKI  KTÓRE NIE WYGASŁY Z UPŁYWEM ROKU BUDŻETOWEGO 2009</t>
  </si>
  <si>
    <t>08.01.2010 r.</t>
  </si>
  <si>
    <t>20/2010</t>
  </si>
  <si>
    <t>21.01.2010 r.</t>
  </si>
  <si>
    <t>LXIV/514/2010</t>
  </si>
  <si>
    <t>29.01.2010 r.</t>
  </si>
  <si>
    <t>74/2010</t>
  </si>
  <si>
    <t>16.02.2010 r.</t>
  </si>
  <si>
    <t>114/2010</t>
  </si>
  <si>
    <t>25.02.2010 r.</t>
  </si>
  <si>
    <t>LXV/525/2010</t>
  </si>
  <si>
    <t>144/2010</t>
  </si>
  <si>
    <t>26.02.2010 r.</t>
  </si>
  <si>
    <t>11.03.2010 r.</t>
  </si>
  <si>
    <t>171/2010</t>
  </si>
  <si>
    <t xml:space="preserve">16.03.2010 r. </t>
  </si>
  <si>
    <t>172/2010</t>
  </si>
  <si>
    <t>25.03.2010 r.</t>
  </si>
  <si>
    <t>LXVI/546/2010</t>
  </si>
  <si>
    <t>31.03.2010 r.</t>
  </si>
  <si>
    <t>204/2010</t>
  </si>
  <si>
    <t>09.04.2010 r.</t>
  </si>
  <si>
    <t>222/2010</t>
  </si>
  <si>
    <t>12.04.2010 r.</t>
  </si>
  <si>
    <t>228/2010</t>
  </si>
  <si>
    <t>30.04.2010 r.</t>
  </si>
  <si>
    <t>276/2010</t>
  </si>
  <si>
    <t>277/2010</t>
  </si>
  <si>
    <t>07.05.2010 r.</t>
  </si>
  <si>
    <t>LXIX/557/2010</t>
  </si>
  <si>
    <t>26.05.2010 r.</t>
  </si>
  <si>
    <t>343/2010</t>
  </si>
  <si>
    <t>347/2010</t>
  </si>
  <si>
    <t>08.06.2010 r.</t>
  </si>
  <si>
    <t>392/2010</t>
  </si>
  <si>
    <t>16.06.2010 r.</t>
  </si>
  <si>
    <t>413/2010</t>
  </si>
  <si>
    <t>24.06.2010 r.</t>
  </si>
  <si>
    <t>431/2010</t>
  </si>
  <si>
    <t>LXXI/573/2010</t>
  </si>
  <si>
    <t>28.06.2010 r.</t>
  </si>
  <si>
    <t>443/2010</t>
  </si>
  <si>
    <t>447/2010</t>
  </si>
  <si>
    <t>449/2010</t>
  </si>
  <si>
    <t>plan wg rb</t>
  </si>
  <si>
    <t>2007-2010</t>
  </si>
  <si>
    <t>Równe szanse dla każdego - kluczem na lepsze jutro</t>
  </si>
  <si>
    <t xml:space="preserve">Gimnazjum Publiczne nr 1 im. Olimpijczyków Polskich </t>
  </si>
  <si>
    <t>2009-2010</t>
  </si>
  <si>
    <t xml:space="preserve">Regionalny Program Operacyjny województwa Zachodniopomorskiego na lata 2007-2013
</t>
  </si>
  <si>
    <t>Urząd Miasta (WIM)</t>
  </si>
  <si>
    <t>2009-2012</t>
  </si>
  <si>
    <t>wkład pieniężny beneficjenta</t>
  </si>
  <si>
    <t>inne środki Beneficjenta</t>
  </si>
  <si>
    <t>2400</t>
  </si>
  <si>
    <t>75056</t>
  </si>
  <si>
    <t>Spis powszechny i inne</t>
  </si>
  <si>
    <t>75109</t>
  </si>
  <si>
    <t>Wybory do rad gmin, rad powiatów i sejmików województw, wybory wójtów, burmistrzów i prezydentów miast oraz referenda gminne, powiatowe i wojewódzkie</t>
  </si>
  <si>
    <t>Program Operacyjny Celu 3 - „Europejska Współpraca Terytorialna –Współpraca Transgraniczna” Krajów Meklemburgia Pomorze Przednie /Brandenburgia – Rzeczpospolita Polska  (województwo zachodniopomorskie) 2007 -2013</t>
  </si>
  <si>
    <t>Transgraniczna promenada pomiędzy Świnoujściem i Gminą Heringsdorf</t>
  </si>
  <si>
    <t>2009-2011</t>
  </si>
  <si>
    <t>Rewaloryzacja zabytkowego Parku Zdrojowego II etap</t>
  </si>
  <si>
    <t>Program Operacyjny celu 3 -  „Europejska Współpraca Terytorialna – Współpraca Transgraniczna” Krajów Meklemburgia Pomorze Przednie /Brandenburgia – Rzeczpospolita Polska  (województwo zachodniopomorskie) 2007 -2013</t>
  </si>
  <si>
    <t>600</t>
  </si>
  <si>
    <t>TRANSPORT I ŁĄCZNOŚĆ</t>
  </si>
  <si>
    <t>60015</t>
  </si>
  <si>
    <t>60016</t>
  </si>
  <si>
    <t>Drogi publiczne gminne</t>
  </si>
  <si>
    <t>630</t>
  </si>
  <si>
    <t>TURYSTYKA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</si>
  <si>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</si>
  <si>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</si>
  <si>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</si>
  <si>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</si>
  <si>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</si>
  <si>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</si>
  <si>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</si>
  <si>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</si>
  <si>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</si>
  <si>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</si>
  <si>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PRZYCHODY I ROZCHODY</t>
  </si>
  <si>
    <t xml:space="preserve">Przychody </t>
  </si>
  <si>
    <t xml:space="preserve">Rozchody </t>
  </si>
  <si>
    <t>Nadzór budowlany</t>
  </si>
  <si>
    <t>71035</t>
  </si>
  <si>
    <t>Cmentarze</t>
  </si>
  <si>
    <t>750</t>
  </si>
  <si>
    <t>ADMINISTRACJA PUBLICZNA</t>
  </si>
  <si>
    <t>75011</t>
  </si>
  <si>
    <t>WYDATKI GMINY</t>
  </si>
  <si>
    <t>GMINA</t>
  </si>
  <si>
    <t>WYDATKI POWIATU</t>
  </si>
  <si>
    <t>Środki na dofinansowanie własnych inwestycji  gmin (związków gmin), powiatów (związków powiatów), samorządów województw, pozyskane z innych źródeł</t>
  </si>
  <si>
    <t>60011</t>
  </si>
  <si>
    <t>Urzędy wojewódzkie</t>
  </si>
  <si>
    <t>75020</t>
  </si>
  <si>
    <t>Starostwa powiatowe</t>
  </si>
  <si>
    <t>75023</t>
  </si>
  <si>
    <t>75045</t>
  </si>
  <si>
    <t>75095</t>
  </si>
  <si>
    <t>URZĘDY NACZELNYCH ORGANÓW WŁADZY PAŃSTWOWEJ, KONTROLI I OCHRONY PRAWA ORAZ SĄDOWNICTWA</t>
  </si>
  <si>
    <t>754</t>
  </si>
  <si>
    <t>75411</t>
  </si>
  <si>
    <t>75414</t>
  </si>
  <si>
    <t>Obrona cywilna</t>
  </si>
  <si>
    <t>757</t>
  </si>
  <si>
    <t>758</t>
  </si>
  <si>
    <t>RÓŻNE ROZLICZENIA</t>
  </si>
  <si>
    <t>801</t>
  </si>
  <si>
    <t>OŚWIATA I WYCHOWANIE</t>
  </si>
  <si>
    <t>80101</t>
  </si>
  <si>
    <t>Szkoły podstawowe</t>
  </si>
  <si>
    <t>80110</t>
  </si>
  <si>
    <t>Gimnazja</t>
  </si>
  <si>
    <t>80120</t>
  </si>
  <si>
    <t>80130</t>
  </si>
  <si>
    <t>Szkoły zawodowe</t>
  </si>
  <si>
    <t>851</t>
  </si>
  <si>
    <t>OCHRONA ZDROWIA</t>
  </si>
  <si>
    <t>85154</t>
  </si>
  <si>
    <t>Przeciwdziałanie alkoholizmowi</t>
  </si>
  <si>
    <t>853</t>
  </si>
  <si>
    <t>85305</t>
  </si>
  <si>
    <t>Drogi publiczne w miastach na prawach powiatu (w rozdziale nie ujmuje się wydatków na drogi gminne)</t>
  </si>
  <si>
    <t>Poradnie psychologiczno-pedagogiczne, w tym poradnie specjalistyczne</t>
  </si>
  <si>
    <t>33.</t>
  </si>
  <si>
    <t>Dodatki mieszkaniowe</t>
  </si>
  <si>
    <t>Ośrodki pomocy społecznej</t>
  </si>
  <si>
    <t>Opłaty na rzecz budżetu państwa</t>
  </si>
  <si>
    <t>85321</t>
  </si>
  <si>
    <t>Usługi opiekuńcze i specjalistyczne usługi opiekuńcze</t>
  </si>
  <si>
    <t>854</t>
  </si>
  <si>
    <t>III. Dotacje celowe</t>
  </si>
  <si>
    <t xml:space="preserve">    - środki Funduszu Pracy</t>
  </si>
  <si>
    <t xml:space="preserve">    - wpływy z różnych dochodów</t>
  </si>
  <si>
    <t>EDUKACYJNA OPIEKA WYCHOWAWCZA</t>
  </si>
  <si>
    <t>85403</t>
  </si>
  <si>
    <t>85406</t>
  </si>
  <si>
    <t>OGÓŁEM DOCHODY (GMINA + POWIAT)</t>
  </si>
  <si>
    <t>sprawozdanie Rb 27</t>
  </si>
  <si>
    <t>różnica (Rb 27 - zestawienie)</t>
  </si>
  <si>
    <t>Dochody majątkowe</t>
  </si>
  <si>
    <t>Dotacje z budżetu Miasta na działalność bieżącą</t>
  </si>
  <si>
    <t>Międzynarodowy Bałtycki  Szlak Rowerowy R10 Stralsund - Świnoujście - ul. Uzdrowiskowa, wzdłuż Świny i ul. Barlickiego</t>
  </si>
  <si>
    <t xml:space="preserve">Projekt zintegrowany "Śródmieście" - Przebudowa Parku przy ul. Chopina </t>
  </si>
  <si>
    <t>Polsko - niemieckie centrum edukacji Świnoujście - Heringsdorf - zagospodarowanie terenów zewnętrznych przy Zespole Szkół Publicznych nr 4</t>
  </si>
  <si>
    <t>Dochody bieżące</t>
  </si>
  <si>
    <t>środki z innych źródeł</t>
  </si>
  <si>
    <t>pozostałe</t>
  </si>
  <si>
    <t>1.1</t>
  </si>
  <si>
    <t>1.2</t>
  </si>
  <si>
    <t>1.3</t>
  </si>
  <si>
    <t>2.1</t>
  </si>
  <si>
    <t>2.2</t>
  </si>
  <si>
    <t>- spłata kredytów i pożyczek</t>
  </si>
  <si>
    <t>- spłata pożyczki na prefinansowanie</t>
  </si>
  <si>
    <t>2.3</t>
  </si>
  <si>
    <t>1.4</t>
  </si>
  <si>
    <t>dotacje</t>
  </si>
  <si>
    <t>obsługa długu publicznego</t>
  </si>
  <si>
    <t>wg Rb28S</t>
  </si>
  <si>
    <t>Wg rb27S</t>
  </si>
  <si>
    <t>tabela</t>
  </si>
  <si>
    <t>2.4</t>
  </si>
  <si>
    <t>Tabela nr 3</t>
  </si>
  <si>
    <t>OGÓŁEM INWESTYCJE KOMUNALNE (WIM)</t>
  </si>
  <si>
    <t>Punkt Przedszkolny "Tygrysek"</t>
  </si>
  <si>
    <t>Liceum Ogólnokształcące "HOSSA" Centrum Edukacji i Wspierania Przedsiębiorczości Szczecińskiej Fundacji "Talent-Promocja-Postęp"</t>
  </si>
  <si>
    <t>ZOZ Szpital Miejski im. Jana Garduły</t>
  </si>
  <si>
    <t>Amortyzacja</t>
  </si>
  <si>
    <t>Usługi materialne</t>
  </si>
  <si>
    <t>Wynagrodzenia</t>
  </si>
  <si>
    <t>Podróże służbowe i koszty zakwaterowania</t>
  </si>
  <si>
    <t>Usługi niematerialne</t>
  </si>
  <si>
    <t xml:space="preserve">wynagrodzenia i pochodne </t>
  </si>
  <si>
    <t>OGÓŁEM:</t>
  </si>
  <si>
    <t>wydatki jednostek budżetowych</t>
  </si>
  <si>
    <t>związane z realizacją zadań statutowych</t>
  </si>
  <si>
    <t>wydatki jednostek pomocniczych</t>
  </si>
  <si>
    <t>świadczenia na rzecz osób fizycznych</t>
  </si>
  <si>
    <t>inwestycje</t>
  </si>
  <si>
    <t>1.5</t>
  </si>
  <si>
    <t>Wydatki związane z realizacją zadań statutowych</t>
  </si>
  <si>
    <t>Dotacje na zadania bieżące</t>
  </si>
  <si>
    <t>Świadczenia na rzecz osób fizycznych</t>
  </si>
  <si>
    <t>Wydatki na programy z udziałem środków unijnych</t>
  </si>
  <si>
    <t>Wydatki jednostek budżetowych</t>
  </si>
  <si>
    <t>Wydatki
ogółem
(5+11)</t>
  </si>
  <si>
    <t>MIEJSKI DOM KULTURY</t>
  </si>
  <si>
    <t>RÓŻNICA</t>
  </si>
  <si>
    <t>2.5</t>
  </si>
  <si>
    <t>zadania własne</t>
  </si>
  <si>
    <t xml:space="preserve">    - pozostałe opłaty wraz z rekompensatą utraconych dochodów</t>
  </si>
  <si>
    <t xml:space="preserve">OTRZYMANE DOTACJE Z BUDŻETU PAŃSTWA ORAZ ICH WYDATKOWANIE </t>
  </si>
  <si>
    <t xml:space="preserve">zadania realizowane na podstawie  porozumień z organami administracji  rządowej </t>
  </si>
  <si>
    <t>zadania z zakresu administracji  rządowej</t>
  </si>
  <si>
    <t>Kredyty</t>
  </si>
  <si>
    <t>Pożyczki</t>
  </si>
  <si>
    <t>zadania realizowane na podstawie porozumień z innymi jednostkami samorządu terytorialnego</t>
  </si>
  <si>
    <t>Sprawdzenie Rb 27S i Rb28S</t>
  </si>
  <si>
    <t>Przebudowa centralnego układu komunikacyjnego śródmieścia w Świnoujściu</t>
  </si>
  <si>
    <t>usługi pielęgniarskie</t>
  </si>
  <si>
    <t>Sprawdzenie Rb 27S</t>
  </si>
  <si>
    <t>Społeczna Szkoła Podstawowa Społecznego Towarzystwa Szkoły Gimnazjalnej</t>
  </si>
  <si>
    <t>Technikum Elektryczne w Świnoujściu Wojewódzkiego Zakładu Doskonalenia Zawodowego w Szczecinie</t>
  </si>
  <si>
    <t xml:space="preserve">  d) na zadania realizowane na podstawie porozumień 
      z innymi jednostkami samorządu terytorialnego</t>
  </si>
  <si>
    <t>85407</t>
  </si>
  <si>
    <t>BEZPIECZEŃSTWO PUBLICZNE I OCHRONA PRZECIWPOŻAROWA</t>
  </si>
  <si>
    <t>85410</t>
  </si>
  <si>
    <t>85415</t>
  </si>
  <si>
    <t>Pomoc materialna dla uczniów</t>
  </si>
  <si>
    <t>85417</t>
  </si>
  <si>
    <t>900</t>
  </si>
  <si>
    <t>90003</t>
  </si>
  <si>
    <t>90015</t>
  </si>
  <si>
    <t>Oświetlenie ulic, placów i dróg</t>
  </si>
  <si>
    <t>90095</t>
  </si>
  <si>
    <t>inne</t>
  </si>
  <si>
    <t>Specjalne ośrodki szkolno-wychowawcze</t>
  </si>
  <si>
    <t>ŁĄCZNIE GMINA I POWIAT</t>
  </si>
  <si>
    <t>Zaległości z tytułu podatków i opłat zniesionych</t>
  </si>
  <si>
    <t>Wpływy z opłat za zezwolenia na sprzedaż napojów alkoholowych</t>
  </si>
  <si>
    <t xml:space="preserve">   - pozostałe wydatki</t>
  </si>
  <si>
    <t>Nadwyżka/ Deficyt (I -II)</t>
  </si>
  <si>
    <t>- kredyty i pożyczki</t>
  </si>
  <si>
    <t>2008-2011</t>
  </si>
  <si>
    <t>Miejski Ośrodek Pomocy Rodzinie</t>
  </si>
  <si>
    <t>Powiatowy Urząd Pracy</t>
  </si>
  <si>
    <t>Urząd Miasta (WO)</t>
  </si>
  <si>
    <t xml:space="preserve">Wartość całkowita projektu
</t>
  </si>
  <si>
    <t>- wykup obligacji komunalnych</t>
  </si>
  <si>
    <t>Dotacje celowe otrzymane z gminy na zadania bieżące realizowane na podstawie porozumień (umów) między jednostkami samorządu terytorialnego</t>
  </si>
  <si>
    <t xml:space="preserve">Środki na dofinansowanie własnych zadań 
bieżących gmin (związków gmin), powiatów (związków powiatów), samorządów województw, pozyskane z innych źródeł
</t>
  </si>
  <si>
    <t>6430</t>
  </si>
  <si>
    <t>Dotacje celowe otrzymane z budżetu państwa na realizację inwestycji i zakupów inwestycyjnych własnych powiatu</t>
  </si>
  <si>
    <t>Klasyfikacja
§</t>
  </si>
  <si>
    <t>§ 955</t>
  </si>
  <si>
    <t>§ 992</t>
  </si>
  <si>
    <t>§ 982</t>
  </si>
  <si>
    <t xml:space="preserve">    - wpływy za realizację dochodów skarbu państwa</t>
  </si>
  <si>
    <t>921</t>
  </si>
  <si>
    <t>926</t>
  </si>
  <si>
    <t>KULTURA FIZYCZNA I SPORT</t>
  </si>
  <si>
    <t>% wykonania</t>
  </si>
  <si>
    <t>udział</t>
  </si>
  <si>
    <t xml:space="preserve">Udział </t>
  </si>
  <si>
    <t>92601</t>
  </si>
  <si>
    <t>Obiekty sportowe</t>
  </si>
  <si>
    <t>92605</t>
  </si>
  <si>
    <t>Zadania w zakresie kultury fizycznej i sportu</t>
  </si>
  <si>
    <t>Dział</t>
  </si>
  <si>
    <t>Wyszczególnienie</t>
  </si>
  <si>
    <t>Miejski Dom Kultury</t>
  </si>
  <si>
    <t>Zadania w zakresie oświaty i wychowania</t>
  </si>
  <si>
    <t xml:space="preserve">    - dotacja z funduszu celowego</t>
  </si>
  <si>
    <t>§</t>
  </si>
  <si>
    <t>LEŚNICTWO</t>
  </si>
  <si>
    <t>0890</t>
  </si>
  <si>
    <t>Dotacje celowe otrzymane z budżetu państwa na 
realizację bieżących zadań własnych powiatu</t>
  </si>
  <si>
    <t>Wpływy z różnych opłat</t>
  </si>
  <si>
    <t>DOCHODY GMINY</t>
  </si>
  <si>
    <t>DOCHODY POWIATU</t>
  </si>
  <si>
    <t>Wpływy z różnych dochodów</t>
  </si>
  <si>
    <t>Dotacja celowa z Biblioteki Narodowej</t>
  </si>
  <si>
    <t>Pozostałe odsetki</t>
  </si>
  <si>
    <t>80103</t>
  </si>
  <si>
    <t>Oddziały przedszkolne w szkołach podstawowych</t>
  </si>
  <si>
    <t>Rewaloryzacja zabytkowego Parku Zdrojowego (etap II)</t>
  </si>
  <si>
    <t>Wpływy z tytułu przekształcenia prawa użytkowania wieczystego przysługującego osobom fizycznym w prawo własności</t>
  </si>
  <si>
    <t>Wpływy z opłaty komunikacyjnej</t>
  </si>
  <si>
    <t>Dotacje celowe otrzymane z budżetu państwa na zadania bieżące realizowane przez powiat na podstawie porozumień z organami administracji rządowej</t>
  </si>
  <si>
    <t>75101</t>
  </si>
  <si>
    <t>Jednostka realizu-
jąca</t>
  </si>
  <si>
    <t xml:space="preserve">Urzędy naczelnych organów władzy państwowej, kontroli i ochrony prawa </t>
  </si>
  <si>
    <t>75601</t>
  </si>
  <si>
    <t>Wpływy z podatku dochodowego od osób fizycznych</t>
  </si>
  <si>
    <t>Transgraniczne połączenie Świnoujście-Kamminke na wyspie Uznam</t>
  </si>
  <si>
    <t>§ z -7 lub -8</t>
  </si>
  <si>
    <t>§ z -9</t>
  </si>
  <si>
    <t>bieżące UE</t>
  </si>
  <si>
    <t>bieżące wkład pien. Beneficjenta</t>
  </si>
  <si>
    <t>§ z 7,8,9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</si>
  <si>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</si>
  <si>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</si>
  <si>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</si>
  <si>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</si>
  <si>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</si>
  <si>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</si>
  <si>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</si>
  <si>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75618</t>
  </si>
  <si>
    <t>DOCHODY I WYDATKI  WEDŁUG DZIAŁÓW KLASYFIKACJI BUDŻETOWEJ</t>
  </si>
  <si>
    <t xml:space="preserve"> DOCHODY  WEDŁUG DZIAŁÓW, ROZDZIAŁÓW I PARAGRAFÓW KLASYFIKACJI BUDŻETOWEJ</t>
  </si>
  <si>
    <t>DOCHODY WEDŁUG WAŻNIEJSZYCH ŹRÓDEŁ</t>
  </si>
  <si>
    <t>WYDATKI WEDŁUG DZIAŁÓW I ROZDZIAŁÓW KLASYFIKACJI  BUDŻETOWEJ</t>
  </si>
  <si>
    <t>23.</t>
  </si>
  <si>
    <t>24.</t>
  </si>
  <si>
    <t>25.</t>
  </si>
  <si>
    <t>26.</t>
  </si>
  <si>
    <t xml:space="preserve">DOCHODY I WYDATKI DOCHODÓW WŁASNYCH  JEDNOSTEK BUDŻETOWYCH </t>
  </si>
  <si>
    <t>Wpływy z opłaty skarbowej</t>
  </si>
  <si>
    <t>75621</t>
  </si>
  <si>
    <t>Udziały gmin w podatkach stanowiących dochód 
budżetu państwa</t>
  </si>
  <si>
    <t>2. Dotacje podmiotowe (§2480 - instytucje kultury, §2510 - zakłady budżetowe, § 2540 - niepubliczne jednostki oświatowe, §2560 - publiczne ZOZ, §2580 - jednostki nie zaliczane do fp, §2590 - publiczne jednostki oświatowe)</t>
  </si>
  <si>
    <t>§251</t>
  </si>
  <si>
    <t>§3000</t>
  </si>
  <si>
    <t>Samodzielny Publiczny Zakład Opieki Zdrowotnej Szpital Miejski im. Jana Garduły</t>
  </si>
  <si>
    <t>Podatek dochodowy od osób fizycznych</t>
  </si>
  <si>
    <t>Środki na dofinansowanie własnych zadań bieżących gmin (związków gmin), powiatów (związków powiatów), samorządów województw, pozyskane z innych źródeł</t>
  </si>
  <si>
    <t>Środki z Funduszu Pracy otrzymane przez powiat z przeznaczeniem na finansowanie kosztów wynagrodzenia i składek na ubezpieczenia społeczne pracowników powiatowego urzędu pracy</t>
  </si>
  <si>
    <t>-</t>
  </si>
  <si>
    <t>Podatek dochodowy od osób prawnych</t>
  </si>
  <si>
    <t>75622</t>
  </si>
  <si>
    <t>75801</t>
  </si>
  <si>
    <t xml:space="preserve">    - inne lokalne opłaty</t>
  </si>
  <si>
    <t>Część oświatowa subwencji ogólnej dla jednostek 
samorządu terytorialnego</t>
  </si>
  <si>
    <t>Subwencje ogólne z budżetu państwa</t>
  </si>
  <si>
    <t>75802</t>
  </si>
  <si>
    <t>75814</t>
  </si>
  <si>
    <t>Różne rozliczenia finansowe</t>
  </si>
  <si>
    <t xml:space="preserve">Pozostałe odsetki </t>
  </si>
  <si>
    <t>85156</t>
  </si>
  <si>
    <t xml:space="preserve">Wpływy z usług </t>
  </si>
  <si>
    <t>GOSPODARKA KOMUNALNA I OCHRONA 
ŚRODOWISKA</t>
  </si>
  <si>
    <t>80113</t>
  </si>
  <si>
    <t>Dowożenie uczniów do szkół</t>
  </si>
  <si>
    <t>Przychody</t>
  </si>
  <si>
    <t>Wydatki</t>
  </si>
  <si>
    <t xml:space="preserve">Plan </t>
  </si>
  <si>
    <t xml:space="preserve">Wykonanie </t>
  </si>
  <si>
    <t>751</t>
  </si>
  <si>
    <t>Razem</t>
  </si>
  <si>
    <t>DOCHODY I WYDATKI ZWIĄZANE Z REALIZACJĄ ZADAŃ Z ZAKRESU ADMINISTRACJI RZĄDOWEJ 
I INNYCH ZADAŃ ZLECONYCH ODRĘBNYMI USTAWAMI</t>
  </si>
  <si>
    <t>DOCHODY I WYDATKI ZWIĄZANE Z REALIZACJĄ ZADAŃ Z ZAKRESU ADMINISTRACJI RZĄDOWEJ 
WYKONYWANYCH NA PODSTAWIE POROZUMIEŃ Z ORGANAMI ADMINISTRACJI RZĄDOWEJ</t>
  </si>
  <si>
    <t>DOCHODY I WYDATKI ZWIĄZANE Z REALIZACJĄ ZADAŃ WYKONYWANYCH NA PODSTAWIE POROZUMIEŃ (UMÓW) 
MIĘDZY JEDNOSTKAMI SAMORZĄDU TERYTORIALNEGO</t>
  </si>
  <si>
    <t>Lp.</t>
  </si>
  <si>
    <t>I</t>
  </si>
  <si>
    <t>Dochody ogółem</t>
  </si>
  <si>
    <t>1.</t>
  </si>
  <si>
    <t>2.</t>
  </si>
  <si>
    <t>LXXIII/582/2010</t>
  </si>
  <si>
    <t>Program Współpracy Transgranicznej Południowy Bałtyk 
2007-2013</t>
  </si>
  <si>
    <t>Regionalny Program Operacyjny Województwa Zachodniopomorskiego 
na lata 2007-2013</t>
  </si>
  <si>
    <t>II</t>
  </si>
  <si>
    <t>Wydatki ogółem</t>
  </si>
  <si>
    <t>III</t>
  </si>
  <si>
    <t>X</t>
  </si>
  <si>
    <t>Dotacje z budżetu Miasta</t>
  </si>
  <si>
    <t>Komenda Miejska Państwowej Straży Pożarnej</t>
  </si>
  <si>
    <t>Usługi remontowe</t>
  </si>
  <si>
    <t>Inwestycje</t>
  </si>
  <si>
    <t>Stan środków obrotowych na koniec okresu sprawozdawczego</t>
  </si>
  <si>
    <t>Stan środków obrotowych na początek okresu sprawozdawczego</t>
  </si>
  <si>
    <t>Składki  na ubezpieczenie zdrowotne opłacane za osoby pobierające niektóre świadczenia z pomocy społecznej, niektóre świadczenia rodzinne oraz za osoby uczestniczące w zajęciach w centrum integracji społecznej</t>
  </si>
  <si>
    <t xml:space="preserve"> SAMODZIELNY PUBLICZNY ZAKŁAD OPIEKI ZDROWOTNEJ SZPITAL MIEJSKI
 IM. JANA GARDUŁY</t>
  </si>
  <si>
    <t>IV</t>
  </si>
  <si>
    <t>z tego:</t>
  </si>
  <si>
    <t>Wydatki bieżące</t>
  </si>
  <si>
    <t>Transport i łączność</t>
  </si>
  <si>
    <t>Oświata i wychowanie</t>
  </si>
  <si>
    <t>Ochrona zdrowia</t>
  </si>
  <si>
    <t>Gospodarka komunalna i ochrona środowiska</t>
  </si>
  <si>
    <t>Kultura i ochrona dziedzictwa narodowego</t>
  </si>
  <si>
    <t>Kultura fizyczna i sport</t>
  </si>
  <si>
    <t>Nazwa działu</t>
  </si>
  <si>
    <t>Dochody</t>
  </si>
  <si>
    <t>Rolnictwo i łowiectwo</t>
  </si>
  <si>
    <t>Leśnictwo</t>
  </si>
  <si>
    <t>Handel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</si>
  <si>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</si>
  <si>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</si>
  <si>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</si>
  <si>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</si>
  <si>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</si>
  <si>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756</t>
  </si>
  <si>
    <t>Obsługa długu publicznego</t>
  </si>
  <si>
    <t>Różne rozliczenia</t>
  </si>
  <si>
    <t>Edukacyjna opieka wychowawcza</t>
  </si>
  <si>
    <t>Ogółem dochody i wydatki</t>
  </si>
  <si>
    <t>Ośrodki wparcia</t>
  </si>
  <si>
    <t>550</t>
  </si>
  <si>
    <t>Hotele i restauracje</t>
  </si>
  <si>
    <t>Dotacje celowe otrzymane z budżetu państwa na zadania bieżące z zakresu administracji rządowej oraz inne zadania zlecone ustawami realizowane przez powiat</t>
  </si>
  <si>
    <t>HOTELE I RESTAURACJE</t>
  </si>
  <si>
    <t>Prace geodezyjne i kartograficzne (nieinwestycyjne)</t>
  </si>
  <si>
    <t>dotacje z funduszy celowych</t>
  </si>
  <si>
    <t>środki pozyskane z innych źródeł i od innych jst</t>
  </si>
  <si>
    <t>- najem i dzierżawa składników majątkowych</t>
  </si>
  <si>
    <t>- osobowe pracowników</t>
  </si>
  <si>
    <t>- bezosobowe i agencyjno-prowizyjne</t>
  </si>
  <si>
    <t>- na działalność bieżącą</t>
  </si>
  <si>
    <t>Transgraniczna połączenie Świnoujście-Kamminke na wyspie Uznam</t>
  </si>
  <si>
    <t>Urząd Miasta (WIM/WRM)</t>
  </si>
  <si>
    <t>Rozpoznanie, zapobieganie i likwidacja zagrożeń na wyspach Wolin i Karsibór poprzez zakup specjalistycznego sprzętu ratowniczego dla Ochotniczych Straży Pożarnych przez Gminę-Miasto Świnoujście</t>
  </si>
  <si>
    <t>Urząd Miasta
(WSO)</t>
  </si>
  <si>
    <t>2010-2011</t>
  </si>
  <si>
    <t>- na inwestycje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</si>
  <si>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</si>
  <si>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</si>
  <si>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Wpływy z opłat za koncesje i licencje</t>
  </si>
  <si>
    <t>Komendy powiatowe Państwowej Straży Pożarnej</t>
  </si>
  <si>
    <t xml:space="preserve">Subwencje ogólne z budżetu państwa </t>
  </si>
  <si>
    <t>Ośrodki wsparcia</t>
  </si>
  <si>
    <t>Dotacje celowe otrzymane z budżetu państwa na realizację własnych zadań bieżących gmin (związków gmin)</t>
  </si>
  <si>
    <t>Wpływy z opłaty eksploatacyjnej</t>
  </si>
  <si>
    <t>wg zadań</t>
  </si>
  <si>
    <t>Wpływy z innych opłat stanowiących dochody jednostek samorządu terytorialnego na podstawie ustaw</t>
  </si>
  <si>
    <t xml:space="preserve">                        Budżet  (zł)</t>
  </si>
  <si>
    <t>Zespoły do spraw orzekania o niepełnosprawności</t>
  </si>
  <si>
    <t>Oczyszczanie miast i wsi</t>
  </si>
  <si>
    <t>Wpływy do budżetu części zysku gospodarstwa pomocniczego</t>
  </si>
  <si>
    <t>Dotacje celowe otrzymane z budżetu państwa na zadania bieżące realizowane przez gminę na podstawie porozumień z organami administracji rządowej</t>
  </si>
  <si>
    <t>63003</t>
  </si>
  <si>
    <t>Zadania w zakresie upowszechniania turystyki</t>
  </si>
  <si>
    <t>75416</t>
  </si>
  <si>
    <t>Straż Miejska</t>
  </si>
  <si>
    <t>400</t>
  </si>
  <si>
    <t>13.1</t>
  </si>
  <si>
    <t>13.2</t>
  </si>
  <si>
    <t>13.3</t>
  </si>
  <si>
    <t>15.1</t>
  </si>
  <si>
    <t>15.2</t>
  </si>
  <si>
    <t>usługi dezynfekcyjne</t>
  </si>
  <si>
    <t>MIEJSKA BIBLIOTEKA PUBLICZNA</t>
  </si>
  <si>
    <t>Dotacje celowe otrzymane z budżetu państwa na realizację inwestycji i zakupów inwestycyjnych własnych gmin (związków gmin)</t>
  </si>
  <si>
    <t>Tabela nr 5</t>
  </si>
  <si>
    <t>75615</t>
  </si>
  <si>
    <t>Zakład Gospodarki Mieszkaniowej</t>
  </si>
  <si>
    <t xml:space="preserve">Zespoły do spraw orzekania
o niepełnosprawności </t>
  </si>
  <si>
    <t>BEZPIECZEŃSTWO PUBLICZNE 
I OCHRONA PRZECIWPOŻAROWA</t>
  </si>
  <si>
    <t>3.</t>
  </si>
  <si>
    <t>60041</t>
  </si>
  <si>
    <t>Infrastruktura portowa</t>
  </si>
  <si>
    <t>Wpływy z innych lokalnych opłat pobieranych przez jednostki samorządu terytorialnego na podstawie odrębnych ustaw</t>
  </si>
  <si>
    <t>90020</t>
  </si>
  <si>
    <t>Wpływy i wydatki związane z gromadzeniem środków z opłat produktowych</t>
  </si>
  <si>
    <t>Wpływy z opłaty produktowej</t>
  </si>
  <si>
    <t>4.</t>
  </si>
  <si>
    <t>5.</t>
  </si>
  <si>
    <t>6.</t>
  </si>
  <si>
    <t>9.</t>
  </si>
  <si>
    <t>- inne źródła</t>
  </si>
  <si>
    <t>10.</t>
  </si>
  <si>
    <t>12.</t>
  </si>
  <si>
    <t>13.</t>
  </si>
  <si>
    <t>15.</t>
  </si>
  <si>
    <t>16.</t>
  </si>
  <si>
    <t>17.</t>
  </si>
  <si>
    <t>18.</t>
  </si>
  <si>
    <t>2910</t>
  </si>
  <si>
    <t>Wpływy ze zwrotów dotacji wykorzystanych niezgodnie z przeznaczeniem lub pobranych w nadmiernej wysokości</t>
  </si>
  <si>
    <t>19.</t>
  </si>
  <si>
    <t>20.</t>
  </si>
  <si>
    <t>21.</t>
  </si>
  <si>
    <t>22.</t>
  </si>
  <si>
    <t xml:space="preserve">    - od działalności gospodarczej osób fizycznych, 
      opłacany w formie karty podatkowej</t>
  </si>
  <si>
    <t>§282</t>
  </si>
  <si>
    <t>§283</t>
  </si>
  <si>
    <t>1. Dotacje przedmiotowe (§ 2650 - zakłady budżetowe)</t>
  </si>
  <si>
    <t>§232</t>
  </si>
  <si>
    <t>§258</t>
  </si>
  <si>
    <t>§259</t>
  </si>
  <si>
    <t>Różnica bieżące</t>
  </si>
  <si>
    <t>- wydatki jednostek budżetowych</t>
  </si>
  <si>
    <t xml:space="preserve">   - wydatki związane z realizacją zadań statutowych</t>
  </si>
  <si>
    <t>- dotacje i subwencje</t>
  </si>
  <si>
    <t>Wydatki majątkowe</t>
  </si>
  <si>
    <t>- pozostałe wydatki majątkowe</t>
  </si>
  <si>
    <t>- inwestycje</t>
  </si>
  <si>
    <t>Działania merytoryczne</t>
  </si>
  <si>
    <t>Projekty unijne</t>
  </si>
  <si>
    <t>- w tym środki na realizację projektów unijnych</t>
  </si>
  <si>
    <t>materiały laboratoryjne</t>
  </si>
  <si>
    <t>2.16</t>
  </si>
  <si>
    <t>usługi serwisowe</t>
  </si>
  <si>
    <t>usługi prawno-rozliczeniowe</t>
  </si>
  <si>
    <t>dzierżawa pościeli</t>
  </si>
  <si>
    <t>remonty ( wtym RTG Dąbrowskiego)</t>
  </si>
  <si>
    <t>eksploatacja przyłącza (RTG Dąbrowskiego)</t>
  </si>
  <si>
    <t>4.22</t>
  </si>
  <si>
    <t>4.23</t>
  </si>
  <si>
    <t>4.24</t>
  </si>
  <si>
    <t>4.25</t>
  </si>
  <si>
    <t>4.26</t>
  </si>
  <si>
    <t>- świadczenia na rzecz osób fizycznych</t>
  </si>
  <si>
    <t>Wybory Prezydenta Rzeczypospolitej Polskiej</t>
  </si>
  <si>
    <t>- obsługa długu publicznego</t>
  </si>
  <si>
    <t>80105</t>
  </si>
  <si>
    <t>Przedszkola specjalne</t>
  </si>
  <si>
    <t>- dotacje</t>
  </si>
  <si>
    <t>Zadania w zakresie przeciwdziałania przemocy w rodzinie</t>
  </si>
  <si>
    <t>- wydatki jednostek pomocniczych</t>
  </si>
  <si>
    <t>- programy unijne</t>
  </si>
  <si>
    <t>Różnica majątkowe</t>
  </si>
  <si>
    <t>Warsztaty Terapii Zajęciowej</t>
  </si>
  <si>
    <t>§265</t>
  </si>
  <si>
    <t>§254</t>
  </si>
  <si>
    <t>§248</t>
  </si>
  <si>
    <t>§256</t>
  </si>
  <si>
    <t>§621</t>
  </si>
  <si>
    <t>§622</t>
  </si>
  <si>
    <t>wpływy z przekształcenia i sprzedaży nieruchomości i składników majątkowych</t>
  </si>
  <si>
    <t>DOTACJE INWESTYCYJNE</t>
  </si>
  <si>
    <t>Inne wydatki osobowe</t>
  </si>
  <si>
    <t>§617</t>
  </si>
  <si>
    <t>Zakupy inwestycyjne dla Policji</t>
  </si>
  <si>
    <t>dotacje i subwencje</t>
  </si>
  <si>
    <t>Wpływy i wydatki związane z gromadzeniem środków z opłat i kar za korzystanie ze środowiska</t>
  </si>
  <si>
    <t>Wydatki na realizację zadań zleconych</t>
  </si>
  <si>
    <t>pozostałe dotacje (w tym: rozwojowe i od innych jst)</t>
  </si>
  <si>
    <t>Bez dotacji z § 2870 dla gmin uzdrowiskowych</t>
  </si>
  <si>
    <t>Współfinansowanie programów i projektów realizowanych ze środków z funduszy strukturalnych, Funduszu Spójności, Europejskiego Funduszu Rybackiego oraz z funduszy unijnych finansujących Wspólną Politykę Rolną</t>
  </si>
  <si>
    <t>Środki na utrzymanie rzecznych przepraw promowych oraz na remonty, utrzymanie, ochronę i zarządzanie drogami krajowymi i wojewódzkimi w granicach miast na prawach powiatu</t>
  </si>
  <si>
    <t>2008-2010</t>
  </si>
  <si>
    <t>85404</t>
  </si>
  <si>
    <t>Wczesne wspomaganie rozwoju dziecka</t>
  </si>
  <si>
    <t>ZMIANY DOKONANE W DOCHODACH I WYDATKACH</t>
  </si>
  <si>
    <t>WYTWARZANIE I ZAOPATRYWANIE W ENERGIĘ ELEKTRYCZNĄ, GAZ I WODĘ</t>
  </si>
  <si>
    <t>Licea ogólnokształcące</t>
  </si>
  <si>
    <t>§ 963</t>
  </si>
  <si>
    <t>a)</t>
  </si>
  <si>
    <t>b)</t>
  </si>
  <si>
    <t>odszkodowanie za zalanie pomieszczeń</t>
  </si>
  <si>
    <t>Spłaty pożyczek otrzymanych na finansowanie zadań realizowanych z udziałem środków pochodzących z budżetu Unii Europejskiej</t>
  </si>
  <si>
    <t>3. Udziały w podatkach stanowiących dochód budżetu 
    państwa</t>
  </si>
  <si>
    <t xml:space="preserve">  c) na zadania realizowane na podstawie porozumień 
      z organami administracji rządowej</t>
  </si>
  <si>
    <t>7.</t>
  </si>
  <si>
    <t>8.</t>
  </si>
  <si>
    <t>11.</t>
  </si>
  <si>
    <t>14.</t>
  </si>
  <si>
    <t>Źródła pokrycia (1-2)</t>
  </si>
  <si>
    <t>Odsetki od nieterminowych wpłat z tytułu podatków i opłat</t>
  </si>
  <si>
    <t>wkład własny Beneficjenta</t>
  </si>
  <si>
    <t>DOCHODY</t>
  </si>
  <si>
    <t>WYDATKI</t>
  </si>
  <si>
    <t>PRZYCHODY</t>
  </si>
  <si>
    <t>ROZCHODY</t>
  </si>
  <si>
    <t>Wpływy z opłaty uzdrowiskowej, pobieranej w gminach posiadających status gminy uzdrowiskowej</t>
  </si>
  <si>
    <t>Wpływy z opłat za zarząd, użytkowanie i użytkowanie wieczyste nieruchomości</t>
  </si>
  <si>
    <t>Podatek od działalności gospodarczej osób fizycznych, opłacany w formie karty podatkowej</t>
  </si>
  <si>
    <t>Udziały powiatów w podatkach stanowiących dochód budżetu państwa</t>
  </si>
  <si>
    <t>01005</t>
  </si>
  <si>
    <t>2110</t>
  </si>
  <si>
    <t>Prace geodezyjno-urządzeniowe na potrzeby rolnictwa</t>
  </si>
  <si>
    <t>36.</t>
  </si>
  <si>
    <t>37.</t>
  </si>
  <si>
    <t>38.</t>
  </si>
  <si>
    <t>28.10.2010 r.</t>
  </si>
  <si>
    <t>LXXVII/610/2010</t>
  </si>
  <si>
    <t>29.10.2010 r.</t>
  </si>
  <si>
    <t>710/2010</t>
  </si>
  <si>
    <t>712/2010</t>
  </si>
  <si>
    <t>23.11.2010 r.</t>
  </si>
  <si>
    <t>770/2010</t>
  </si>
  <si>
    <t>30.11.2010 r.</t>
  </si>
  <si>
    <t>787/2010</t>
  </si>
  <si>
    <t>39.</t>
  </si>
  <si>
    <t>14.12.2010 r.</t>
  </si>
  <si>
    <t>816/2010</t>
  </si>
  <si>
    <t>17.12.2010 r.</t>
  </si>
  <si>
    <t>835/2010</t>
  </si>
  <si>
    <t>30.12.2010 r.</t>
  </si>
  <si>
    <t>850/2010</t>
  </si>
  <si>
    <t>31.12.2010 r.</t>
  </si>
  <si>
    <t>857/2010</t>
  </si>
  <si>
    <t>LXXVI/598/2010</t>
  </si>
  <si>
    <t>Wpływy ze sprzedaży składników majątkowych</t>
  </si>
  <si>
    <t>0870</t>
  </si>
  <si>
    <t>Różnica (5-8)</t>
  </si>
  <si>
    <t>wynagrodzenia (zad. własne)</t>
  </si>
  <si>
    <t>wynagrodzenia (zad. zlecone)</t>
  </si>
  <si>
    <t>wynagrodzenia (zad. z porozumień)</t>
  </si>
  <si>
    <t>dotacje bieżące z budżetu (z zad.własnych)</t>
  </si>
  <si>
    <t>dotacje bieżące z budżetu (z zad. zleconych)</t>
  </si>
  <si>
    <t>Razem wydatki własne</t>
  </si>
  <si>
    <t>Razem wydatki zlecone</t>
  </si>
  <si>
    <t>Razem wydatki z porozumień</t>
  </si>
  <si>
    <t>ŁĄCZNIE</t>
  </si>
  <si>
    <t>Sprawdzenie (różnica wiersz 455 - wiersz 468)</t>
  </si>
  <si>
    <t>Razem wynagrodzenia</t>
  </si>
  <si>
    <t>Razem majątkowe</t>
  </si>
  <si>
    <t>Razem dotacje</t>
  </si>
  <si>
    <t xml:space="preserve">    - grzywny, mandaty i inne kary pieniężne</t>
  </si>
  <si>
    <t>75616</t>
  </si>
  <si>
    <t>Wpływy z podatku rolnego, podatku leśnego, podatku od spadków i darowizn, podatku od czynności cywilnoprawnych oraz podatków i opłat lokalnych od osób fizycznych</t>
  </si>
  <si>
    <t>2320</t>
  </si>
  <si>
    <t>Dotacje celowe otrzymane z powiatu na zadania bieżące realizowane na podstawie porozumień (umów) między jednostkami samorządu terytorialnego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</si>
  <si>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</si>
  <si>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</si>
  <si>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 (umów)</t>
  </si>
  <si>
    <t>w tym:</t>
  </si>
  <si>
    <t>wkład pieniężny Beneficjenta</t>
  </si>
  <si>
    <t>wkł. niepieniężny Beneficjenta</t>
  </si>
  <si>
    <t>Zespół Szkół Morskich w Świnoujściu - szkoła nowoczesna i bezpieczna</t>
  </si>
  <si>
    <t>Zespół Szkół Morskich w Świnoujściu - edukacja zawodowa w nowoczesnej i bezpiecznej szkole</t>
  </si>
  <si>
    <t>852
853</t>
  </si>
  <si>
    <t>85204
85214
85395</t>
  </si>
  <si>
    <t>Remont elewacji zabytkowego budynku Muzeum Rybołówstwa Morskiego w Świnoujściu, Plac Rybaka 1</t>
  </si>
  <si>
    <t xml:space="preserve">INWESTYCJE KOMUNALNE FINANSOWANE Z BUDŻETU MIASTA </t>
  </si>
  <si>
    <t>Przebudowa ulicy Słowackiego</t>
  </si>
  <si>
    <t>Przebudowa ulicy H. Kołłątaja</t>
  </si>
  <si>
    <t>Przygotowanie terenów inwestycyjnych przy ul. Karsiborskiej w Świnoujściu</t>
  </si>
  <si>
    <t>Budowa Zespołu Opieki Długoterminowej</t>
  </si>
  <si>
    <t>Fontanna na Placu Słowiańskim</t>
  </si>
  <si>
    <t>Oświetlenie ulic (wg uzgodnień)</t>
  </si>
  <si>
    <t>Rozbudowa i modernizacja sieci deszczowych</t>
  </si>
  <si>
    <t>Zadania w zakresie administracji publicznej</t>
  </si>
  <si>
    <t>0830</t>
  </si>
  <si>
    <t>0920</t>
  </si>
  <si>
    <t>0970</t>
  </si>
  <si>
    <t>0570</t>
  </si>
  <si>
    <t>0690</t>
  </si>
  <si>
    <t>0750</t>
  </si>
  <si>
    <t>55097</t>
  </si>
  <si>
    <t>Gospodarstwa pomocnicze</t>
  </si>
  <si>
    <t>2380</t>
  </si>
  <si>
    <t>0470</t>
  </si>
  <si>
    <t>0490</t>
  </si>
  <si>
    <t>0760</t>
  </si>
  <si>
    <t>0770</t>
  </si>
  <si>
    <t>0350</t>
  </si>
  <si>
    <t>0910</t>
  </si>
  <si>
    <t>0310</t>
  </si>
  <si>
    <t>0320</t>
  </si>
  <si>
    <t>0330</t>
  </si>
  <si>
    <t>0340</t>
  </si>
  <si>
    <t>0500</t>
  </si>
  <si>
    <t>0360</t>
  </si>
  <si>
    <t>2007</t>
  </si>
  <si>
    <t>Pozostałe</t>
  </si>
  <si>
    <t>Finansowanie programów i projektów ze środków funduszy strukturalnych, Funduszu Spójności, Europejskiego Funduszu Rybackiego oraz z funduszy unijnych finansujących Wspólną Politykę Rolną z wyłączeniem budżetu środków europejskich</t>
  </si>
  <si>
    <t>75107</t>
  </si>
  <si>
    <t>Wybory Prezydenta Rzeczpospolitej Polskiej</t>
  </si>
  <si>
    <t>0370</t>
  </si>
  <si>
    <t>Opłata od posiadania psów</t>
  </si>
  <si>
    <t>2870</t>
  </si>
  <si>
    <t>Dotacja z budżetu państwa dla gmin uzdrowiskowych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</si>
  <si>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</si>
  <si>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</si>
  <si>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0980</t>
  </si>
  <si>
    <t>Wpływy z tytułu zwrotów wypłaconych świadczeń z funduszu alimentacyjnego</t>
  </si>
  <si>
    <t>85216</t>
  </si>
  <si>
    <t>90011</t>
  </si>
  <si>
    <t>Fundusz Ochrony Środowiska i Gospodarki Wodnej</t>
  </si>
  <si>
    <t>85205</t>
  </si>
  <si>
    <t>2120</t>
  </si>
  <si>
    <t xml:space="preserve">Pozostałe </t>
  </si>
  <si>
    <t>§ 931</t>
  </si>
  <si>
    <t>Przychody ze sprzedaży innych papierów wartościowych</t>
  </si>
  <si>
    <t>2370</t>
  </si>
  <si>
    <t>Wpływy do budżetu nadwyżki środków obrotowych zakładu budżetowego</t>
  </si>
  <si>
    <t>Drogi publiczne w miastach na prawach powiatu 
(w rozdziale nie ujmuje się wydatków na drogi gminne)</t>
  </si>
  <si>
    <t>0430</t>
  </si>
  <si>
    <t>0410</t>
  </si>
  <si>
    <t>0420</t>
  </si>
  <si>
    <t>0460</t>
  </si>
  <si>
    <t>0480</t>
  </si>
  <si>
    <t>0590</t>
  </si>
  <si>
    <t xml:space="preserve"> Przebudowa promenady w Dzielnicy Nadmorskiej w Świnoujściu</t>
  </si>
  <si>
    <t>Projekt zintegrowany "Śródmieście" - Przebudowa ulic: Hołdu Pruskiego, Wyszyńskiego i Monte Cassino.</t>
  </si>
  <si>
    <t xml:space="preserve">Modernizacja budynku CAM nr 5  </t>
  </si>
  <si>
    <t>Termomodernizacja obiektów przedszkolnych</t>
  </si>
  <si>
    <t>Remont lokalu w budynku przy ul. Paderewskiego 11/5 - utworzenie mieszkania chronionego</t>
  </si>
  <si>
    <t>0010</t>
  </si>
  <si>
    <t>0020</t>
  </si>
  <si>
    <t>2920</t>
  </si>
  <si>
    <t>6330</t>
  </si>
  <si>
    <t>2130</t>
  </si>
  <si>
    <t>2020</t>
  </si>
  <si>
    <t>2030</t>
  </si>
  <si>
    <t>0400</t>
  </si>
  <si>
    <t>6290</t>
  </si>
  <si>
    <t>Edukacyjny plac Zabaw na terenie Parku Zdrojowego w Świnoujściu w ramach projektu "Morze Bałtyckie  łączące wyspy kraje kultury i regiony przyrodnicze  wspólny polsko- niemiecki projekt w zakresie edukacji ekologicznej</t>
  </si>
  <si>
    <t>2360</t>
  </si>
  <si>
    <t>2790</t>
  </si>
  <si>
    <t>75832</t>
  </si>
  <si>
    <t>852</t>
  </si>
  <si>
    <t>85201</t>
  </si>
  <si>
    <t>85212</t>
  </si>
  <si>
    <t>85213</t>
  </si>
  <si>
    <t>85214</t>
  </si>
  <si>
    <t>85215</t>
  </si>
  <si>
    <t>85219</t>
  </si>
  <si>
    <t>Rozdział 92116</t>
  </si>
  <si>
    <t>85228</t>
  </si>
  <si>
    <t>2010</t>
  </si>
  <si>
    <t>85295</t>
  </si>
  <si>
    <t>POMOC SPOŁECZNA</t>
  </si>
  <si>
    <t>85203</t>
  </si>
  <si>
    <t>90002</t>
  </si>
  <si>
    <t>Gospodarka odpadami</t>
  </si>
  <si>
    <t>Część równoważąca subwencji ogólnej dla powiatów</t>
  </si>
  <si>
    <t>Pomoc społeczna</t>
  </si>
  <si>
    <t>Dochody jednostek samorządu terytorialnego związane z realizacją zadań  z zakresu administracji rządowej oraz innych zadań zleconych ustawami</t>
  </si>
  <si>
    <t>2</t>
  </si>
  <si>
    <t>Szkolenia drogą do zapewnienia wysokiej jakości usług świadczonych przez JST w obszarze wysp Uznam-Wolin</t>
  </si>
  <si>
    <t>Dochody z najmu i dzierżawy składników majątkowych Skarbu Państwa, jednostek samorządu terytorialnego lub innych jednostek zaliczanych do sektora finansów publicznych oraz innych umów o podobnym charakterze</t>
  </si>
  <si>
    <t>Data wprowadzenia</t>
  </si>
  <si>
    <t>zmniejszenia</t>
  </si>
  <si>
    <t>zwiększenia</t>
  </si>
  <si>
    <t>PLAN POCZĄTKOWY</t>
  </si>
  <si>
    <t>Ogółem zmiany</t>
  </si>
  <si>
    <t>PLAN KOŃCOWY</t>
  </si>
  <si>
    <t xml:space="preserve">  c) równoważąca</t>
  </si>
  <si>
    <t>80148</t>
  </si>
  <si>
    <t>92120</t>
  </si>
  <si>
    <t>Ochrona zabytków i opieka nad zabytkami</t>
  </si>
  <si>
    <t xml:space="preserve">    - podatki zniesione</t>
  </si>
  <si>
    <t>Środki na dofinansowanie własnych inwestycji gmin (związków gmin), powiatów (związków powiatów), samorządów województw, pozyskane z innych źródeł</t>
  </si>
  <si>
    <t>Finansowanie programów i projektów ze środków funduszy strukturalnych, Funduszu Spójności, Europejskiego Funduszu Rybackiego oraz z funduszy unijnych finansujących Wspólną Politykę Rolną, z wyłączeniem budżetu środków europejskich</t>
  </si>
  <si>
    <t>16.1</t>
  </si>
  <si>
    <t>14.1</t>
  </si>
  <si>
    <t>14.2</t>
  </si>
  <si>
    <t>14.3</t>
  </si>
  <si>
    <t>Wpłaty z tytułu odpłatnego nabycia prawa własności oraz prawa użytkowania wieczystego nieruchomości</t>
  </si>
  <si>
    <t>Stan środków pieniężnych na początek okresu sprawozdawczego</t>
  </si>
  <si>
    <t>Stan środków pieniężnych na koniec okresu sprawozdawczego</t>
  </si>
  <si>
    <t>Żegluga Świnoujska</t>
  </si>
  <si>
    <t>Urząd Miasta</t>
  </si>
  <si>
    <t>Żłobek Miejski</t>
  </si>
  <si>
    <t>Specjalny Ośrodek Szkolno-Wychowawczy</t>
  </si>
  <si>
    <t>Poradnia Psychologiczno-Pedagogiczna</t>
  </si>
  <si>
    <t>Młodzieżowy Dom Kultury</t>
  </si>
  <si>
    <t xml:space="preserve">% </t>
  </si>
  <si>
    <t>I.</t>
  </si>
  <si>
    <t>II.</t>
  </si>
  <si>
    <t>Wpływy z usług</t>
  </si>
  <si>
    <t>2650</t>
  </si>
  <si>
    <t>Dotacja przedmiotowa z budżetu otrzymana przez zakład budżetowy</t>
  </si>
  <si>
    <t>pokrycie amortyzacji</t>
  </si>
  <si>
    <t>RAZEM I+II</t>
  </si>
  <si>
    <t>Wpływy ze zwrotów dotacji oraz płatności, w tym wykorzystanych niezgodnie z przeznaczeniem lub wykorzystanych z naruszeniem procedur, o których mowa w art. 184 ustawy, pobranych nienależnie lub w nadmiernej wysokości</t>
  </si>
  <si>
    <t>III.</t>
  </si>
  <si>
    <t>Koszty i inne obciążenia ogółem</t>
  </si>
  <si>
    <t>Wydatki osobowe niezaliczone do wynagrodzeń</t>
  </si>
  <si>
    <t>Wynagrodzenia osobowe pracowników</t>
  </si>
  <si>
    <t>Dodatkowe wynagrodzenie roczne</t>
  </si>
  <si>
    <t>OGÓŁEM</t>
  </si>
  <si>
    <t>PLAN</t>
  </si>
  <si>
    <t>WYKONANIE</t>
  </si>
  <si>
    <t>Gmina</t>
  </si>
  <si>
    <t>Powiat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</si>
  <si>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</si>
  <si>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</si>
  <si>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</si>
  <si>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</si>
  <si>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</si>
  <si>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</si>
  <si>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2310</t>
  </si>
  <si>
    <t>2700</t>
  </si>
  <si>
    <t>Budowa mostu nad Starą Świną łączącego wyspy Karsibór i Wolin</t>
  </si>
  <si>
    <t>Przebudowa ulicy Pogodnej</t>
  </si>
  <si>
    <t>Przebudowa ulicy Gdyńskiej</t>
  </si>
  <si>
    <t>DZIAŁALNOŚĆ  USŁUGOWA</t>
  </si>
  <si>
    <t>Rozbudowa Cmentarza Komunalnego w Świnoujściu</t>
  </si>
  <si>
    <t>Stołówki szkolne i przedszkolne</t>
  </si>
  <si>
    <t>ADMINISTRACJA  PUBLICZNA</t>
  </si>
  <si>
    <t>Termomodernizacja obiektów szkolnych</t>
  </si>
  <si>
    <t>85334</t>
  </si>
  <si>
    <t>Pomoc dla repatriantów</t>
  </si>
  <si>
    <t>4. Wpłaty od zakładów budżetowych i gospodarstw
    pomocniczych</t>
  </si>
  <si>
    <t>Zakup usług pozostałych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</si>
  <si>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</si>
  <si>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</si>
  <si>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</si>
  <si>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</si>
  <si>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</si>
  <si>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</si>
  <si>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</si>
  <si>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 xml:space="preserve">Odsetki od nieterminowych wpłat z tytułu pozostałych podatków i opłat </t>
  </si>
  <si>
    <t>Kary i odszkodowania wypłacane na rzecz osób fizycznych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</si>
  <si>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</si>
  <si>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</si>
  <si>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</si>
  <si>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usługi lekarskie i porady</t>
  </si>
  <si>
    <t>usługi księgowe i statystyka medyczna</t>
  </si>
  <si>
    <t>,</t>
  </si>
  <si>
    <t>Zakup akcesoriów komputerowych, w tym programów i licencji</t>
  </si>
  <si>
    <t>Wydatki inwestycyjne zakładów budżetowych</t>
  </si>
  <si>
    <t>Wydatki na zakupy inwestycyjne zakładów budżetowych</t>
  </si>
  <si>
    <t>odpisy amortyzacji</t>
  </si>
  <si>
    <t>inne zmniejszenia</t>
  </si>
  <si>
    <t>IV.</t>
  </si>
  <si>
    <t>RAZEM III+IV</t>
  </si>
  <si>
    <t>PRZEDSZKOLA MIEJSKIE</t>
  </si>
  <si>
    <t>Dochody z najmu i dzierżawy składników majątkowych Skarbu 
Państwa, jednostek samorządu terytorialnego lub innych jednostek zaliczanych do sektora finansów publicznych oraz innych umów o podobnym charakterze</t>
  </si>
  <si>
    <t>2510</t>
  </si>
  <si>
    <t>Finansowanie programów i projektów ze środków funduszy strukturalnych, Funduszu Spójności, Europejskiego Funduszu Rybackiego oraz z funduszy unijnych finansujących Wspólną Politykę Rolną</t>
  </si>
  <si>
    <t xml:space="preserve">Wykonane wydatków </t>
  </si>
  <si>
    <t>Nazwy zadań inwestycyjnych</t>
  </si>
  <si>
    <t>§281 i 282</t>
  </si>
  <si>
    <t xml:space="preserve">5. Dotacje inwestycyjne (§6210 - zakłady budżetowe, §6220 - inne jednostki sektora fp, §6230 - inne jednostki nie zaliczane do sektora fp , §6170 - wpłaty na fundusz celowy, §6570 - dofinansowanie zadań inwestycyjnych obiektów zabytkowych jednostkom niezaliczanym do sektora fp </t>
  </si>
  <si>
    <t>umowy zlecenia</t>
  </si>
  <si>
    <t>4.11</t>
  </si>
  <si>
    <t>kontrakt z NFZ - specjalistyka</t>
  </si>
  <si>
    <t xml:space="preserve">      - uzupełnienie dochodów gminy</t>
  </si>
  <si>
    <t>Składki na ubezpieczenie zdrowotne opłacane za osoby pobierające niektóre świadczenia z pomocy społecznej, niektóre świadczenia rodzinne oraz za osoby uczestniczące w zajęciach w centrum integracji społecznej</t>
  </si>
  <si>
    <t>Współfinansowanie programów i projektów realizowanych ze środków funduszy strukturalnych, Funduszu Spójności, Europejskiego Funduszu Rybackiego oraz z funduszy unijnych finansujących Wspólną Politykę Rolną</t>
  </si>
  <si>
    <t>Środki na  inwestycje na drogach publicznych powiatowych i wojewódzkich oraz na drogach powiatowych, wojewódzkich i krajowych w granicach miast na prawach powiatu</t>
  </si>
  <si>
    <t>razem z pochodnymi od świadczeń społ.</t>
  </si>
  <si>
    <t>Zespół Szkolno-Przedszkolny</t>
  </si>
  <si>
    <t>Dotacja podmiotowa z budżetu otrzymana przez zakład budżetowy</t>
  </si>
  <si>
    <t>Zakup środków żywności</t>
  </si>
  <si>
    <t>Zakup pomocy naukowych, dydaktycznych i książek</t>
  </si>
  <si>
    <t>Zakup usług zdrowotnych</t>
  </si>
  <si>
    <t>OŚRODEK SPORTU I REKREACJI "WYSPIARZ"</t>
  </si>
  <si>
    <t>Wpłaty na Państwowy Fundusz Rehabilitacji Osób Niepełnosprawnych</t>
  </si>
  <si>
    <t>Zakup usług obejmujących wykonanie ekspertyz, analiz i opinii</t>
  </si>
  <si>
    <t>Podróże służbowe zagraniczne</t>
  </si>
  <si>
    <t>Opłaty na rzecz budżetów jednostek samorządu terytorialnego</t>
  </si>
  <si>
    <t>Wpłata do budżetu nadwyżki środków obrotowych</t>
  </si>
  <si>
    <t>V.</t>
  </si>
  <si>
    <t>Gimnazjum im. św. Jadwigi Królowej</t>
  </si>
  <si>
    <t>Katolickie Liceum Ogólnokształcące im. św. Jadwigi Królowej</t>
  </si>
  <si>
    <t>Liceum Ogólnokształcące im. św. Jadwigi Królowej dla Dorosłych</t>
  </si>
  <si>
    <t>Opieka paliatywna nad dziećmi</t>
  </si>
  <si>
    <t>RAZEM III+IV+V</t>
  </si>
  <si>
    <t>POWIATOWY FUNDUSZ GOSPODARKI ZASOBEM GEODEZYJNYM I KARTOGRAFICZNYM</t>
  </si>
  <si>
    <t>2960</t>
  </si>
  <si>
    <t>Przelewy redystrybucyjne</t>
  </si>
  <si>
    <t>Wydatki na zakupy inwestycyjne funduszy celowych</t>
  </si>
  <si>
    <t>Różnica
(5 - 6)</t>
  </si>
  <si>
    <t>75095/
75023</t>
  </si>
  <si>
    <t>- bieżąca</t>
  </si>
  <si>
    <t>- inwestycyjna</t>
  </si>
  <si>
    <t>4. Dochody z majątku</t>
  </si>
  <si>
    <t>5. Odsetki od środków finansowych zgromadzonych na rachunkach  bankowych</t>
  </si>
  <si>
    <t>6. Odsetki od nieterminowego regulowania należności, 
    stanowiących dochody Miasta i inne</t>
  </si>
  <si>
    <t xml:space="preserve">7. Inne dochody </t>
  </si>
  <si>
    <t>transfery z budżetu państwa (dotacja)</t>
  </si>
  <si>
    <t>1.6</t>
  </si>
  <si>
    <t>programy unijne</t>
  </si>
  <si>
    <t>Program Operacyjny Kapitał Ludzki</t>
  </si>
  <si>
    <t>Przebudowa ulicy Wojska Polskiego w ramach projektu - Transgraniczne połączenie pomiędzy miastem Świnoujście i gminą Ostseebad Heringsdorf</t>
  </si>
  <si>
    <t>Budowa transgranicznego połączenia Świnoujście - Kamminke na wyspie Uznam (Budowa ciągu pieszo - rowerowego wzdłuż ulicy Krzywej)</t>
  </si>
  <si>
    <t>Budowa ulic Cieszkowskiego i Orzeszkowej - II etap</t>
  </si>
  <si>
    <t>Podniesienie atrakcyjności turystycznej regionu poprzez budowę ścieżek rowerowych w ramach Międzynarodowego Szlaku Rowerowego R-10 w Świnoujściu - ul. Jachtowa</t>
  </si>
  <si>
    <t>Budowa budynku na cele Informacji Turystycznej Pl. Wolności</t>
  </si>
  <si>
    <t>Melioracja terenów zurbanizowanych na obszarze Miasta Świnoujście</t>
  </si>
  <si>
    <t>Stać mnie na więcej - przeciwdziałanie wykluczeniu społecznemu młodzieży w wieku 15-25 lat</t>
  </si>
  <si>
    <t>Doradca zawodowy i pośrednik pracy w standardach unijnych</t>
  </si>
  <si>
    <t>6180</t>
  </si>
  <si>
    <t>75803</t>
  </si>
  <si>
    <t>inne środki
Fundusz Pracy</t>
  </si>
  <si>
    <t>Część wyrównawcza subwencji ogólnej dla powiatów</t>
  </si>
  <si>
    <t>2009</t>
  </si>
  <si>
    <t>Tabela 1</t>
  </si>
  <si>
    <t>Tabela 2</t>
  </si>
  <si>
    <t xml:space="preserve">             Tabela nr 4</t>
  </si>
  <si>
    <t>Tabela nr  9</t>
  </si>
  <si>
    <t>Tabela nr 10</t>
  </si>
  <si>
    <t>Tabela nr 11</t>
  </si>
  <si>
    <t xml:space="preserve">Tabela nr  12 </t>
  </si>
  <si>
    <t xml:space="preserve">Tabela nr 14 </t>
  </si>
  <si>
    <t>Tabela nr 18</t>
  </si>
  <si>
    <t>Tabela nr 19</t>
  </si>
  <si>
    <t>Tabela 28</t>
  </si>
  <si>
    <t>Tabela 27</t>
  </si>
  <si>
    <t>Tabela 26</t>
  </si>
  <si>
    <t>Tabela 25</t>
  </si>
  <si>
    <t>Tabela 24</t>
  </si>
  <si>
    <t>Tabela 23</t>
  </si>
  <si>
    <t>Tabela 22</t>
  </si>
  <si>
    <t>Tabela 21</t>
  </si>
  <si>
    <t>Tabela 20</t>
  </si>
  <si>
    <t xml:space="preserve">Dotacja na wykonanie remontów </t>
  </si>
  <si>
    <t>sprawozdanie Rb 27 doch maj</t>
  </si>
  <si>
    <t>transfery z budżetu państwa (dotacje, subwencje, udziały, rekompensaty)</t>
  </si>
  <si>
    <t>Rozdział 92118</t>
  </si>
  <si>
    <t>odpis na zakładowy fundusz świadczeń socjalnych</t>
  </si>
  <si>
    <t>kontrakt z NFZ - szpital</t>
  </si>
  <si>
    <t>Dotacje celowe otrzymane z budżetu państwa na inwestycje i zakupy inwestycyjne realizowane przez powiat na podstawie porozumień z organami administracji rządowej</t>
  </si>
  <si>
    <t>Finansowanie z pożyczek i kredytów zagranicznych</t>
  </si>
  <si>
    <t>różnica</t>
  </si>
  <si>
    <t>Pozostałe podatki na rzecz budżetów jednostek samorządu terytorialnego</t>
  </si>
  <si>
    <t xml:space="preserve">    - targowa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</si>
  <si>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</si>
  <si>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</si>
  <si>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Zasiłki i pomoc w naturze  oraz składki na ubezpieczenia emerytalne i rentowe</t>
  </si>
  <si>
    <t>DOCHODY OD OSÓB PRAWNYCH, OD OSÓB FIZYCZNYCH I OD INNYCH JEDNOSTEK NIEPOSIADAJĄCYCH  OSOBOWOŚCI PRAWNEJ ORAZ WYDATKI ZWIĄZANE Z ICH POBOREM</t>
  </si>
  <si>
    <t>POZOSTAŁE ZADANIA W ZAKRESIE 
POLITYKI SPOŁECZNEJ</t>
  </si>
  <si>
    <t>Przebudowa chodników i jezdni w drogach powiatowych</t>
  </si>
  <si>
    <t>Rewitalizacja ulicy Hołdu Pruskiego</t>
  </si>
  <si>
    <t>suma wierszy 586 (bieżące) i 593 (majątkowe)</t>
  </si>
  <si>
    <t>Uzupełnienie subwencji ogólnej dla jednostek 
samorządu terytorialnego</t>
  </si>
  <si>
    <t>Składki na ubezpieczenie zdrowotne oraz świadczenia dla osób nieobjętych obowiązkiem ubezpieczenia zdrowotnego</t>
  </si>
  <si>
    <t>Ośrodki rewalidacyjno-wychowawcze</t>
  </si>
  <si>
    <t xml:space="preserve">Dział  </t>
  </si>
  <si>
    <t>ROLNICTWO I ŁOWIECTWO</t>
  </si>
  <si>
    <t>01008</t>
  </si>
  <si>
    <t>Melioracje wodne</t>
  </si>
  <si>
    <t>01030</t>
  </si>
  <si>
    <t>Izby rolnicze</t>
  </si>
  <si>
    <t>01095</t>
  </si>
  <si>
    <t xml:space="preserve">LEŚNICTWO </t>
  </si>
  <si>
    <t>WYTWARZANIE I ZAOPATRYWANIE 
W ENERGIĘ ELEKTRYCZNĄ, GAZ I WODĘ</t>
  </si>
  <si>
    <t>40002</t>
  </si>
  <si>
    <t>Dostarczanie wody</t>
  </si>
  <si>
    <t>HANDEL</t>
  </si>
  <si>
    <t>Zadania w zakresie kultury i ochrony dziedzictwa narodowego</t>
  </si>
  <si>
    <t>Ośrodek Sportu i Rekreacji "Wyspiarz"</t>
  </si>
  <si>
    <t>Zespół Szkół Publicznych nr 4 
z Oddziałami Integracyjnymi</t>
  </si>
  <si>
    <t>Prowadzenie spraw orzekania o niepełnosprawności</t>
  </si>
  <si>
    <t>WYDATKI JEDNOSTEK POMOCNICZYCH</t>
  </si>
  <si>
    <t>Tabela nr 8</t>
  </si>
  <si>
    <t>50095</t>
  </si>
  <si>
    <t>Programy polityki zdrowotnej</t>
  </si>
  <si>
    <t xml:space="preserve">   - wynagrodzenia i pochodne</t>
  </si>
  <si>
    <t>Rozwój Czterech Zakątków jako zrównoważonego miejsca pobytu opartego na naturalnym i kulturowym dziedzictwie</t>
  </si>
  <si>
    <t>63095</t>
  </si>
  <si>
    <t xml:space="preserve">Pozostała działalność </t>
  </si>
  <si>
    <t>70001</t>
  </si>
  <si>
    <t xml:space="preserve"> I Liceum Ogólnokształcące Towarzystwa Oświatowo-Promocyjnego "Business-Pro"</t>
  </si>
  <si>
    <t>Policealna Szkoła Biznesu Towarzystwa Oświatowo-Promocyjnego ”Business-Pro”</t>
  </si>
  <si>
    <t>Zakłady gospodarki mieszkaniowej</t>
  </si>
  <si>
    <t>70095</t>
  </si>
  <si>
    <t>71004</t>
  </si>
  <si>
    <t>Plany zagospodarowania przestrzennego</t>
  </si>
  <si>
    <t>75022</t>
  </si>
  <si>
    <t>Rady gmin (miast i miast na prawach powiatu)</t>
  </si>
  <si>
    <t xml:space="preserve">Urzędy naczelnych organów władzy państwowej,
kontroli i ochrony prawa </t>
  </si>
  <si>
    <t>75405</t>
  </si>
  <si>
    <t>Komendy powiatowe Policji</t>
  </si>
  <si>
    <t>75412</t>
  </si>
  <si>
    <t>Ochotnicze straże pożarne</t>
  </si>
  <si>
    <t>75495</t>
  </si>
  <si>
    <t>90019</t>
  </si>
  <si>
    <t>75478</t>
  </si>
  <si>
    <t>Usuwanie skutków klęsk żywiołowych</t>
  </si>
  <si>
    <t>Wpływy do budżetu pozostałości środków finansowych gromadzonych na wydzielonym rachunku jednostki budżetowej</t>
  </si>
  <si>
    <t>różnica (Rb 27 - zestawienie) dochody bieżące</t>
  </si>
  <si>
    <t xml:space="preserve">    - wpływ pozostałości środków z rachunku dochodów własnych jednostek</t>
  </si>
  <si>
    <t>dobrze</t>
  </si>
  <si>
    <t>DOCHODY OD OSÓB PRAWNYCH, OD OSÓB FIZYCZNYCH I OD INNYCH JEDNOSTEK NIEPOSIADAJĄCYCH OSOBOWOŚCI PRAWNEJ ORAZ WYDATKI ZWIĄZANE Z ICH POBOREM</t>
  </si>
  <si>
    <t>Zasiłki stałe</t>
  </si>
  <si>
    <r>
      <t xml:space="preserve">Spłaty otrzymanych krajowych pożyczek i kredytów
</t>
    </r>
    <r>
      <rPr>
        <i/>
        <sz val="10"/>
        <rFont val="Times New Roman"/>
        <family val="1"/>
      </rPr>
      <t>w tym:</t>
    </r>
  </si>
  <si>
    <t xml:space="preserve">    - od posiadania psów</t>
  </si>
  <si>
    <t xml:space="preserve">  a) na zadania własne (w tym dotacje rozwojowe i dotacja uzdrowiskowa)</t>
  </si>
  <si>
    <t xml:space="preserve">    - zwrot świadczeń z funduszu alimentacyjnego</t>
  </si>
  <si>
    <t>Prowadzenie schroniska dla zwierząt</t>
  </si>
  <si>
    <t>75647</t>
  </si>
  <si>
    <t>Pobór podatków, opłat i niepodatkowych należności budżetowych</t>
  </si>
  <si>
    <t>Podatek od towarów i usług (VAT)</t>
  </si>
  <si>
    <t>OBSŁUGA DŁUGU PUBLICZNEGO</t>
  </si>
  <si>
    <t>75702</t>
  </si>
  <si>
    <t xml:space="preserve">ZAKŁAD GOSPODARKI MIESZKANIOWEJ </t>
  </si>
  <si>
    <t>Rozdział 70001</t>
  </si>
  <si>
    <t>Rozdział 80104</t>
  </si>
  <si>
    <t>Rozdział 92605</t>
  </si>
  <si>
    <t>Rozdział 71030</t>
  </si>
  <si>
    <t>Rozdział 92109</t>
  </si>
  <si>
    <t>Obsługa papierów wartościowych, kredytów 
i pożyczek jednostek samorządu terytorialnego</t>
  </si>
  <si>
    <t>80102</t>
  </si>
  <si>
    <t>Szkoły podstawowe specjalne</t>
  </si>
  <si>
    <t>Kwalifikacja wojskowa</t>
  </si>
  <si>
    <t>80104</t>
  </si>
  <si>
    <t>Przedszkola</t>
  </si>
  <si>
    <t xml:space="preserve">Wartość wydatków </t>
  </si>
  <si>
    <t>Ośrodek Rehabilitacyjno-Edukacyjno-Wychowawczy Polskiego Stowarzyszenia na Rzecz Osób z Upośledzeniem Umysłowym Koło w Świnoujściu</t>
  </si>
  <si>
    <t>Rozdz.</t>
  </si>
  <si>
    <t>Nazwa programu</t>
  </si>
  <si>
    <t>Nazwa projektu</t>
  </si>
  <si>
    <t>Lata realizacji projektu</t>
  </si>
  <si>
    <t>środki UE</t>
  </si>
  <si>
    <t>środki JST</t>
  </si>
  <si>
    <t>usługi gastronomiczne</t>
  </si>
  <si>
    <t>usługi gastronomiczne (wyżywienie pacjentów)</t>
  </si>
  <si>
    <t>80111</t>
  </si>
  <si>
    <t>Gimnazja specjalne</t>
  </si>
  <si>
    <t>Inne koszty rodzajowe</t>
  </si>
  <si>
    <t xml:space="preserve">Licea ogólnokształcące </t>
  </si>
  <si>
    <t>80134</t>
  </si>
  <si>
    <t>Szkoły zawodowe specjalne</t>
  </si>
  <si>
    <t>80140</t>
  </si>
  <si>
    <t>Centra kształcenia ustawicznego i praktycznego 
oraz ośrodki dokształcania zawodowego</t>
  </si>
  <si>
    <t>80146</t>
  </si>
  <si>
    <t>Dokształcanie i doskonalenie nauczycieli</t>
  </si>
  <si>
    <t>80195</t>
  </si>
  <si>
    <t>85111</t>
  </si>
  <si>
    <t>Szpitale ogólne</t>
  </si>
  <si>
    <t>85117</t>
  </si>
  <si>
    <t>Tabela nr 16</t>
  </si>
  <si>
    <t>16.07.2010 r.</t>
  </si>
  <si>
    <t>497/2010</t>
  </si>
  <si>
    <t>22.07.2010 r.</t>
  </si>
  <si>
    <t>30.07.2010 r.</t>
  </si>
  <si>
    <t>526/2010</t>
  </si>
  <si>
    <t>11.08.2010 r.</t>
  </si>
  <si>
    <t>541/2010</t>
  </si>
  <si>
    <t>31.08.2010 r.</t>
  </si>
  <si>
    <t>578/2010</t>
  </si>
  <si>
    <t>580/2010</t>
  </si>
  <si>
    <t>22.09.2010 r.</t>
  </si>
  <si>
    <t>624/2010</t>
  </si>
  <si>
    <t>30.09.2010 r.</t>
  </si>
  <si>
    <t>646/2010</t>
  </si>
  <si>
    <t>648/2010</t>
  </si>
  <si>
    <t>Zakłady opiekuńczo - lecznicze i pielęgnacyjno - opiekuńcze</t>
  </si>
  <si>
    <t>85149</t>
  </si>
  <si>
    <t xml:space="preserve">Programy polityki zdrowotnej </t>
  </si>
  <si>
    <t>85152</t>
  </si>
  <si>
    <t>Zapobieganie i zwalczanie AIDS</t>
  </si>
  <si>
    <t>85153</t>
  </si>
  <si>
    <t>Zwalczanie narkomanii</t>
  </si>
  <si>
    <t>85195</t>
  </si>
  <si>
    <t xml:space="preserve">POMOC SPOŁECZNA </t>
  </si>
  <si>
    <t>Placówki opiekuńczo 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</si>
  <si>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</si>
  <si>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</si>
  <si>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</si>
  <si>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</si>
  <si>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</si>
  <si>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</si>
  <si>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POZOSTAŁE ZADANIA W ZAKRESIE POLITYKI SPOŁECZNEJ</t>
  </si>
  <si>
    <t>Żłobki</t>
  </si>
  <si>
    <t>85333</t>
  </si>
  <si>
    <t>Powiatowe urzędy pracy</t>
  </si>
  <si>
    <t>85395</t>
  </si>
  <si>
    <t>85401</t>
  </si>
  <si>
    <t>Świetlice szkolne</t>
  </si>
  <si>
    <t>Poradnie psychologiczno - pedagogiczne, w tym poradnie specjalistyczne</t>
  </si>
  <si>
    <t>Placówki wychowania pozaszkolnego</t>
  </si>
  <si>
    <t>Internaty i bursy szkolne</t>
  </si>
  <si>
    <t>Szkolne schroniska młodzieżowe</t>
  </si>
  <si>
    <t>85419</t>
  </si>
  <si>
    <t>85446</t>
  </si>
  <si>
    <t>85495</t>
  </si>
  <si>
    <t>2680</t>
  </si>
  <si>
    <t>Rekompensaty utraconych dochodów w podatkach i opłatach lokalnych</t>
  </si>
  <si>
    <t>6260</t>
  </si>
  <si>
    <t>6300</t>
  </si>
  <si>
    <t>92695</t>
  </si>
  <si>
    <t>2710</t>
  </si>
  <si>
    <t>Dotacje otrzymane z funduszy celowych na finansowanie lub dofinansowanie kosztów realizacji inwestycji i zakupów inwestycyjnych jednostek sektora finansów publicznych</t>
  </si>
  <si>
    <t>WYDATKI MAJĄTKOWE</t>
  </si>
  <si>
    <t xml:space="preserve">RAZEM </t>
  </si>
  <si>
    <t>OGÓŁEM WYDATKI BIEŻĄCE I MAJĄTKOWE</t>
  </si>
  <si>
    <t>OGÓŁEM WYDATKI BIEŻĄCE</t>
  </si>
  <si>
    <t xml:space="preserve">Urząd Miasta
(WO/WRM) </t>
  </si>
  <si>
    <t>Regionalny Program Operacyjny województwa Zachodniopomorskiego na lata 2007-2013</t>
  </si>
  <si>
    <t>bez pomocy publ.: 
18 800 000</t>
  </si>
  <si>
    <t>z pomocą publ.:   
17 882 000</t>
  </si>
  <si>
    <t>WYDATKI NA PROJEKTY REALIZOWANE W RAMACH POSZCZEGÓLNYCH PROGRAMÓW OPERACYJNYCH</t>
  </si>
  <si>
    <t>Wpływy z tytułu pomocy finansowej udzielanej między jednostkami samorządu terytorialnego na dofinansowanie własnych zadań inwestycyjnych i zakupów inwestycyjnych</t>
  </si>
  <si>
    <t>pozostałe wydatki</t>
  </si>
  <si>
    <t>Wpływy z tytułu pomocy finansowej udzielanej między jednostkami samorządu terytorialnego na dofinansowanie własnych zadań bieżących</t>
  </si>
  <si>
    <t>Dotacje celowe otrzymane z budżetu państwa na 
realizację inwestycji i zakupów inwestycyjnych własnych powiatu</t>
  </si>
  <si>
    <t>GOSPODARKA KOMUNALNA I OCHRONA ŚRODOWISKA</t>
  </si>
  <si>
    <t>90004</t>
  </si>
  <si>
    <t>Utrzymanie zieleni w miastach i gminach</t>
  </si>
  <si>
    <t>90006</t>
  </si>
  <si>
    <t>Ochrona gleby i wód podziemnych</t>
  </si>
  <si>
    <t>90013</t>
  </si>
  <si>
    <t>Świadczenia rodzinne, świadczenie z funduszu alimentacyjnego oraz składki na ubezpieczenia emerytalne i rentowe z ubezpieczenia społecznego</t>
  </si>
  <si>
    <t>Przychody z zaciągniętych pożyczek i kredytów na rynku krajowym</t>
  </si>
  <si>
    <t>§ 952</t>
  </si>
  <si>
    <t>- obligacje komunalne</t>
  </si>
  <si>
    <t>Schroniska dla zwierząt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</si>
  <si>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</si>
  <si>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</si>
  <si>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</si>
  <si>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</si>
  <si>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</si>
  <si>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</si>
  <si>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</si>
  <si>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</si>
  <si>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I. Dochody własne</t>
  </si>
  <si>
    <t>1. Podatki</t>
  </si>
  <si>
    <t>27.</t>
  </si>
  <si>
    <t>28.</t>
  </si>
  <si>
    <t>29.</t>
  </si>
  <si>
    <t>AMORTYZACJA</t>
  </si>
  <si>
    <t>ZUŻYCIE MATERIAŁÓW</t>
  </si>
  <si>
    <t>leki</t>
  </si>
  <si>
    <t>materiały medyczne</t>
  </si>
  <si>
    <t>pieluchomajtki</t>
  </si>
  <si>
    <t xml:space="preserve">środki czystości </t>
  </si>
  <si>
    <t>2.6</t>
  </si>
  <si>
    <t>2708</t>
  </si>
  <si>
    <t>wyposażenie</t>
  </si>
  <si>
    <t>ENERGIA</t>
  </si>
  <si>
    <t>3.1</t>
  </si>
  <si>
    <t>energia elektryczna</t>
  </si>
  <si>
    <t>3.2</t>
  </si>
  <si>
    <t>woda, ścieki</t>
  </si>
  <si>
    <t>3.3</t>
  </si>
  <si>
    <t>gaz</t>
  </si>
  <si>
    <t>USŁUGI OBCE</t>
  </si>
  <si>
    <t>4.1</t>
  </si>
  <si>
    <t>analizy i badania</t>
  </si>
  <si>
    <t>4.2</t>
  </si>
  <si>
    <t>usługi pralnicze</t>
  </si>
  <si>
    <t>4.3</t>
  </si>
  <si>
    <t>32.</t>
  </si>
  <si>
    <t>Prowadzenie środowiskowego domu samopomocy</t>
  </si>
  <si>
    <t>Utrzymanie dzieci w rodzinach zastępczych</t>
  </si>
  <si>
    <t>Przebudowa stadionu OSiR Wyspiarz przy ul. Matejki</t>
  </si>
  <si>
    <t>Budowa Centrum Kultury i Sportu przy ul. Matejki</t>
  </si>
  <si>
    <t>Koszty</t>
  </si>
  <si>
    <t>MUZEUM RYBOŁÓWSTWA MORSKIEGO</t>
  </si>
  <si>
    <t>Dotacja na działalność podstawową</t>
  </si>
  <si>
    <t>Przychody własne</t>
  </si>
  <si>
    <t>Stan środków obrotowych netto na początek okresu sprawozdawczego</t>
  </si>
  <si>
    <t>Stan środków obrotowych netto na koniec okresu sprawozdawczego</t>
  </si>
  <si>
    <t>Wydatki
bieżące
(6+7+8+9+10)</t>
  </si>
  <si>
    <t>wg Rekordu</t>
  </si>
  <si>
    <t>Tabela nr 15</t>
  </si>
  <si>
    <t>dotacja wpłynęła w niższej kwocie</t>
  </si>
  <si>
    <t>tyle wpłynęło dotacji</t>
  </si>
  <si>
    <t>tyle wydaliśmy???</t>
  </si>
  <si>
    <t>Dotacje celowe w ramach programów finansowanych z udziałem środków europejskich oraz środków, o których mowa w art. 5 ust. 1 pkt 3 oraz ust. 3 pkt 5 i 6 ustawy, lub płatności w ramach budżetu środków europejskich</t>
  </si>
  <si>
    <t>Składki na ubezpieczenie społeczne i Fundusz Pracy</t>
  </si>
  <si>
    <t>Zakup eksponatów muzealnych</t>
  </si>
  <si>
    <t>Ubezpieczenia rzeczowe</t>
  </si>
  <si>
    <t xml:space="preserve">INFORMACJA O WYSOKOŚCI NADWYŻKI BUDŻETOWEJ  </t>
  </si>
  <si>
    <t>Podróże służbowe krajowe (w tym wyjazdy na szkolenia)</t>
  </si>
  <si>
    <t>Pozostałe opłaty</t>
  </si>
  <si>
    <t>4.4</t>
  </si>
  <si>
    <t>wywóz śmieci</t>
  </si>
  <si>
    <t>4.5</t>
  </si>
  <si>
    <t>sprzęt/materiały medyczne jednorazowego użytku</t>
  </si>
  <si>
    <t>środki żywności (mleko w proszku)</t>
  </si>
  <si>
    <t>leki (w tym krew)</t>
  </si>
  <si>
    <t>materiały do drobnych napraw</t>
  </si>
  <si>
    <t>dwutlenek węgla specjalny</t>
  </si>
  <si>
    <t>2.11</t>
  </si>
  <si>
    <t>2.12</t>
  </si>
  <si>
    <t>2.13</t>
  </si>
  <si>
    <t>2.14</t>
  </si>
  <si>
    <t>kontrakty zakładowe lekarzy</t>
  </si>
  <si>
    <t>kontrakty pielęgniarskie</t>
  </si>
  <si>
    <t>kontrakty OTU rehabilitacyjne, konsultacje medyczne</t>
  </si>
  <si>
    <t>konserwacja i naprawa sprzętu</t>
  </si>
  <si>
    <t>obsługa prawna i farmaceutyczna</t>
  </si>
  <si>
    <t>wywóz i zagospodarowanie odpadów medycznych</t>
  </si>
  <si>
    <t>najem lokalu (ul. Dąbrowskiego)</t>
  </si>
  <si>
    <r>
      <t>Zakład Gospodarki Mieszkaniowej</t>
    </r>
    <r>
      <rPr>
        <sz val="10"/>
        <rFont val="Times New Roman"/>
        <family val="1"/>
      </rPr>
      <t xml:space="preserve">
Dopłata do utrzymania 1m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powierzchni użytkowej komunalnych zasobów mieszkaniowych</t>
    </r>
  </si>
  <si>
    <r>
      <t>Ośrodek Sportu i Rekreacji "Wyspiarz"</t>
    </r>
    <r>
      <rPr>
        <sz val="10"/>
        <rFont val="Times New Roman"/>
        <family val="1"/>
      </rPr>
      <t xml:space="preserve">
Dopłaty do 1 godziny funkcjonowania:
- hali sportowej,
- pływalni,
- boiska ze sztuczną nawierzchnią,
- boiska trawiastego,
- hali tenisowej.</t>
    </r>
  </si>
  <si>
    <t>4. Inne dotacje i subwencje bieżące (§2850 - wpłaty na rzecz izb rolniczych, §3000 - wpłaty jednostek na fundusz celowy)</t>
  </si>
  <si>
    <t>W zestawieniu nie są ujęte wydatki zrealizowane w ramach § 2910 - wpływy ze zwrotów dotacji oraz płatności, w tym wykorzystanych niezgodnie z przeznaczeniem lub wykorzystanych z naruszeniem procedur, o których mowa w art. 184 ustawy, pobranych nienależnie lub w nadmiernej wysokości.</t>
  </si>
  <si>
    <t>osobowy fundusz płac</t>
  </si>
  <si>
    <t>PODRÓŻE SŁUŻBOWE KRAJOWE</t>
  </si>
  <si>
    <t>POZOSTAŁE KOSZTY  - UBEZPIECZENIA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</si>
  <si>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</si>
  <si>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</si>
  <si>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</si>
  <si>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</si>
  <si>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</si>
  <si>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</si>
  <si>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</si>
  <si>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</si>
  <si>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</si>
  <si>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</si>
  <si>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Pozostałe koszty operacyjne</t>
  </si>
  <si>
    <t>olej napędowy</t>
  </si>
  <si>
    <t>kontrakty - zorganizowanie i kierowanie laboratorium</t>
  </si>
  <si>
    <t>dzierżawa analizatorów</t>
  </si>
  <si>
    <t>badania (tomografia, rezonans, badania urodynamiczne)</t>
  </si>
  <si>
    <t>usługa sprzątania oraz pomoc przy pacjentach</t>
  </si>
  <si>
    <t>kontrakt - zarządzanie szpitalem</t>
  </si>
  <si>
    <t>4.27</t>
  </si>
  <si>
    <t>4.28</t>
  </si>
  <si>
    <t>4.29</t>
  </si>
  <si>
    <t>świadczenia medyczne udzielone osobom nieubezpieczonym w NFZ</t>
  </si>
  <si>
    <t>świadczenia dotyczące terapii uzależnień od alkoholu i narkotyków</t>
  </si>
  <si>
    <t>13.4</t>
  </si>
  <si>
    <t>13.5</t>
  </si>
  <si>
    <t>badania laboratoryjne (w tym: immunologiczne, bakteriologiczne, histopatologiczne,cytopatalogiczne, wykrywanie przeciwciał, próby zgodności, rozmaz szpiku)</t>
  </si>
  <si>
    <t>pozostałe usługi (w tym: dzierżawa radiotelefonów, abonament dostępu do programu LEX, pomiar dozometryczny)</t>
  </si>
  <si>
    <t>pozostałe świadczenia (w tym: szkolenia, ekwiwalenty za odzież, badania okresowe)</t>
  </si>
  <si>
    <t>usługi transportowe</t>
  </si>
  <si>
    <t>usługi remontowe</t>
  </si>
  <si>
    <t>5.3</t>
  </si>
  <si>
    <t>gratyfikacje/odprawy rentowe</t>
  </si>
  <si>
    <t>konserwacja i naprawa sprzętu, serwis kotłowni</t>
  </si>
  <si>
    <t>4.6</t>
  </si>
  <si>
    <t>4.7</t>
  </si>
  <si>
    <t>4.8</t>
  </si>
  <si>
    <t>4.9</t>
  </si>
  <si>
    <t>pozostałe usługi obce</t>
  </si>
  <si>
    <t>WYNAGRODZENIA</t>
  </si>
  <si>
    <t>5.1</t>
  </si>
  <si>
    <t>wynagrodzenie za pracę</t>
  </si>
  <si>
    <t>5.2</t>
  </si>
  <si>
    <t>NARZUTY NA WYNAGRODZENIA</t>
  </si>
  <si>
    <t>ŚWIADCZENIA NA RZECZ PRACOWNIKÓW</t>
  </si>
  <si>
    <t>PODATKI I OPŁATY</t>
  </si>
  <si>
    <t>8.1</t>
  </si>
  <si>
    <t>podatek od nieruchomości</t>
  </si>
  <si>
    <t>8.2</t>
  </si>
  <si>
    <t>pozostałe opłaty i podatki</t>
  </si>
  <si>
    <t>OPŁATY BANKOWE</t>
  </si>
  <si>
    <t>Odsetki za nieterminowe rozliczenia, płacone przez urzędy obsługujące organy podatkowe</t>
  </si>
  <si>
    <t>Wykup innych papierów wartościowych</t>
  </si>
  <si>
    <t>Przychody z tytułu innych rozliczeń krajowych</t>
  </si>
  <si>
    <t>Dotacje
ogółem</t>
  </si>
  <si>
    <t>Wydatki
majątkowe</t>
  </si>
  <si>
    <t>85220</t>
  </si>
  <si>
    <t>Jednostki specjalistycznego poradnictwa, mieszkania chronione i ośrodki interwencji kryzysowej</t>
  </si>
  <si>
    <t>gmina</t>
  </si>
  <si>
    <t>powiat</t>
  </si>
  <si>
    <t>Ogółem (gmina + powiat)</t>
  </si>
  <si>
    <t xml:space="preserve">Ogółem </t>
  </si>
  <si>
    <t>Nazwa jednostki pomocniczej</t>
  </si>
  <si>
    <t>Sołectwo Karsibór</t>
  </si>
  <si>
    <t>Osiedle Warszów</t>
  </si>
  <si>
    <t>Osiedle Przytór-Łunowo</t>
  </si>
  <si>
    <t>Ogółem</t>
  </si>
  <si>
    <t>Uzupełnienie subwencji ogólnej dla jednostek samorządu terytorialnego</t>
  </si>
  <si>
    <t>2750</t>
  </si>
  <si>
    <t>Środki na uzupełnienie dochodów gminy</t>
  </si>
  <si>
    <t>Gimnazjum przy Liceum Ogólnokształcącym 
Społecznego Towarzystwa Szkoły Gimnazjalnej</t>
  </si>
  <si>
    <t>Gimnazjum Fundacji LOGOS</t>
  </si>
  <si>
    <t>Gimnazjum dla dorosłych WZDZ</t>
  </si>
  <si>
    <t>Zadania w zakresie przeciwdziałania alkoholizmowi</t>
  </si>
  <si>
    <t>Zadania w zakresie pomocy społecznej</t>
  </si>
  <si>
    <t>Zużycie materiałów i wyposażenia</t>
  </si>
  <si>
    <t>Zużycie energii</t>
  </si>
  <si>
    <t>środki BP</t>
  </si>
  <si>
    <t>Składki na ubezpieczenia społeczne i Fundusz Pracy</t>
  </si>
  <si>
    <t>Pozostałe przychody finansowe i operacyjne</t>
  </si>
  <si>
    <t>RAZEM DOTACJE Z BUDŻETU MIASTA</t>
  </si>
  <si>
    <t>Realizacja działań z zakresu zapobiegania narkomanii adresowane do mieszkańców Świnoujścia</t>
  </si>
  <si>
    <t>Prowadzenie edukacji profilaktycznej z zakresu AIDS i HIV adresowanych do uczniów placówek oświatowych</t>
  </si>
  <si>
    <t>Utrzymanie dzieci w placówkach opiekuńczo-wychowawczych</t>
  </si>
  <si>
    <t>Niepubliczne Przedszkole Specjalne "Jeżyk"</t>
  </si>
  <si>
    <t>Niepubliczne Dwuletnie Uzupełniające Liceum Ogólnokształcące dla Dorosłych im. św. Jadwigi Królowej</t>
  </si>
  <si>
    <t xml:space="preserve">Publiczna Zasadnicza Szkoła Zawodowa w Świnoujściu Wojewódzkiego Zakładu Doskonalenia Zawodowego w Szczecinie </t>
  </si>
  <si>
    <t>Organizacja edukacji ekologicznej</t>
  </si>
  <si>
    <t>Samodzielny Publiczny Zakład Opieki Zdrowotnej Zakład Pielęgnacyjno-Opiekuńczy</t>
  </si>
  <si>
    <t xml:space="preserve">  d) wyrównawcza</t>
  </si>
  <si>
    <t xml:space="preserve">      - środki na utrzymanie przepraw promowych</t>
  </si>
  <si>
    <t xml:space="preserve">      - na inwestycje</t>
  </si>
  <si>
    <t>Źródła finansowa-
nia  kosztów kwalifiko-
wanych</t>
  </si>
  <si>
    <t xml:space="preserve">    - pomoc finansowa od innych jednostek samorządowych</t>
  </si>
  <si>
    <t>Tabela nr 6</t>
  </si>
  <si>
    <t xml:space="preserve">Tabela nr 13 </t>
  </si>
  <si>
    <t>Tabela nr 17</t>
  </si>
  <si>
    <t>75075</t>
  </si>
  <si>
    <t>Promocja jednostek samorządu terytorialnego</t>
  </si>
  <si>
    <t>2.15</t>
  </si>
  <si>
    <t>0560</t>
  </si>
  <si>
    <t xml:space="preserve">DOTACJE Z BUDŻETU MIASTA </t>
  </si>
  <si>
    <t>6423</t>
  </si>
  <si>
    <t>6299</t>
  </si>
  <si>
    <t>PODRÓŻE SŁUŻBOWE</t>
  </si>
  <si>
    <t>POZOSTAŁE KOSZTY PROSTE (ubezp. O.C.)</t>
  </si>
  <si>
    <t>OGÓŁEM NAKŁADY</t>
  </si>
  <si>
    <t>SPRZEDAŻ USŁUG</t>
  </si>
  <si>
    <t>bez § 285 i 291</t>
  </si>
  <si>
    <t>kontrakt z NFZ</t>
  </si>
  <si>
    <t>dzierżawa + media</t>
  </si>
  <si>
    <t>opłaty pacjentów pełnopłatne</t>
  </si>
  <si>
    <t>PRZYCHODY FINANSOWE</t>
  </si>
  <si>
    <t>PRZYCHODY OPERACYJNE</t>
  </si>
  <si>
    <t>dotacje - Urząd Miasta</t>
  </si>
  <si>
    <t>PRZYCHODY OGÓŁEM</t>
  </si>
  <si>
    <t>ZYSK/STRATA BRUTTO</t>
  </si>
  <si>
    <t xml:space="preserve"> SAMODZIELNY PUBLICZNY ZAKŁAD OPIEKI ZDROWOTNEJ ZAKŁAD
 PIELĘGNACYJNO-OPIEKUŃCZY</t>
  </si>
  <si>
    <t>RAZEM (GMINA+POWIAT)</t>
  </si>
  <si>
    <t>Szkoła Podstawowa nr 1</t>
  </si>
  <si>
    <t>Szkoła Podstawowa nr 2</t>
  </si>
  <si>
    <t>Szkoła Podstawowa nr 6</t>
  </si>
  <si>
    <t>%
wyk.</t>
  </si>
  <si>
    <t xml:space="preserve">    - produktowa</t>
  </si>
  <si>
    <t>Gimnazjum Publiczne nr 1</t>
  </si>
  <si>
    <t>Gimnazjum Publiczne nr 2</t>
  </si>
  <si>
    <t>Gimnazjum Publiczne nr 3</t>
  </si>
  <si>
    <t>Internat Zespołu Szkół Morskich</t>
  </si>
  <si>
    <t>Zespół Szkół Morskich</t>
  </si>
  <si>
    <t>Zespół Szkół w Świnoujściu</t>
  </si>
  <si>
    <t>Dochody własne</t>
  </si>
  <si>
    <t>Pozostałe usługi</t>
  </si>
  <si>
    <t>tlen medyczny</t>
  </si>
  <si>
    <t>odczynniki rtg</t>
  </si>
  <si>
    <t>środki czystości i dezynfekcyjne</t>
  </si>
  <si>
    <t>2.7</t>
  </si>
  <si>
    <t>2.8</t>
  </si>
  <si>
    <t>2.9</t>
  </si>
  <si>
    <t>materiały diagnostyczne</t>
  </si>
  <si>
    <t>2.10</t>
  </si>
  <si>
    <t>materiały gospodarcze</t>
  </si>
  <si>
    <t>materiały biurowe i książki</t>
  </si>
  <si>
    <t>bielizna i odzież ochronna</t>
  </si>
  <si>
    <t>inne zwiększenia</t>
  </si>
  <si>
    <t>Zakup środków trwałych</t>
  </si>
  <si>
    <t>Przebudowa chodników i jezdni w drogach gminnych</t>
  </si>
  <si>
    <t>Zagospodarowanie Basenu Północnego na port jachtowy</t>
  </si>
  <si>
    <t>Budowa Archiwum Miejskiego w ramach przebudowy budynku przy ul. Monte Cassino 22</t>
  </si>
  <si>
    <t>energia cieplna</t>
  </si>
  <si>
    <t>transport</t>
  </si>
  <si>
    <t>opłaty pocztowe i telekomunikacyjne</t>
  </si>
  <si>
    <t>usługi informatyczne</t>
  </si>
  <si>
    <t>dzierżawa butli</t>
  </si>
  <si>
    <t>monitoring obiektów</t>
  </si>
  <si>
    <t>obsługa rozprężalni tlenu</t>
  </si>
  <si>
    <t>Budowa systemu parkingowego w mieście</t>
  </si>
  <si>
    <t>wg Rb50</t>
  </si>
  <si>
    <t>wykonanie</t>
  </si>
  <si>
    <t xml:space="preserve">    - zwrot dotacji pobranej w nadmiernej wysokości</t>
  </si>
  <si>
    <t>34.</t>
  </si>
  <si>
    <t>DOTACJE BIEŻĄCE</t>
  </si>
  <si>
    <t>Termin 
realizacji</t>
  </si>
  <si>
    <t>30.</t>
  </si>
  <si>
    <t>31.</t>
  </si>
  <si>
    <t>4.10</t>
  </si>
  <si>
    <t>Inne jednostki</t>
  </si>
  <si>
    <t>§623</t>
  </si>
  <si>
    <t>§624</t>
  </si>
  <si>
    <t>§657</t>
  </si>
  <si>
    <t>3. Dotacje celowe na zadania własne i zlecone miasta realizowane przez podmioty należące i nienależące do sektora finansów publicznych (§2320 - inne jst, §2720-nie zaliczane do fp, §2810 - fundacje, § 2820 - stowarzyszenia, §2830 - pozostałe nie zaliczane do fp)</t>
  </si>
  <si>
    <t>§2850</t>
  </si>
  <si>
    <t>§282 i 283</t>
  </si>
  <si>
    <t>wg Rb (bieżące bez §291)</t>
  </si>
  <si>
    <t>wg Rb (majątkowe bez §...)</t>
  </si>
  <si>
    <t>bezosobowy fundusz płac</t>
  </si>
  <si>
    <t>7.1</t>
  </si>
  <si>
    <t>7.2</t>
  </si>
  <si>
    <t>6298</t>
  </si>
  <si>
    <t xml:space="preserve">Drogi publiczne krajowe </t>
  </si>
  <si>
    <t>Społeczne Liceum Ogólnokształcące Społecznego Towarzystwa Szkoły Gimnazjalnej</t>
  </si>
  <si>
    <t>I Liceum Społeczne Fundacji LOGOS</t>
  </si>
  <si>
    <t>8.3</t>
  </si>
  <si>
    <t>8.4</t>
  </si>
  <si>
    <t>pozostałe podatki i opłaty</t>
  </si>
  <si>
    <t>10.1</t>
  </si>
  <si>
    <t>krajowe</t>
  </si>
  <si>
    <t>10.2</t>
  </si>
  <si>
    <t>ryczałty za używanie prywatnych samochodów</t>
  </si>
  <si>
    <t>działalność gospodarcza</t>
  </si>
  <si>
    <t>KOSZTY FINANSOWE</t>
  </si>
  <si>
    <t>KOSZTY OPERACYJNE</t>
  </si>
  <si>
    <t>ZYSKI NADZWYCZAJNE</t>
  </si>
  <si>
    <t>STRATY NADZWYCZAJNE</t>
  </si>
  <si>
    <t>Dotacje celowe otrzymane z budżetu państwa na inwestycje i zakupy inwestycyjne z zakresu administracji rządowej oraz inne zadania zlecone ustawami realizowane przez powiat</t>
  </si>
  <si>
    <t>Dotacje celowe otrzymane z budżetu państwa na realizację bieżących zadań własnych powiatu</t>
  </si>
  <si>
    <t>KOSZTY OGÓŁEM</t>
  </si>
  <si>
    <t>ZMIANA STANU PRODUKTÓW</t>
  </si>
  <si>
    <t>ZYSK/STRATA NETTO</t>
  </si>
  <si>
    <t>1</t>
  </si>
  <si>
    <t xml:space="preserve">Wydatki majątkowe </t>
  </si>
  <si>
    <t>Otrzymane dotacje</t>
  </si>
  <si>
    <t>Poniesione wydatki</t>
  </si>
  <si>
    <t>Grzywny i inne kary pieniężne od osób prawnych i innych jednostek organizacyjnych</t>
  </si>
  <si>
    <t>0580</t>
  </si>
  <si>
    <t>Grzywny, mandaty i inne kary pieniężne od osób fizycznych</t>
  </si>
  <si>
    <t>Koszty kwalifiko-wane w ramach projektu</t>
  </si>
  <si>
    <t>wydatki majątkowe własne</t>
  </si>
  <si>
    <t>Przebudowa przystani jachtowej w Łunowie</t>
  </si>
  <si>
    <t>35.</t>
  </si>
  <si>
    <t>wydatki majątkowe zlecone</t>
  </si>
  <si>
    <t>0390</t>
  </si>
  <si>
    <t>Placówki opiekuńczo-wychowawcze</t>
  </si>
  <si>
    <t>nie może być ujemna!</t>
  </si>
  <si>
    <t>2690</t>
  </si>
  <si>
    <t xml:space="preserve">    - uzdrowiskowa</t>
  </si>
  <si>
    <t>Urzędy naczelnych organów władzy państwowej, kontroli i ochrony prawa oraz sądownictwa</t>
  </si>
  <si>
    <t>Rb 28S</t>
  </si>
  <si>
    <t>Przedszkola Miejskie</t>
  </si>
  <si>
    <t>Miejska Biblioteka Publiczna</t>
  </si>
  <si>
    <t>Muzeum Rybołówstwa Morskiego</t>
  </si>
  <si>
    <t>Rozchody</t>
  </si>
  <si>
    <t>Źródła dochodów</t>
  </si>
  <si>
    <t>2. Opłaty</t>
  </si>
  <si>
    <t>Pozostałe zadania w zakresie polityki społecznej</t>
  </si>
  <si>
    <t xml:space="preserve">  </t>
  </si>
  <si>
    <t>Dochody od osób prawnych, od osób fizycznych i od innych jednostek nieposiadających osobowości prawnej oraz wydatki związane z ich poborem</t>
  </si>
  <si>
    <t>Wytwarzanie i zaopatrywanie w energię elektryczną, gaz i wodę</t>
  </si>
  <si>
    <t>II. Subwencje</t>
  </si>
  <si>
    <t xml:space="preserve">    - od nieruchomości </t>
  </si>
  <si>
    <t xml:space="preserve">    - rolny</t>
  </si>
  <si>
    <t xml:space="preserve">    - leśny</t>
  </si>
  <si>
    <t xml:space="preserve">    - od środków transportowych</t>
  </si>
  <si>
    <t xml:space="preserve">    - od spadków i darowizn</t>
  </si>
  <si>
    <t xml:space="preserve">    - od czynności cywilnoprawnych</t>
  </si>
  <si>
    <t xml:space="preserve">    - skarbowa</t>
  </si>
  <si>
    <t xml:space="preserve">    - komunikacyjna</t>
  </si>
  <si>
    <t>materiały medyczne wielokrotnego użycia</t>
  </si>
  <si>
    <t>Tabela nr 7</t>
  </si>
  <si>
    <t xml:space="preserve"> DOCHODY  MAJĄTKOWE WEDŁUG DZIAŁÓW, ROZDZIAŁÓW I PARAGRAFÓW KLASYFIKACJI BUDŻETOWEJ</t>
  </si>
  <si>
    <t>DOCHODY MAJĄTKOWE GMINY</t>
  </si>
  <si>
    <t>DOCHODY MAJĄTKOWE POWIATU</t>
  </si>
  <si>
    <t>OGÓŁEM DOCHODY MAJĄTKOWE (GMINA + POWIAT)</t>
  </si>
  <si>
    <t xml:space="preserve">    - eksploatacyjna</t>
  </si>
  <si>
    <t>POWIAT</t>
  </si>
  <si>
    <t xml:space="preserve">    - za zezwolenia na sprzedaż alkoholu</t>
  </si>
  <si>
    <t xml:space="preserve">    - za koncesje i licencje</t>
  </si>
  <si>
    <t xml:space="preserve">    - w podatku dochodowym od osób fizycznych</t>
  </si>
  <si>
    <t xml:space="preserve">    - w podatku dochodowym od osób prawnych</t>
  </si>
  <si>
    <t>Różnica</t>
  </si>
  <si>
    <t xml:space="preserve">    - wpływy z usług</t>
  </si>
  <si>
    <t xml:space="preserve">     RAZEM I+II+III</t>
  </si>
  <si>
    <t>Zespół Szkół Morskich / Urząd Miasta (WIM)</t>
  </si>
  <si>
    <t xml:space="preserve">    - środki pozyskane z innych źródeł</t>
  </si>
  <si>
    <t xml:space="preserve">  a) oświatowa</t>
  </si>
  <si>
    <t xml:space="preserve">  b) uzupełnienie subwencji</t>
  </si>
  <si>
    <t xml:space="preserve">        - powiat</t>
  </si>
  <si>
    <t xml:space="preserve">        - gmina</t>
  </si>
  <si>
    <t>ZMIANY DOKONANE W PRZYCHODACH I ROZCHODACH</t>
  </si>
  <si>
    <t xml:space="preserve">       - powiat</t>
  </si>
  <si>
    <t xml:space="preserve">       - gmina</t>
  </si>
  <si>
    <t xml:space="preserve">  b) na zadania z zakresu administracji rządowej</t>
  </si>
  <si>
    <t>2701</t>
  </si>
  <si>
    <t>85324</t>
  </si>
  <si>
    <t>Państwowy Fundusz Rehabilitacji Osób Niepełnosprawnych</t>
  </si>
  <si>
    <t>Nr uchwały
 lub zarządzenia</t>
  </si>
  <si>
    <t>75818</t>
  </si>
  <si>
    <r>
      <t xml:space="preserve">Wynagrodzenia i składki od nich naliczane </t>
    </r>
    <r>
      <rPr>
        <sz val="10"/>
        <rFont val="Times New Roman"/>
        <family val="1"/>
      </rPr>
      <t>(wraz ze składkami od świadczeń)</t>
    </r>
  </si>
  <si>
    <t>Rezerwy ogólne i celowe</t>
  </si>
  <si>
    <t>85311</t>
  </si>
  <si>
    <t>Wyszczególnienie jednostek</t>
  </si>
  <si>
    <t xml:space="preserve">Edukacyjny plac zabaw na terenie Parku Zdrojowego w Świnoujściu w ramach projektu "Morze Bałtyckie- łączące wyspy, kraje kultury i regiony przyrodnicze -  polsko-niemiecki projekt edukacji ekologicznej </t>
  </si>
  <si>
    <t>Liceum Ogólnokształcące z Oddziałami Integracyjnymi</t>
  </si>
  <si>
    <t>Rehabilitacja zawodowa i społeczna osób niepełnosprawnych</t>
  </si>
  <si>
    <t>Nr uchwały 
lub zarządzenia</t>
  </si>
  <si>
    <t>75406</t>
  </si>
  <si>
    <t>Straż Graniczna</t>
  </si>
  <si>
    <t>60004</t>
  </si>
  <si>
    <t>Lokalny transport zbiorowy</t>
  </si>
  <si>
    <t>0928</t>
  </si>
  <si>
    <t>DOCHODY-WYDATKI</t>
  </si>
  <si>
    <t>!!! NIE MOŻE BYĆ MINUS</t>
  </si>
  <si>
    <t>Środki na dofinansowanie własnych zadań 
bieżących gmin (związków gmin), powiatów (związków powiatów), samorządów województw, pozyskane z innych źródeł
Finansowanie programów ze środków bezzwrotnych pochodzących z Unii Europejskiej</t>
  </si>
  <si>
    <t>/w zł/</t>
  </si>
  <si>
    <t>Rozdział</t>
  </si>
  <si>
    <t>Treść</t>
  </si>
  <si>
    <t>Plan</t>
  </si>
  <si>
    <t>Wykonanie</t>
  </si>
  <si>
    <t>%</t>
  </si>
  <si>
    <t>010</t>
  </si>
  <si>
    <t>Pozostała działalność</t>
  </si>
  <si>
    <t>020</t>
  </si>
  <si>
    <t>02095</t>
  </si>
  <si>
    <t>500</t>
  </si>
  <si>
    <t>630/    750</t>
  </si>
  <si>
    <t>63003  75095</t>
  </si>
  <si>
    <t>Regionalny Program Operacyjny Województwa Zachodniopomorskiego na lata 2007-2013</t>
  </si>
  <si>
    <t xml:space="preserve">Zespół Szkół Morskich </t>
  </si>
  <si>
    <t>Budowa transgranicznego połączenia Świnoujście – Kamminke na wyspie Uznam (Budowa ciągu pieszo–rowerowego wzdłuż ulicy Krzywej)</t>
  </si>
  <si>
    <t>30.06.2010 r.</t>
  </si>
  <si>
    <t>Przebudowa ulicy Zalewowej</t>
  </si>
  <si>
    <t>Budowa budynków mieszkalnych komunalnych przy ul. Grunwaldzkiej w Świnoujściu</t>
  </si>
  <si>
    <t>Rozbudowa cmentarza komunalnego w Świnoujściu</t>
  </si>
  <si>
    <t xml:space="preserve"> 30.06.2010 r</t>
  </si>
  <si>
    <t>Działania z zakresu przeciwdziałania uzależnieniom, w tym wykonanie  aneksów kuchennych oraz wyposażenie specjalistycznych placówek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</si>
</sst>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0.0"/>
    <numFmt numFmtId="170" formatCode="0.0000"/>
    <numFmt numFmtId="171" formatCode="0.000"/>
    <numFmt numFmtId="172" formatCode="#,##0.0\ _z_ł"/>
    <numFmt numFmtId="173" formatCode="0.00000"/>
    <numFmt numFmtId="174" formatCode="#,##0.0"/>
    <numFmt numFmtId="175" formatCode="_-* #,##0\ _z_ł_-;\-* #,##0\ _z_ł_-;_-* &quot;-&quot;??\ _z_ł_-;_-@_-"/>
    <numFmt numFmtId="176" formatCode="#,##0.00_ ;\-#,##0.00\ "/>
    <numFmt numFmtId="177" formatCode="#,##0.00\ &quot;zł&quot;"/>
    <numFmt numFmtId="178" formatCode="#,##0.000"/>
    <numFmt numFmtId="179" formatCode="#,##0.0000"/>
    <numFmt numFmtId="180" formatCode="#,##0.000_ ;\-#,##0.000\ "/>
    <numFmt numFmtId="181" formatCode="#,##0.0_ ;\-#,##0.0\ "/>
    <numFmt numFmtId="182" formatCode="#,##0.0000_ ;\-#,##0.0000\ 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_-* #,##0.0\ _z_ł_-;\-* #,##0.0\ _z_ł_-;_-* &quot;-&quot;??\ _z_ł_-;_-@_-"/>
    <numFmt numFmtId="187" formatCode="_-* #,##0.000\ &quot;zł&quot;_-;\-* #,##0.000\ &quot;zł&quot;_-;_-* &quot;-&quot;??\ &quot;zł&quot;_-;_-@_-"/>
    <numFmt numFmtId="188" formatCode="_-* #,##0.0\ &quot;zł&quot;_-;\-* #,##0.0\ &quot;zł&quot;_-;_-* &quot;-&quot;??\ &quot;zł&quot;_-;_-@_-"/>
    <numFmt numFmtId="189" formatCode="_-* #,##0\ &quot;zł&quot;_-;\-* #,##0\ &quot;zł&quot;_-;_-* &quot;-&quot;??\ &quot;zł&quot;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_-* #,##0.000\ _z_ł_-;\-* #,##0.000\ _z_ł_-;_-* &quot;-&quot;???\ _z_ł_-;_-@_-"/>
    <numFmt numFmtId="195" formatCode="_-* #,##0.0\ _z_ł_-;\-* #,##0.0\ _z_ł_-;_-* &quot;-&quot;?\ _z_ł_-;_-@_-"/>
    <numFmt numFmtId="196" formatCode="0.000000"/>
    <numFmt numFmtId="197" formatCode="0.00000000"/>
    <numFmt numFmtId="198" formatCode="0.0000000"/>
    <numFmt numFmtId="199" formatCode="0.000000000"/>
    <numFmt numFmtId="200" formatCode="0.0000000000"/>
    <numFmt numFmtId="201" formatCode="0.00000000000"/>
    <numFmt numFmtId="202" formatCode="0.000000000000"/>
    <numFmt numFmtId="203" formatCode="#,##0.00\ _z_ł"/>
    <numFmt numFmtId="204" formatCode="0.0%"/>
    <numFmt numFmtId="205" formatCode="_-* #,##0\ _z_ł_-;\-* #,##0\ _z_ł_-;_-* \-??\ _z_ł_-;_-@_-"/>
    <numFmt numFmtId="206" formatCode="_-* #,##0.00\ _z_ł_-;\-* #,##0.00\ _z_ł_-;_-* \-??\ _z_ł_-;_-@_-"/>
  </numFmts>
  <fonts count="51">
    <font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10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b/>
      <i/>
      <sz val="8"/>
      <name val="Times New Roman"/>
      <family val="1"/>
    </font>
    <font>
      <i/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10"/>
      <name val="Times New Roman"/>
      <family val="1"/>
    </font>
    <font>
      <i/>
      <sz val="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</cellStyleXfs>
  <cellXfs count="160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0" borderId="0" xfId="0" applyFont="1" applyFill="1" applyAlignment="1">
      <alignment vertical="center"/>
    </xf>
    <xf numFmtId="4" fontId="6" fillId="20" borderId="11" xfId="0" applyNumberFormat="1" applyFont="1" applyFill="1" applyBorder="1" applyAlignment="1">
      <alignment vertical="center"/>
    </xf>
    <xf numFmtId="4" fontId="6" fillId="2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" fontId="6" fillId="0" borderId="11" xfId="0" applyNumberFormat="1" applyFont="1" applyBorder="1" applyAlignment="1">
      <alignment vertical="center"/>
    </xf>
    <xf numFmtId="174" fontId="6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4" fontId="27" fillId="0" borderId="11" xfId="0" applyNumberFormat="1" applyFont="1" applyBorder="1" applyAlignment="1">
      <alignment horizontal="right" vertical="center"/>
    </xf>
    <xf numFmtId="174" fontId="27" fillId="0" borderId="12" xfId="0" applyNumberFormat="1" applyFont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14" xfId="0" applyFont="1" applyBorder="1" applyAlignment="1">
      <alignment horizontal="center" vertical="center"/>
    </xf>
    <xf numFmtId="49" fontId="28" fillId="0" borderId="15" xfId="0" applyNumberFormat="1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right" vertical="center"/>
    </xf>
    <xf numFmtId="174" fontId="28" fillId="0" borderId="17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20" borderId="18" xfId="0" applyFont="1" applyFill="1" applyBorder="1" applyAlignment="1">
      <alignment horizontal="center" vertical="center"/>
    </xf>
    <xf numFmtId="0" fontId="26" fillId="20" borderId="19" xfId="0" applyFont="1" applyFill="1" applyBorder="1" applyAlignment="1">
      <alignment horizontal="center" vertical="center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9" fillId="20" borderId="21" xfId="0" applyFont="1" applyFill="1" applyBorder="1" applyAlignment="1">
      <alignment horizontal="center" vertical="center"/>
    </xf>
    <xf numFmtId="0" fontId="29" fillId="20" borderId="16" xfId="0" applyFont="1" applyFill="1" applyBorder="1" applyAlignment="1">
      <alignment horizontal="center" vertical="center"/>
    </xf>
    <xf numFmtId="0" fontId="29" fillId="20" borderId="17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22" borderId="22" xfId="0" applyFont="1" applyFill="1" applyBorder="1" applyAlignment="1">
      <alignment horizontal="center" vertical="center"/>
    </xf>
    <xf numFmtId="4" fontId="26" fillId="22" borderId="19" xfId="0" applyNumberFormat="1" applyFont="1" applyFill="1" applyBorder="1" applyAlignment="1">
      <alignment horizontal="right" vertical="center"/>
    </xf>
    <xf numFmtId="174" fontId="26" fillId="22" borderId="20" xfId="0" applyNumberFormat="1" applyFont="1" applyFill="1" applyBorder="1" applyAlignment="1">
      <alignment horizontal="right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center" vertical="center"/>
    </xf>
    <xf numFmtId="4" fontId="27" fillId="0" borderId="24" xfId="0" applyNumberFormat="1" applyFont="1" applyBorder="1" applyAlignment="1">
      <alignment horizontal="right" vertical="center"/>
    </xf>
    <xf numFmtId="174" fontId="27" fillId="0" borderId="25" xfId="0" applyNumberFormat="1" applyFont="1" applyBorder="1" applyAlignment="1">
      <alignment horizontal="right" vertical="center"/>
    </xf>
    <xf numFmtId="4" fontId="28" fillId="0" borderId="14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horizontal="center" vertical="center"/>
    </xf>
    <xf numFmtId="174" fontId="28" fillId="0" borderId="26" xfId="0" applyNumberFormat="1" applyFont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6" fillId="20" borderId="27" xfId="0" applyNumberFormat="1" applyFont="1" applyFill="1" applyBorder="1" applyAlignment="1">
      <alignment vertical="center"/>
    </xf>
    <xf numFmtId="4" fontId="6" fillId="0" borderId="27" xfId="0" applyNumberFormat="1" applyFont="1" applyBorder="1" applyAlignment="1">
      <alignment vertical="center"/>
    </xf>
    <xf numFmtId="0" fontId="26" fillId="0" borderId="0" xfId="57" applyFont="1" applyAlignment="1">
      <alignment horizontal="center" vertical="center" wrapText="1"/>
      <protection/>
    </xf>
    <xf numFmtId="0" fontId="27" fillId="0" borderId="0" xfId="57" applyFont="1" applyAlignment="1">
      <alignment vertical="center"/>
      <protection/>
    </xf>
    <xf numFmtId="0" fontId="26" fillId="0" borderId="0" xfId="57" applyFont="1" applyAlignment="1">
      <alignment horizontal="right" vertical="center"/>
      <protection/>
    </xf>
    <xf numFmtId="0" fontId="27" fillId="0" borderId="0" xfId="57" applyFont="1" applyAlignment="1">
      <alignment horizontal="center" vertical="center"/>
      <protection/>
    </xf>
    <xf numFmtId="0" fontId="27" fillId="0" borderId="0" xfId="57" applyFont="1" applyAlignment="1">
      <alignment horizontal="right" vertical="center"/>
      <protection/>
    </xf>
    <xf numFmtId="0" fontId="27" fillId="0" borderId="0" xfId="57" applyFont="1" applyAlignment="1">
      <alignment vertical="center" wrapText="1"/>
      <protection/>
    </xf>
    <xf numFmtId="0" fontId="26" fillId="21" borderId="11" xfId="57" applyFont="1" applyFill="1" applyBorder="1" applyAlignment="1">
      <alignment horizontal="center" vertical="center"/>
      <protection/>
    </xf>
    <xf numFmtId="0" fontId="26" fillId="21" borderId="12" xfId="57" applyFont="1" applyFill="1" applyBorder="1" applyAlignment="1">
      <alignment horizontal="center" vertical="center"/>
      <protection/>
    </xf>
    <xf numFmtId="0" fontId="26" fillId="0" borderId="0" xfId="57" applyFont="1" applyAlignment="1">
      <alignment vertical="center"/>
      <protection/>
    </xf>
    <xf numFmtId="0" fontId="29" fillId="21" borderId="10" xfId="57" applyFont="1" applyFill="1" applyBorder="1" applyAlignment="1">
      <alignment horizontal="center" vertical="center" wrapText="1"/>
      <protection/>
    </xf>
    <xf numFmtId="0" fontId="29" fillId="21" borderId="11" xfId="57" applyFont="1" applyFill="1" applyBorder="1" applyAlignment="1">
      <alignment horizontal="center" vertical="center" wrapText="1"/>
      <protection/>
    </xf>
    <xf numFmtId="0" fontId="29" fillId="21" borderId="11" xfId="57" applyFont="1" applyFill="1" applyBorder="1" applyAlignment="1">
      <alignment horizontal="center" vertical="center"/>
      <protection/>
    </xf>
    <xf numFmtId="0" fontId="29" fillId="21" borderId="12" xfId="57" applyFont="1" applyFill="1" applyBorder="1" applyAlignment="1">
      <alignment horizontal="center" vertical="center"/>
      <protection/>
    </xf>
    <xf numFmtId="0" fontId="29" fillId="0" borderId="0" xfId="57" applyFont="1" applyAlignment="1">
      <alignment vertical="center"/>
      <protection/>
    </xf>
    <xf numFmtId="0" fontId="27" fillId="0" borderId="10" xfId="57" applyFont="1" applyFill="1" applyBorder="1" applyAlignment="1">
      <alignment horizontal="center" vertical="center"/>
      <protection/>
    </xf>
    <xf numFmtId="49" fontId="27" fillId="0" borderId="11" xfId="57" applyNumberFormat="1" applyFont="1" applyFill="1" applyBorder="1" applyAlignment="1">
      <alignment horizontal="center" vertical="center"/>
      <protection/>
    </xf>
    <xf numFmtId="4" fontId="27" fillId="0" borderId="11" xfId="57" applyNumberFormat="1" applyFont="1" applyFill="1" applyBorder="1" applyAlignment="1">
      <alignment vertical="center"/>
      <protection/>
    </xf>
    <xf numFmtId="4" fontId="27" fillId="0" borderId="12" xfId="57" applyNumberFormat="1" applyFont="1" applyFill="1" applyBorder="1" applyAlignment="1">
      <alignment vertical="center"/>
      <protection/>
    </xf>
    <xf numFmtId="0" fontId="27" fillId="20" borderId="0" xfId="57" applyFont="1" applyFill="1" applyAlignment="1">
      <alignment vertical="center"/>
      <protection/>
    </xf>
    <xf numFmtId="4" fontId="27" fillId="20" borderId="0" xfId="57" applyNumberFormat="1" applyFont="1" applyFill="1" applyAlignment="1">
      <alignment vertical="center"/>
      <protection/>
    </xf>
    <xf numFmtId="0" fontId="27" fillId="0" borderId="28" xfId="57" applyFont="1" applyFill="1" applyBorder="1" applyAlignment="1">
      <alignment horizontal="center" vertical="center"/>
      <protection/>
    </xf>
    <xf numFmtId="0" fontId="27" fillId="0" borderId="0" xfId="57" applyFont="1" applyFill="1" applyAlignment="1">
      <alignment vertical="center"/>
      <protection/>
    </xf>
    <xf numFmtId="4" fontId="27" fillId="0" borderId="27" xfId="57" applyNumberFormat="1" applyFont="1" applyFill="1" applyBorder="1" applyAlignment="1">
      <alignment vertical="center"/>
      <protection/>
    </xf>
    <xf numFmtId="4" fontId="26" fillId="22" borderId="11" xfId="57" applyNumberFormat="1" applyFont="1" applyFill="1" applyBorder="1" applyAlignment="1">
      <alignment vertical="center"/>
      <protection/>
    </xf>
    <xf numFmtId="0" fontId="26" fillId="20" borderId="0" xfId="57" applyFont="1" applyFill="1" applyAlignment="1">
      <alignment vertical="center"/>
      <protection/>
    </xf>
    <xf numFmtId="0" fontId="26" fillId="20" borderId="11" xfId="57" applyFont="1" applyFill="1" applyBorder="1" applyAlignment="1">
      <alignment horizontal="center" vertical="center"/>
      <protection/>
    </xf>
    <xf numFmtId="0" fontId="26" fillId="20" borderId="12" xfId="57" applyFont="1" applyFill="1" applyBorder="1" applyAlignment="1">
      <alignment horizontal="center" vertical="center"/>
      <protection/>
    </xf>
    <xf numFmtId="0" fontId="26" fillId="20" borderId="10" xfId="57" applyFont="1" applyFill="1" applyBorder="1" applyAlignment="1">
      <alignment horizontal="center" vertical="center" wrapText="1"/>
      <protection/>
    </xf>
    <xf numFmtId="0" fontId="26" fillId="20" borderId="11" xfId="57" applyFont="1" applyFill="1" applyBorder="1" applyAlignment="1">
      <alignment horizontal="center" vertical="center" wrapText="1"/>
      <protection/>
    </xf>
    <xf numFmtId="0" fontId="27" fillId="0" borderId="10" xfId="57" applyFont="1" applyBorder="1" applyAlignment="1">
      <alignment horizontal="center" vertical="center"/>
      <protection/>
    </xf>
    <xf numFmtId="49" fontId="27" fillId="0" borderId="11" xfId="57" applyNumberFormat="1" applyFont="1" applyBorder="1" applyAlignment="1">
      <alignment horizontal="center" vertical="center"/>
      <protection/>
    </xf>
    <xf numFmtId="4" fontId="27" fillId="0" borderId="11" xfId="57" applyNumberFormat="1" applyFont="1" applyBorder="1" applyAlignment="1">
      <alignment vertical="center"/>
      <protection/>
    </xf>
    <xf numFmtId="4" fontId="27" fillId="0" borderId="12" xfId="57" applyNumberFormat="1" applyFont="1" applyBorder="1" applyAlignment="1">
      <alignment vertical="center"/>
      <protection/>
    </xf>
    <xf numFmtId="4" fontId="26" fillId="22" borderId="12" xfId="57" applyNumberFormat="1" applyFont="1" applyFill="1" applyBorder="1" applyAlignment="1">
      <alignment vertical="center"/>
      <protection/>
    </xf>
    <xf numFmtId="4" fontId="27" fillId="0" borderId="29" xfId="57" applyNumberFormat="1" applyFont="1" applyFill="1" applyBorder="1" applyAlignment="1">
      <alignment vertical="center"/>
      <protection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/>
    </xf>
    <xf numFmtId="4" fontId="6" fillId="24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4" fontId="6" fillId="17" borderId="0" xfId="0" applyNumberFormat="1" applyFont="1" applyFill="1" applyAlignment="1">
      <alignment/>
    </xf>
    <xf numFmtId="0" fontId="6" fillId="17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169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4" fontId="6" fillId="0" borderId="30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 wrapText="1"/>
    </xf>
    <xf numFmtId="174" fontId="6" fillId="0" borderId="31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4" fontId="6" fillId="20" borderId="13" xfId="0" applyNumberFormat="1" applyFont="1" applyFill="1" applyBorder="1" applyAlignment="1">
      <alignment vertical="center"/>
    </xf>
    <xf numFmtId="4" fontId="6" fillId="20" borderId="32" xfId="0" applyNumberFormat="1" applyFont="1" applyFill="1" applyBorder="1" applyAlignment="1">
      <alignment vertical="center"/>
    </xf>
    <xf numFmtId="4" fontId="6" fillId="20" borderId="31" xfId="0" applyNumberFormat="1" applyFont="1" applyFill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0" fontId="30" fillId="0" borderId="0" xfId="56" applyFont="1" applyAlignment="1">
      <alignment horizontal="center" vertical="center"/>
      <protection/>
    </xf>
    <xf numFmtId="0" fontId="30" fillId="0" borderId="0" xfId="56" applyFont="1" applyAlignment="1">
      <alignment vertical="center"/>
      <protection/>
    </xf>
    <xf numFmtId="0" fontId="6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vertical="center" wrapText="1"/>
      <protection/>
    </xf>
    <xf numFmtId="43" fontId="6" fillId="0" borderId="0" xfId="42" applyFont="1" applyAlignment="1">
      <alignment vertical="center" wrapText="1"/>
    </xf>
    <xf numFmtId="0" fontId="7" fillId="0" borderId="0" xfId="55" applyFont="1" applyAlignment="1">
      <alignment vertical="center" wrapText="1"/>
      <protection/>
    </xf>
    <xf numFmtId="0" fontId="6" fillId="0" borderId="35" xfId="55" applyFont="1" applyBorder="1" applyAlignment="1">
      <alignment horizontal="center" vertical="center" wrapText="1"/>
      <protection/>
    </xf>
    <xf numFmtId="0" fontId="6" fillId="0" borderId="36" xfId="55" applyFont="1" applyBorder="1" applyAlignment="1">
      <alignment vertical="center" wrapText="1"/>
      <protection/>
    </xf>
    <xf numFmtId="43" fontId="6" fillId="0" borderId="36" xfId="42" applyFont="1" applyBorder="1" applyAlignment="1">
      <alignment vertical="center" wrapText="1"/>
    </xf>
    <xf numFmtId="169" fontId="6" fillId="0" borderId="37" xfId="55" applyNumberFormat="1" applyFont="1" applyBorder="1" applyAlignment="1">
      <alignment vertical="center" wrapText="1"/>
      <protection/>
    </xf>
    <xf numFmtId="0" fontId="6" fillId="0" borderId="32" xfId="55" applyFont="1" applyBorder="1" applyAlignment="1">
      <alignment vertical="center" wrapText="1"/>
      <protection/>
    </xf>
    <xf numFmtId="43" fontId="6" fillId="0" borderId="32" xfId="42" applyFont="1" applyBorder="1" applyAlignment="1">
      <alignment vertical="center" wrapText="1"/>
    </xf>
    <xf numFmtId="169" fontId="6" fillId="0" borderId="31" xfId="55" applyNumberFormat="1" applyFont="1" applyBorder="1" applyAlignment="1">
      <alignment vertical="center" wrapText="1"/>
      <protection/>
    </xf>
    <xf numFmtId="0" fontId="6" fillId="0" borderId="38" xfId="55" applyFont="1" applyBorder="1" applyAlignment="1">
      <alignment horizontal="center" vertical="center" wrapText="1"/>
      <protection/>
    </xf>
    <xf numFmtId="43" fontId="7" fillId="22" borderId="27" xfId="42" applyFont="1" applyFill="1" applyBorder="1" applyAlignment="1">
      <alignment vertical="center" wrapText="1"/>
    </xf>
    <xf numFmtId="43" fontId="7" fillId="0" borderId="0" xfId="55" applyNumberFormat="1" applyFont="1" applyAlignment="1">
      <alignment vertical="center" wrapText="1"/>
      <protection/>
    </xf>
    <xf numFmtId="0" fontId="7" fillId="22" borderId="10" xfId="55" applyFont="1" applyFill="1" applyBorder="1" applyAlignment="1">
      <alignment horizontal="center" vertical="center" wrapText="1"/>
      <protection/>
    </xf>
    <xf numFmtId="0" fontId="7" fillId="22" borderId="11" xfId="55" applyFont="1" applyFill="1" applyBorder="1" applyAlignment="1">
      <alignment vertical="center" wrapText="1"/>
      <protection/>
    </xf>
    <xf numFmtId="43" fontId="7" fillId="22" borderId="11" xfId="42" applyFont="1" applyFill="1" applyBorder="1" applyAlignment="1">
      <alignment vertical="center" wrapText="1"/>
    </xf>
    <xf numFmtId="169" fontId="7" fillId="22" borderId="12" xfId="55" applyNumberFormat="1" applyFont="1" applyFill="1" applyBorder="1" applyAlignment="1">
      <alignment horizontal="right" vertical="center" wrapText="1"/>
      <protection/>
    </xf>
    <xf numFmtId="43" fontId="6" fillId="0" borderId="0" xfId="55" applyNumberFormat="1" applyFont="1" applyAlignment="1">
      <alignment vertical="center" wrapText="1"/>
      <protection/>
    </xf>
    <xf numFmtId="169" fontId="7" fillId="22" borderId="17" xfId="55" applyNumberFormat="1" applyFont="1" applyFill="1" applyBorder="1" applyAlignment="1">
      <alignment horizontal="right" vertical="center" wrapText="1"/>
      <protection/>
    </xf>
    <xf numFmtId="49" fontId="27" fillId="0" borderId="0" xfId="0" applyNumberFormat="1" applyFont="1" applyAlignment="1">
      <alignment horizontal="center" vertical="center"/>
    </xf>
    <xf numFmtId="49" fontId="27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169" fontId="27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9" fontId="26" fillId="20" borderId="18" xfId="0" applyNumberFormat="1" applyFont="1" applyFill="1" applyBorder="1" applyAlignment="1">
      <alignment horizontal="center" vertical="center"/>
    </xf>
    <xf numFmtId="49" fontId="26" fillId="20" borderId="19" xfId="0" applyNumberFormat="1" applyFont="1" applyFill="1" applyBorder="1" applyAlignment="1">
      <alignment horizontal="center" vertical="center"/>
    </xf>
    <xf numFmtId="0" fontId="26" fillId="20" borderId="39" xfId="0" applyFont="1" applyFill="1" applyBorder="1" applyAlignment="1">
      <alignment horizontal="center" vertical="center"/>
    </xf>
    <xf numFmtId="0" fontId="26" fillId="20" borderId="19" xfId="0" applyFont="1" applyFill="1" applyBorder="1" applyAlignment="1">
      <alignment horizontal="center" vertical="center"/>
    </xf>
    <xf numFmtId="169" fontId="26" fillId="20" borderId="2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9" fillId="20" borderId="21" xfId="0" applyNumberFormat="1" applyFont="1" applyFill="1" applyBorder="1" applyAlignment="1">
      <alignment horizontal="center" vertical="center"/>
    </xf>
    <xf numFmtId="49" fontId="29" fillId="20" borderId="16" xfId="0" applyNumberFormat="1" applyFont="1" applyFill="1" applyBorder="1" applyAlignment="1">
      <alignment horizontal="center" vertical="center"/>
    </xf>
    <xf numFmtId="0" fontId="29" fillId="20" borderId="40" xfId="0" applyFont="1" applyFill="1" applyBorder="1" applyAlignment="1">
      <alignment horizontal="center" vertical="center"/>
    </xf>
    <xf numFmtId="0" fontId="29" fillId="20" borderId="16" xfId="0" applyFont="1" applyFill="1" applyBorder="1" applyAlignment="1">
      <alignment horizontal="center" vertical="center"/>
    </xf>
    <xf numFmtId="1" fontId="29" fillId="20" borderId="17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4" fontId="26" fillId="22" borderId="19" xfId="0" applyNumberFormat="1" applyFont="1" applyFill="1" applyBorder="1" applyAlignment="1">
      <alignment horizontal="right" vertical="center"/>
    </xf>
    <xf numFmtId="169" fontId="26" fillId="22" borderId="20" xfId="0" applyNumberFormat="1" applyFont="1" applyFill="1" applyBorder="1" applyAlignment="1">
      <alignment horizontal="right" vertical="center"/>
    </xf>
    <xf numFmtId="0" fontId="26" fillId="22" borderId="0" xfId="0" applyFont="1" applyFill="1" applyAlignment="1">
      <alignment horizontal="center" vertical="center"/>
    </xf>
    <xf numFmtId="49" fontId="26" fillId="0" borderId="41" xfId="0" applyNumberFormat="1" applyFont="1" applyFill="1" applyBorder="1" applyAlignment="1">
      <alignment horizontal="center" vertical="top"/>
    </xf>
    <xf numFmtId="49" fontId="26" fillId="0" borderId="42" xfId="0" applyNumberFormat="1" applyFont="1" applyFill="1" applyBorder="1" applyAlignment="1">
      <alignment horizontal="center" vertical="top"/>
    </xf>
    <xf numFmtId="49" fontId="26" fillId="0" borderId="42" xfId="0" applyNumberFormat="1" applyFont="1" applyFill="1" applyBorder="1" applyAlignment="1">
      <alignment horizontal="left" vertical="top"/>
    </xf>
    <xf numFmtId="4" fontId="26" fillId="0" borderId="43" xfId="0" applyNumberFormat="1" applyFont="1" applyFill="1" applyBorder="1" applyAlignment="1">
      <alignment horizontal="right" vertical="top"/>
    </xf>
    <xf numFmtId="169" fontId="26" fillId="0" borderId="44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center" vertical="top"/>
    </xf>
    <xf numFmtId="49" fontId="27" fillId="0" borderId="41" xfId="0" applyNumberFormat="1" applyFont="1" applyFill="1" applyBorder="1" applyAlignment="1">
      <alignment horizontal="center" vertical="top"/>
    </xf>
    <xf numFmtId="49" fontId="27" fillId="0" borderId="42" xfId="0" applyNumberFormat="1" applyFont="1" applyFill="1" applyBorder="1" applyAlignment="1">
      <alignment horizontal="center" vertical="top"/>
    </xf>
    <xf numFmtId="49" fontId="27" fillId="0" borderId="43" xfId="0" applyNumberFormat="1" applyFont="1" applyFill="1" applyBorder="1" applyAlignment="1">
      <alignment vertical="top" wrapText="1"/>
    </xf>
    <xf numFmtId="4" fontId="27" fillId="0" borderId="43" xfId="0" applyNumberFormat="1" applyFont="1" applyFill="1" applyBorder="1" applyAlignment="1">
      <alignment horizontal="right" vertical="top"/>
    </xf>
    <xf numFmtId="169" fontId="27" fillId="0" borderId="44" xfId="0" applyNumberFormat="1" applyFont="1" applyFill="1" applyBorder="1" applyAlignment="1">
      <alignment horizontal="right" vertical="top"/>
    </xf>
    <xf numFmtId="0" fontId="27" fillId="0" borderId="0" xfId="0" applyFont="1" applyAlignment="1">
      <alignment horizontal="center" vertical="top"/>
    </xf>
    <xf numFmtId="49" fontId="28" fillId="0" borderId="41" xfId="0" applyNumberFormat="1" applyFont="1" applyFill="1" applyBorder="1" applyAlignment="1">
      <alignment horizontal="center" vertical="top"/>
    </xf>
    <xf numFmtId="49" fontId="28" fillId="0" borderId="42" xfId="0" applyNumberFormat="1" applyFont="1" applyFill="1" applyBorder="1" applyAlignment="1">
      <alignment horizontal="center" vertical="top"/>
    </xf>
    <xf numFmtId="0" fontId="28" fillId="0" borderId="43" xfId="0" applyFont="1" applyBorder="1" applyAlignment="1">
      <alignment horizontal="center" vertical="top" wrapText="1"/>
    </xf>
    <xf numFmtId="49" fontId="28" fillId="0" borderId="43" xfId="0" applyNumberFormat="1" applyFont="1" applyBorder="1" applyAlignment="1">
      <alignment vertical="top" wrapText="1"/>
    </xf>
    <xf numFmtId="4" fontId="28" fillId="0" borderId="43" xfId="0" applyNumberFormat="1" applyFont="1" applyFill="1" applyBorder="1" applyAlignment="1">
      <alignment horizontal="right" vertical="top"/>
    </xf>
    <xf numFmtId="169" fontId="28" fillId="0" borderId="44" xfId="0" applyNumberFormat="1" applyFont="1" applyFill="1" applyBorder="1" applyAlignment="1">
      <alignment horizontal="right" vertical="top"/>
    </xf>
    <xf numFmtId="0" fontId="28" fillId="0" borderId="0" xfId="0" applyFont="1" applyAlignment="1">
      <alignment horizontal="center" vertical="top"/>
    </xf>
    <xf numFmtId="49" fontId="26" fillId="0" borderId="43" xfId="0" applyNumberFormat="1" applyFont="1" applyFill="1" applyBorder="1" applyAlignment="1">
      <alignment horizontal="center" vertical="top"/>
    </xf>
    <xf numFmtId="49" fontId="26" fillId="0" borderId="43" xfId="0" applyNumberFormat="1" applyFont="1" applyFill="1" applyBorder="1" applyAlignment="1">
      <alignment vertical="top"/>
    </xf>
    <xf numFmtId="4" fontId="26" fillId="0" borderId="43" xfId="0" applyNumberFormat="1" applyFont="1" applyFill="1" applyBorder="1" applyAlignment="1">
      <alignment vertical="top"/>
    </xf>
    <xf numFmtId="0" fontId="26" fillId="0" borderId="0" xfId="0" applyFont="1" applyAlignment="1">
      <alignment vertical="top"/>
    </xf>
    <xf numFmtId="49" fontId="27" fillId="0" borderId="43" xfId="0" applyNumberFormat="1" applyFont="1" applyFill="1" applyBorder="1" applyAlignment="1">
      <alignment horizontal="center" vertical="top"/>
    </xf>
    <xf numFmtId="49" fontId="27" fillId="0" borderId="43" xfId="0" applyNumberFormat="1" applyFont="1" applyFill="1" applyBorder="1" applyAlignment="1">
      <alignment vertical="top"/>
    </xf>
    <xf numFmtId="4" fontId="27" fillId="0" borderId="43" xfId="0" applyNumberFormat="1" applyFont="1" applyFill="1" applyBorder="1" applyAlignment="1">
      <alignment vertical="top"/>
    </xf>
    <xf numFmtId="0" fontId="27" fillId="0" borderId="0" xfId="0" applyFont="1" applyAlignment="1">
      <alignment vertical="top"/>
    </xf>
    <xf numFmtId="49" fontId="28" fillId="0" borderId="43" xfId="0" applyNumberFormat="1" applyFont="1" applyFill="1" applyBorder="1" applyAlignment="1">
      <alignment horizontal="center" vertical="top"/>
    </xf>
    <xf numFmtId="49" fontId="28" fillId="0" borderId="43" xfId="0" applyNumberFormat="1" applyFont="1" applyFill="1" applyBorder="1" applyAlignment="1">
      <alignment vertical="top"/>
    </xf>
    <xf numFmtId="4" fontId="28" fillId="0" borderId="43" xfId="0" applyNumberFormat="1" applyFont="1" applyFill="1" applyBorder="1" applyAlignment="1">
      <alignment vertical="top"/>
    </xf>
    <xf numFmtId="0" fontId="28" fillId="0" borderId="0" xfId="0" applyFont="1" applyAlignment="1">
      <alignment vertical="top"/>
    </xf>
    <xf numFmtId="49" fontId="28" fillId="0" borderId="43" xfId="0" applyNumberFormat="1" applyFont="1" applyFill="1" applyBorder="1" applyAlignment="1">
      <alignment vertical="top" wrapText="1"/>
    </xf>
    <xf numFmtId="49" fontId="26" fillId="0" borderId="43" xfId="0" applyNumberFormat="1" applyFont="1" applyFill="1" applyBorder="1" applyAlignment="1">
      <alignment vertical="top" wrapText="1"/>
    </xf>
    <xf numFmtId="4" fontId="26" fillId="0" borderId="0" xfId="0" applyNumberFormat="1" applyFont="1" applyBorder="1" applyAlignment="1">
      <alignment vertical="top"/>
    </xf>
    <xf numFmtId="4" fontId="26" fillId="0" borderId="43" xfId="0" applyNumberFormat="1" applyFont="1" applyBorder="1" applyAlignment="1">
      <alignment vertical="top"/>
    </xf>
    <xf numFmtId="4" fontId="27" fillId="0" borderId="36" xfId="0" applyNumberFormat="1" applyFont="1" applyFill="1" applyBorder="1" applyAlignment="1">
      <alignment vertical="top"/>
    </xf>
    <xf numFmtId="169" fontId="27" fillId="0" borderId="37" xfId="0" applyNumberFormat="1" applyFont="1" applyFill="1" applyBorder="1" applyAlignment="1">
      <alignment horizontal="right" vertical="top"/>
    </xf>
    <xf numFmtId="4" fontId="28" fillId="0" borderId="36" xfId="0" applyNumberFormat="1" applyFont="1" applyFill="1" applyBorder="1" applyAlignment="1">
      <alignment vertical="top"/>
    </xf>
    <xf numFmtId="49" fontId="27" fillId="0" borderId="36" xfId="0" applyNumberFormat="1" applyFont="1" applyFill="1" applyBorder="1" applyAlignment="1">
      <alignment horizontal="center" vertical="top"/>
    </xf>
    <xf numFmtId="49" fontId="28" fillId="0" borderId="41" xfId="0" applyNumberFormat="1" applyFont="1" applyBorder="1" applyAlignment="1">
      <alignment horizontal="center" vertical="top"/>
    </xf>
    <xf numFmtId="49" fontId="28" fillId="0" borderId="43" xfId="0" applyNumberFormat="1" applyFont="1" applyBorder="1" applyAlignment="1">
      <alignment horizontal="center" vertical="top"/>
    </xf>
    <xf numFmtId="49" fontId="28" fillId="0" borderId="43" xfId="0" applyNumberFormat="1" applyFont="1" applyBorder="1" applyAlignment="1">
      <alignment horizontal="center" vertical="top" wrapText="1"/>
    </xf>
    <xf numFmtId="4" fontId="28" fillId="0" borderId="43" xfId="0" applyNumberFormat="1" applyFont="1" applyBorder="1" applyAlignment="1">
      <alignment vertical="top"/>
    </xf>
    <xf numFmtId="49" fontId="28" fillId="0" borderId="42" xfId="0" applyNumberFormat="1" applyFont="1" applyFill="1" applyBorder="1" applyAlignment="1">
      <alignment vertical="top"/>
    </xf>
    <xf numFmtId="4" fontId="28" fillId="0" borderId="42" xfId="0" applyNumberFormat="1" applyFont="1" applyFill="1" applyBorder="1" applyAlignment="1">
      <alignment vertical="top"/>
    </xf>
    <xf numFmtId="169" fontId="28" fillId="0" borderId="37" xfId="0" applyNumberFormat="1" applyFont="1" applyFill="1" applyBorder="1" applyAlignment="1">
      <alignment horizontal="right" vertical="top"/>
    </xf>
    <xf numFmtId="0" fontId="28" fillId="0" borderId="0" xfId="0" applyFont="1" applyFill="1" applyAlignment="1">
      <alignment vertical="top"/>
    </xf>
    <xf numFmtId="49" fontId="27" fillId="0" borderId="41" xfId="0" applyNumberFormat="1" applyFont="1" applyBorder="1" applyAlignment="1">
      <alignment horizontal="center" vertical="top"/>
    </xf>
    <xf numFmtId="49" fontId="27" fillId="0" borderId="43" xfId="0" applyNumberFormat="1" applyFont="1" applyBorder="1" applyAlignment="1">
      <alignment horizontal="center" vertical="top"/>
    </xf>
    <xf numFmtId="0" fontId="27" fillId="0" borderId="43" xfId="0" applyFont="1" applyBorder="1" applyAlignment="1">
      <alignment horizontal="center" vertical="top" wrapText="1"/>
    </xf>
    <xf numFmtId="49" fontId="27" fillId="0" borderId="43" xfId="0" applyNumberFormat="1" applyFont="1" applyBorder="1" applyAlignment="1">
      <alignment vertical="top" wrapText="1"/>
    </xf>
    <xf numFmtId="4" fontId="27" fillId="0" borderId="43" xfId="0" applyNumberFormat="1" applyFont="1" applyBorder="1" applyAlignment="1">
      <alignment vertical="top"/>
    </xf>
    <xf numFmtId="49" fontId="28" fillId="0" borderId="43" xfId="0" applyNumberFormat="1" applyFont="1" applyFill="1" applyBorder="1" applyAlignment="1">
      <alignment horizontal="center" vertical="top" wrapText="1"/>
    </xf>
    <xf numFmtId="49" fontId="26" fillId="0" borderId="41" xfId="0" applyNumberFormat="1" applyFont="1" applyBorder="1" applyAlignment="1">
      <alignment horizontal="center" vertical="top"/>
    </xf>
    <xf numFmtId="49" fontId="26" fillId="0" borderId="43" xfId="0" applyNumberFormat="1" applyFont="1" applyBorder="1" applyAlignment="1">
      <alignment horizontal="center" vertical="top"/>
    </xf>
    <xf numFmtId="0" fontId="27" fillId="0" borderId="43" xfId="0" applyFont="1" applyBorder="1" applyAlignment="1">
      <alignment horizontal="center" vertical="top"/>
    </xf>
    <xf numFmtId="49" fontId="26" fillId="0" borderId="43" xfId="0" applyNumberFormat="1" applyFont="1" applyBorder="1" applyAlignment="1">
      <alignment vertical="top"/>
    </xf>
    <xf numFmtId="49" fontId="28" fillId="0" borderId="43" xfId="0" applyNumberFormat="1" applyFont="1" applyBorder="1" applyAlignment="1">
      <alignment vertical="top"/>
    </xf>
    <xf numFmtId="49" fontId="27" fillId="0" borderId="43" xfId="0" applyNumberFormat="1" applyFont="1" applyBorder="1" applyAlignment="1">
      <alignment vertical="top"/>
    </xf>
    <xf numFmtId="49" fontId="27" fillId="0" borderId="42" xfId="0" applyNumberFormat="1" applyFont="1" applyBorder="1" applyAlignment="1">
      <alignment horizontal="center" vertical="top"/>
    </xf>
    <xf numFmtId="49" fontId="27" fillId="0" borderId="42" xfId="0" applyNumberFormat="1" applyFont="1" applyBorder="1" applyAlignment="1">
      <alignment vertical="top"/>
    </xf>
    <xf numFmtId="4" fontId="27" fillId="0" borderId="42" xfId="0" applyNumberFormat="1" applyFont="1" applyBorder="1" applyAlignment="1">
      <alignment vertical="top"/>
    </xf>
    <xf numFmtId="49" fontId="28" fillId="0" borderId="35" xfId="0" applyNumberFormat="1" applyFont="1" applyBorder="1" applyAlignment="1">
      <alignment horizontal="center" vertical="top"/>
    </xf>
    <xf numFmtId="49" fontId="28" fillId="0" borderId="36" xfId="0" applyNumberFormat="1" applyFont="1" applyBorder="1" applyAlignment="1">
      <alignment horizontal="center" vertical="top"/>
    </xf>
    <xf numFmtId="49" fontId="28" fillId="0" borderId="36" xfId="0" applyNumberFormat="1" applyFont="1" applyBorder="1" applyAlignment="1">
      <alignment vertical="top"/>
    </xf>
    <xf numFmtId="4" fontId="28" fillId="0" borderId="36" xfId="0" applyNumberFormat="1" applyFont="1" applyBorder="1" applyAlignment="1">
      <alignment vertical="top"/>
    </xf>
    <xf numFmtId="49" fontId="27" fillId="0" borderId="43" xfId="0" applyNumberFormat="1" applyFont="1" applyBorder="1" applyAlignment="1">
      <alignment horizontal="center" vertical="top" wrapText="1"/>
    </xf>
    <xf numFmtId="49" fontId="26" fillId="0" borderId="41" xfId="0" applyNumberFormat="1" applyFont="1" applyBorder="1" applyAlignment="1">
      <alignment horizontal="center" vertical="top" wrapText="1"/>
    </xf>
    <xf numFmtId="0" fontId="26" fillId="0" borderId="43" xfId="0" applyFont="1" applyBorder="1" applyAlignment="1">
      <alignment horizontal="center" vertical="top" wrapText="1"/>
    </xf>
    <xf numFmtId="49" fontId="26" fillId="0" borderId="43" xfId="0" applyNumberFormat="1" applyFont="1" applyBorder="1" applyAlignment="1">
      <alignment vertical="top" wrapText="1"/>
    </xf>
    <xf numFmtId="169" fontId="26" fillId="0" borderId="44" xfId="0" applyNumberFormat="1" applyFont="1" applyBorder="1" applyAlignment="1">
      <alignment horizontal="right" vertical="top"/>
    </xf>
    <xf numFmtId="169" fontId="27" fillId="0" borderId="44" xfId="0" applyNumberFormat="1" applyFont="1" applyBorder="1" applyAlignment="1">
      <alignment horizontal="right" vertical="top"/>
    </xf>
    <xf numFmtId="169" fontId="28" fillId="0" borderId="44" xfId="0" applyNumberFormat="1" applyFont="1" applyBorder="1" applyAlignment="1">
      <alignment horizontal="right" vertical="top"/>
    </xf>
    <xf numFmtId="49" fontId="28" fillId="0" borderId="42" xfId="0" applyNumberFormat="1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49" fontId="28" fillId="0" borderId="36" xfId="0" applyNumberFormat="1" applyFont="1" applyBorder="1" applyAlignment="1">
      <alignment horizontal="center" vertical="top" wrapText="1"/>
    </xf>
    <xf numFmtId="49" fontId="28" fillId="0" borderId="36" xfId="0" applyNumberFormat="1" applyFont="1" applyBorder="1" applyAlignment="1">
      <alignment vertical="top" wrapText="1"/>
    </xf>
    <xf numFmtId="0" fontId="28" fillId="0" borderId="0" xfId="0" applyFont="1" applyBorder="1" applyAlignment="1">
      <alignment vertical="top"/>
    </xf>
    <xf numFmtId="49" fontId="27" fillId="0" borderId="42" xfId="0" applyNumberFormat="1" applyFont="1" applyBorder="1" applyAlignment="1">
      <alignment vertical="top" wrapText="1"/>
    </xf>
    <xf numFmtId="4" fontId="28" fillId="0" borderId="42" xfId="0" applyNumberFormat="1" applyFont="1" applyBorder="1" applyAlignment="1">
      <alignment vertical="top"/>
    </xf>
    <xf numFmtId="49" fontId="28" fillId="0" borderId="42" xfId="0" applyNumberFormat="1" applyFont="1" applyBorder="1" applyAlignment="1">
      <alignment vertical="top" wrapText="1"/>
    </xf>
    <xf numFmtId="0" fontId="27" fillId="0" borderId="42" xfId="0" applyFont="1" applyBorder="1" applyAlignment="1">
      <alignment horizontal="center" vertical="top"/>
    </xf>
    <xf numFmtId="49" fontId="27" fillId="0" borderId="36" xfId="0" applyNumberFormat="1" applyFont="1" applyBorder="1" applyAlignment="1">
      <alignment horizontal="center" vertical="top"/>
    </xf>
    <xf numFmtId="0" fontId="27" fillId="0" borderId="36" xfId="0" applyFont="1" applyBorder="1" applyAlignment="1">
      <alignment horizontal="center" vertical="top" wrapText="1"/>
    </xf>
    <xf numFmtId="49" fontId="27" fillId="0" borderId="36" xfId="0" applyNumberFormat="1" applyFont="1" applyFill="1" applyBorder="1" applyAlignment="1">
      <alignment vertical="top" wrapText="1"/>
    </xf>
    <xf numFmtId="4" fontId="27" fillId="0" borderId="36" xfId="0" applyNumberFormat="1" applyFont="1" applyBorder="1" applyAlignment="1">
      <alignment vertical="top"/>
    </xf>
    <xf numFmtId="0" fontId="33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27" fillId="0" borderId="43" xfId="0" applyFont="1" applyFill="1" applyBorder="1" applyAlignment="1">
      <alignment vertical="top" wrapText="1"/>
    </xf>
    <xf numFmtId="49" fontId="26" fillId="0" borderId="43" xfId="0" applyNumberFormat="1" applyFont="1" applyBorder="1" applyAlignment="1">
      <alignment horizontal="center" vertical="top" wrapText="1"/>
    </xf>
    <xf numFmtId="49" fontId="27" fillId="0" borderId="43" xfId="0" applyNumberFormat="1" applyFont="1" applyFill="1" applyBorder="1" applyAlignment="1">
      <alignment horizontal="center" vertical="top" wrapText="1"/>
    </xf>
    <xf numFmtId="49" fontId="27" fillId="0" borderId="35" xfId="0" applyNumberFormat="1" applyFont="1" applyBorder="1" applyAlignment="1">
      <alignment horizontal="center" vertical="top"/>
    </xf>
    <xf numFmtId="49" fontId="27" fillId="0" borderId="36" xfId="0" applyNumberFormat="1" applyFont="1" applyBorder="1" applyAlignment="1">
      <alignment vertical="top"/>
    </xf>
    <xf numFmtId="49" fontId="28" fillId="0" borderId="23" xfId="0" applyNumberFormat="1" applyFont="1" applyBorder="1" applyAlignment="1">
      <alignment horizontal="center" vertical="top"/>
    </xf>
    <xf numFmtId="49" fontId="28" fillId="0" borderId="13" xfId="0" applyNumberFormat="1" applyFont="1" applyBorder="1" applyAlignment="1">
      <alignment horizontal="center" vertical="top"/>
    </xf>
    <xf numFmtId="49" fontId="28" fillId="0" borderId="13" xfId="0" applyNumberFormat="1" applyFont="1" applyBorder="1" applyAlignment="1">
      <alignment vertical="top"/>
    </xf>
    <xf numFmtId="4" fontId="28" fillId="0" borderId="13" xfId="0" applyNumberFormat="1" applyFont="1" applyBorder="1" applyAlignment="1">
      <alignment vertical="top"/>
    </xf>
    <xf numFmtId="169" fontId="28" fillId="0" borderId="45" xfId="0" applyNumberFormat="1" applyFont="1" applyFill="1" applyBorder="1" applyAlignment="1">
      <alignment horizontal="right" vertical="top"/>
    </xf>
    <xf numFmtId="4" fontId="26" fillId="22" borderId="13" xfId="0" applyNumberFormat="1" applyFont="1" applyFill="1" applyBorder="1" applyAlignment="1">
      <alignment vertical="center"/>
    </xf>
    <xf numFmtId="169" fontId="26" fillId="22" borderId="31" xfId="0" applyNumberFormat="1" applyFont="1" applyFill="1" applyBorder="1" applyAlignment="1">
      <alignment horizontal="right" vertical="center"/>
    </xf>
    <xf numFmtId="0" fontId="26" fillId="22" borderId="0" xfId="0" applyFont="1" applyFill="1" applyAlignment="1">
      <alignment vertical="center"/>
    </xf>
    <xf numFmtId="0" fontId="26" fillId="0" borderId="0" xfId="0" applyFont="1" applyFill="1" applyAlignment="1">
      <alignment vertical="top"/>
    </xf>
    <xf numFmtId="0" fontId="27" fillId="0" borderId="0" xfId="0" applyFont="1" applyFill="1" applyAlignment="1">
      <alignment vertical="top"/>
    </xf>
    <xf numFmtId="49" fontId="28" fillId="0" borderId="36" xfId="0" applyNumberFormat="1" applyFont="1" applyFill="1" applyBorder="1" applyAlignment="1">
      <alignment horizontal="center" vertical="top"/>
    </xf>
    <xf numFmtId="49" fontId="26" fillId="0" borderId="36" xfId="0" applyNumberFormat="1" applyFont="1" applyFill="1" applyBorder="1" applyAlignment="1">
      <alignment horizontal="center" vertical="top"/>
    </xf>
    <xf numFmtId="49" fontId="27" fillId="0" borderId="36" xfId="0" applyNumberFormat="1" applyFont="1" applyFill="1" applyBorder="1" applyAlignment="1">
      <alignment vertical="top"/>
    </xf>
    <xf numFmtId="0" fontId="27" fillId="0" borderId="43" xfId="0" applyFont="1" applyFill="1" applyBorder="1" applyAlignment="1">
      <alignment horizontal="center" vertical="top"/>
    </xf>
    <xf numFmtId="0" fontId="28" fillId="0" borderId="43" xfId="0" applyFont="1" applyFill="1" applyBorder="1" applyAlignment="1">
      <alignment horizontal="center" vertical="top" wrapText="1"/>
    </xf>
    <xf numFmtId="0" fontId="28" fillId="0" borderId="42" xfId="0" applyFont="1" applyFill="1" applyBorder="1" applyAlignment="1">
      <alignment horizontal="center" vertical="top" wrapText="1"/>
    </xf>
    <xf numFmtId="49" fontId="26" fillId="0" borderId="41" xfId="0" applyNumberFormat="1" applyFont="1" applyFill="1" applyBorder="1" applyAlignment="1">
      <alignment horizontal="center" vertical="top" wrapText="1"/>
    </xf>
    <xf numFmtId="49" fontId="28" fillId="0" borderId="42" xfId="0" applyNumberFormat="1" applyFont="1" applyFill="1" applyBorder="1" applyAlignment="1">
      <alignment vertical="top" wrapText="1"/>
    </xf>
    <xf numFmtId="0" fontId="28" fillId="0" borderId="43" xfId="0" applyFont="1" applyFill="1" applyBorder="1" applyAlignment="1">
      <alignment horizontal="center" vertical="top"/>
    </xf>
    <xf numFmtId="0" fontId="26" fillId="0" borderId="43" xfId="0" applyFont="1" applyFill="1" applyBorder="1" applyAlignment="1">
      <alignment horizontal="center" vertical="top" wrapText="1"/>
    </xf>
    <xf numFmtId="0" fontId="27" fillId="0" borderId="43" xfId="0" applyFont="1" applyFill="1" applyBorder="1" applyAlignment="1">
      <alignment horizontal="center" vertical="top" wrapText="1"/>
    </xf>
    <xf numFmtId="49" fontId="27" fillId="0" borderId="42" xfId="0" applyNumberFormat="1" applyFont="1" applyFill="1" applyBorder="1" applyAlignment="1">
      <alignment vertical="top" wrapText="1"/>
    </xf>
    <xf numFmtId="4" fontId="27" fillId="0" borderId="42" xfId="0" applyNumberFormat="1" applyFont="1" applyFill="1" applyBorder="1" applyAlignment="1">
      <alignment vertical="top"/>
    </xf>
    <xf numFmtId="49" fontId="28" fillId="0" borderId="35" xfId="0" applyNumberFormat="1" applyFont="1" applyFill="1" applyBorder="1" applyAlignment="1">
      <alignment horizontal="center" vertical="top"/>
    </xf>
    <xf numFmtId="49" fontId="28" fillId="0" borderId="36" xfId="0" applyNumberFormat="1" applyFont="1" applyFill="1" applyBorder="1" applyAlignment="1">
      <alignment horizontal="center" vertical="top" wrapText="1"/>
    </xf>
    <xf numFmtId="49" fontId="28" fillId="0" borderId="36" xfId="0" applyNumberFormat="1" applyFont="1" applyFill="1" applyBorder="1" applyAlignment="1">
      <alignment vertical="top" wrapText="1"/>
    </xf>
    <xf numFmtId="49" fontId="27" fillId="0" borderId="35" xfId="0" applyNumberFormat="1" applyFont="1" applyFill="1" applyBorder="1" applyAlignment="1">
      <alignment horizontal="center" vertical="top"/>
    </xf>
    <xf numFmtId="49" fontId="27" fillId="0" borderId="36" xfId="0" applyNumberFormat="1" applyFont="1" applyFill="1" applyBorder="1" applyAlignment="1">
      <alignment horizontal="center" vertical="top" wrapText="1"/>
    </xf>
    <xf numFmtId="4" fontId="28" fillId="0" borderId="46" xfId="0" applyNumberFormat="1" applyFont="1" applyFill="1" applyBorder="1" applyAlignment="1">
      <alignment vertical="top"/>
    </xf>
    <xf numFmtId="169" fontId="27" fillId="0" borderId="36" xfId="0" applyNumberFormat="1" applyFont="1" applyFill="1" applyBorder="1" applyAlignment="1">
      <alignment horizontal="right" vertical="top"/>
    </xf>
    <xf numFmtId="4" fontId="26" fillId="24" borderId="47" xfId="0" applyNumberFormat="1" applyFont="1" applyFill="1" applyBorder="1" applyAlignment="1">
      <alignment horizontal="center" vertical="center"/>
    </xf>
    <xf numFmtId="169" fontId="26" fillId="24" borderId="48" xfId="0" applyNumberFormat="1" applyFont="1" applyFill="1" applyBorder="1" applyAlignment="1">
      <alignment horizontal="right" vertical="center"/>
    </xf>
    <xf numFmtId="0" fontId="26" fillId="24" borderId="0" xfId="0" applyFont="1" applyFill="1" applyAlignment="1">
      <alignment horizontal="center" vertical="center"/>
    </xf>
    <xf numFmtId="49" fontId="26" fillId="0" borderId="0" xfId="0" applyNumberFormat="1" applyFont="1" applyBorder="1" applyAlignment="1">
      <alignment horizontal="center" vertical="top"/>
    </xf>
    <xf numFmtId="49" fontId="26" fillId="0" borderId="0" xfId="0" applyNumberFormat="1" applyFont="1" applyBorder="1" applyAlignment="1">
      <alignment vertical="top"/>
    </xf>
    <xf numFmtId="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horizontal="right" vertical="top"/>
    </xf>
    <xf numFmtId="49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 horizontal="right" vertical="center"/>
    </xf>
    <xf numFmtId="4" fontId="27" fillId="0" borderId="49" xfId="0" applyNumberFormat="1" applyFont="1" applyBorder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6" fillId="20" borderId="36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9" fillId="20" borderId="21" xfId="0" applyFont="1" applyFill="1" applyBorder="1" applyAlignment="1">
      <alignment horizontal="center" vertical="center"/>
    </xf>
    <xf numFmtId="0" fontId="29" fillId="20" borderId="17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6" fillId="22" borderId="18" xfId="0" applyFont="1" applyFill="1" applyBorder="1" applyAlignment="1">
      <alignment horizontal="center" vertical="center"/>
    </xf>
    <xf numFmtId="0" fontId="26" fillId="22" borderId="19" xfId="0" applyFont="1" applyFill="1" applyBorder="1" applyAlignment="1">
      <alignment vertical="center"/>
    </xf>
    <xf numFmtId="4" fontId="26" fillId="22" borderId="19" xfId="0" applyNumberFormat="1" applyFont="1" applyFill="1" applyBorder="1" applyAlignment="1">
      <alignment vertical="center"/>
    </xf>
    <xf numFmtId="172" fontId="26" fillId="22" borderId="50" xfId="0" applyNumberFormat="1" applyFont="1" applyFill="1" applyBorder="1" applyAlignment="1">
      <alignment horizontal="right" vertical="center"/>
    </xf>
    <xf numFmtId="195" fontId="26" fillId="22" borderId="20" xfId="0" applyNumberFormat="1" applyFont="1" applyFill="1" applyBorder="1" applyAlignment="1">
      <alignment vertical="center"/>
    </xf>
    <xf numFmtId="0" fontId="35" fillId="0" borderId="41" xfId="0" applyFont="1" applyBorder="1" applyAlignment="1">
      <alignment horizontal="center" vertical="center"/>
    </xf>
    <xf numFmtId="0" fontId="35" fillId="0" borderId="43" xfId="0" applyFont="1" applyBorder="1" applyAlignment="1">
      <alignment vertical="center"/>
    </xf>
    <xf numFmtId="4" fontId="35" fillId="0" borderId="43" xfId="0" applyNumberFormat="1" applyFont="1" applyBorder="1" applyAlignment="1">
      <alignment vertical="center"/>
    </xf>
    <xf numFmtId="172" fontId="35" fillId="0" borderId="0" xfId="0" applyNumberFormat="1" applyFont="1" applyBorder="1" applyAlignment="1">
      <alignment horizontal="right" vertical="center"/>
    </xf>
    <xf numFmtId="195" fontId="35" fillId="0" borderId="37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27" fillId="0" borderId="41" xfId="0" applyFont="1" applyBorder="1" applyAlignment="1">
      <alignment horizontal="center" vertical="center"/>
    </xf>
    <xf numFmtId="49" fontId="27" fillId="0" borderId="43" xfId="0" applyNumberFormat="1" applyFont="1" applyBorder="1" applyAlignment="1">
      <alignment vertical="center" wrapText="1"/>
    </xf>
    <xf numFmtId="4" fontId="27" fillId="0" borderId="43" xfId="0" applyNumberFormat="1" applyFont="1" applyBorder="1" applyAlignment="1">
      <alignment vertical="center"/>
    </xf>
    <xf numFmtId="172" fontId="27" fillId="0" borderId="0" xfId="0" applyNumberFormat="1" applyFont="1" applyBorder="1" applyAlignment="1">
      <alignment horizontal="right" vertical="center"/>
    </xf>
    <xf numFmtId="195" fontId="27" fillId="0" borderId="37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 wrapText="1"/>
    </xf>
    <xf numFmtId="49" fontId="35" fillId="0" borderId="0" xfId="0" applyNumberFormat="1" applyFont="1" applyBorder="1" applyAlignment="1">
      <alignment vertical="center" wrapText="1"/>
    </xf>
    <xf numFmtId="172" fontId="35" fillId="0" borderId="43" xfId="0" applyNumberFormat="1" applyFont="1" applyBorder="1" applyAlignment="1">
      <alignment horizontal="right" vertical="center"/>
    </xf>
    <xf numFmtId="172" fontId="27" fillId="0" borderId="43" xfId="0" applyNumberFormat="1" applyFont="1" applyBorder="1" applyAlignment="1">
      <alignment horizontal="right" vertical="center"/>
    </xf>
    <xf numFmtId="4" fontId="27" fillId="0" borderId="36" xfId="0" applyNumberFormat="1" applyFont="1" applyBorder="1" applyAlignment="1">
      <alignment vertical="center"/>
    </xf>
    <xf numFmtId="0" fontId="26" fillId="0" borderId="41" xfId="0" applyFont="1" applyBorder="1" applyAlignment="1">
      <alignment horizontal="center" vertical="center"/>
    </xf>
    <xf numFmtId="49" fontId="26" fillId="0" borderId="36" xfId="0" applyNumberFormat="1" applyFont="1" applyBorder="1" applyAlignment="1">
      <alignment vertical="center"/>
    </xf>
    <xf numFmtId="4" fontId="26" fillId="0" borderId="43" xfId="0" applyNumberFormat="1" applyFont="1" applyBorder="1" applyAlignment="1">
      <alignment vertical="center"/>
    </xf>
    <xf numFmtId="172" fontId="26" fillId="0" borderId="36" xfId="0" applyNumberFormat="1" applyFont="1" applyBorder="1" applyAlignment="1">
      <alignment horizontal="right" vertical="center"/>
    </xf>
    <xf numFmtId="195" fontId="26" fillId="0" borderId="25" xfId="0" applyNumberFormat="1" applyFont="1" applyBorder="1" applyAlignment="1">
      <alignment vertical="center"/>
    </xf>
    <xf numFmtId="49" fontId="27" fillId="0" borderId="36" xfId="0" applyNumberFormat="1" applyFont="1" applyBorder="1" applyAlignment="1">
      <alignment vertical="center" wrapText="1"/>
    </xf>
    <xf numFmtId="172" fontId="27" fillId="0" borderId="36" xfId="0" applyNumberFormat="1" applyFont="1" applyBorder="1" applyAlignment="1">
      <alignment horizontal="right" vertical="center"/>
    </xf>
    <xf numFmtId="0" fontId="26" fillId="22" borderId="23" xfId="0" applyFont="1" applyFill="1" applyBorder="1" applyAlignment="1">
      <alignment horizontal="center" vertical="center"/>
    </xf>
    <xf numFmtId="49" fontId="26" fillId="22" borderId="32" xfId="0" applyNumberFormat="1" applyFont="1" applyFill="1" applyBorder="1" applyAlignment="1">
      <alignment vertical="center"/>
    </xf>
    <xf numFmtId="172" fontId="26" fillId="22" borderId="32" xfId="0" applyNumberFormat="1" applyFont="1" applyFill="1" applyBorder="1" applyAlignment="1">
      <alignment horizontal="center" vertical="center"/>
    </xf>
    <xf numFmtId="195" fontId="26" fillId="22" borderId="12" xfId="0" applyNumberFormat="1" applyFont="1" applyFill="1" applyBorder="1" applyAlignment="1">
      <alignment horizontal="center" vertical="center"/>
    </xf>
    <xf numFmtId="172" fontId="27" fillId="0" borderId="36" xfId="0" applyNumberFormat="1" applyFont="1" applyBorder="1" applyAlignment="1">
      <alignment horizontal="center" vertical="center"/>
    </xf>
    <xf numFmtId="4" fontId="26" fillId="0" borderId="36" xfId="0" applyNumberFormat="1" applyFont="1" applyBorder="1" applyAlignment="1">
      <alignment vertical="center"/>
    </xf>
    <xf numFmtId="195" fontId="26" fillId="0" borderId="37" xfId="0" applyNumberFormat="1" applyFont="1" applyBorder="1" applyAlignment="1">
      <alignment vertical="center"/>
    </xf>
    <xf numFmtId="49" fontId="34" fillId="0" borderId="0" xfId="0" applyNumberFormat="1" applyFont="1" applyFill="1" applyAlignment="1">
      <alignment horizontal="center"/>
    </xf>
    <xf numFmtId="49" fontId="34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26" fillId="20" borderId="32" xfId="0" applyFont="1" applyFill="1" applyBorder="1" applyAlignment="1">
      <alignment horizontal="center" vertical="center"/>
    </xf>
    <xf numFmtId="0" fontId="26" fillId="20" borderId="27" xfId="0" applyFont="1" applyFill="1" applyBorder="1" applyAlignment="1">
      <alignment horizontal="center" vertical="center"/>
    </xf>
    <xf numFmtId="49" fontId="29" fillId="20" borderId="51" xfId="0" applyNumberFormat="1" applyFont="1" applyFill="1" applyBorder="1" applyAlignment="1">
      <alignment horizontal="center"/>
    </xf>
    <xf numFmtId="0" fontId="29" fillId="20" borderId="46" xfId="0" applyFont="1" applyFill="1" applyBorder="1" applyAlignment="1">
      <alignment horizontal="center"/>
    </xf>
    <xf numFmtId="49" fontId="27" fillId="0" borderId="35" xfId="0" applyNumberFormat="1" applyFont="1" applyFill="1" applyBorder="1" applyAlignment="1">
      <alignment vertical="top"/>
    </xf>
    <xf numFmtId="0" fontId="27" fillId="0" borderId="36" xfId="0" applyFont="1" applyFill="1" applyBorder="1" applyAlignment="1">
      <alignment vertical="top"/>
    </xf>
    <xf numFmtId="0" fontId="27" fillId="0" borderId="36" xfId="0" applyFont="1" applyFill="1" applyBorder="1" applyAlignment="1">
      <alignment horizontal="right" vertical="top"/>
    </xf>
    <xf numFmtId="0" fontId="27" fillId="0" borderId="36" xfId="0" applyFont="1" applyFill="1" applyBorder="1" applyAlignment="1">
      <alignment vertical="top" wrapText="1"/>
    </xf>
    <xf numFmtId="3" fontId="27" fillId="0" borderId="36" xfId="0" applyNumberFormat="1" applyFont="1" applyFill="1" applyBorder="1" applyAlignment="1">
      <alignment vertical="top" wrapText="1"/>
    </xf>
    <xf numFmtId="49" fontId="27" fillId="0" borderId="51" xfId="0" applyNumberFormat="1" applyFont="1" applyFill="1" applyBorder="1" applyAlignment="1">
      <alignment horizontal="center" vertical="top"/>
    </xf>
    <xf numFmtId="0" fontId="27" fillId="0" borderId="46" xfId="0" applyFont="1" applyFill="1" applyBorder="1" applyAlignment="1">
      <alignment vertical="top"/>
    </xf>
    <xf numFmtId="4" fontId="27" fillId="0" borderId="46" xfId="0" applyNumberFormat="1" applyFont="1" applyFill="1" applyBorder="1" applyAlignment="1">
      <alignment vertical="top"/>
    </xf>
    <xf numFmtId="169" fontId="27" fillId="0" borderId="15" xfId="0" applyNumberFormat="1" applyFont="1" applyFill="1" applyBorder="1" applyAlignment="1">
      <alignment horizontal="right" vertical="top"/>
    </xf>
    <xf numFmtId="49" fontId="27" fillId="22" borderId="35" xfId="0" applyNumberFormat="1" applyFont="1" applyFill="1" applyBorder="1" applyAlignment="1">
      <alignment horizontal="left" vertical="top"/>
    </xf>
    <xf numFmtId="49" fontId="27" fillId="22" borderId="0" xfId="0" applyNumberFormat="1" applyFont="1" applyFill="1" applyBorder="1" applyAlignment="1">
      <alignment horizontal="left" vertical="top"/>
    </xf>
    <xf numFmtId="4" fontId="27" fillId="22" borderId="36" xfId="0" applyNumberFormat="1" applyFont="1" applyFill="1" applyBorder="1" applyAlignment="1">
      <alignment vertical="top"/>
    </xf>
    <xf numFmtId="169" fontId="27" fillId="22" borderId="36" xfId="0" applyNumberFormat="1" applyFont="1" applyFill="1" applyBorder="1" applyAlignment="1">
      <alignment horizontal="right" vertical="top"/>
    </xf>
    <xf numFmtId="0" fontId="26" fillId="22" borderId="51" xfId="0" applyFont="1" applyFill="1" applyBorder="1" applyAlignment="1">
      <alignment horizontal="right" vertical="top"/>
    </xf>
    <xf numFmtId="0" fontId="26" fillId="22" borderId="52" xfId="0" applyFont="1" applyFill="1" applyBorder="1" applyAlignment="1">
      <alignment horizontal="left" vertical="top"/>
    </xf>
    <xf numFmtId="4" fontId="26" fillId="22" borderId="46" xfId="0" applyNumberFormat="1" applyFont="1" applyFill="1" applyBorder="1" applyAlignment="1">
      <alignment vertical="top"/>
    </xf>
    <xf numFmtId="169" fontId="26" fillId="22" borderId="46" xfId="0" applyNumberFormat="1" applyFont="1" applyFill="1" applyBorder="1" applyAlignment="1">
      <alignment horizontal="right" vertical="top"/>
    </xf>
    <xf numFmtId="0" fontId="28" fillId="0" borderId="35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/>
    </xf>
    <xf numFmtId="4" fontId="28" fillId="0" borderId="36" xfId="0" applyNumberFormat="1" applyFont="1" applyFill="1" applyBorder="1" applyAlignment="1">
      <alignment vertical="center"/>
    </xf>
    <xf numFmtId="169" fontId="28" fillId="0" borderId="36" xfId="0" applyNumberFormat="1" applyFont="1" applyFill="1" applyBorder="1" applyAlignment="1">
      <alignment horizontal="right" vertical="center"/>
    </xf>
    <xf numFmtId="49" fontId="28" fillId="0" borderId="35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Border="1" applyAlignment="1">
      <alignment horizontal="left" vertical="top"/>
    </xf>
    <xf numFmtId="169" fontId="28" fillId="0" borderId="36" xfId="0" applyNumberFormat="1" applyFont="1" applyFill="1" applyBorder="1" applyAlignment="1">
      <alignment horizontal="right" vertical="top"/>
    </xf>
    <xf numFmtId="49" fontId="28" fillId="0" borderId="0" xfId="0" applyNumberFormat="1" applyFont="1" applyFill="1" applyBorder="1" applyAlignment="1">
      <alignment horizontal="left" vertical="top" wrapText="1"/>
    </xf>
    <xf numFmtId="169" fontId="36" fillId="0" borderId="36" xfId="0" applyNumberFormat="1" applyFont="1" applyFill="1" applyBorder="1" applyAlignment="1">
      <alignment horizontal="right" vertical="top"/>
    </xf>
    <xf numFmtId="49" fontId="28" fillId="0" borderId="51" xfId="0" applyNumberFormat="1" applyFont="1" applyFill="1" applyBorder="1" applyAlignment="1">
      <alignment horizontal="right" vertical="top"/>
    </xf>
    <xf numFmtId="49" fontId="28" fillId="0" borderId="52" xfId="0" applyNumberFormat="1" applyFont="1" applyFill="1" applyBorder="1" applyAlignment="1">
      <alignment horizontal="left" vertical="top" wrapText="1"/>
    </xf>
    <xf numFmtId="169" fontId="28" fillId="0" borderId="46" xfId="0" applyNumberFormat="1" applyFont="1" applyFill="1" applyBorder="1" applyAlignment="1">
      <alignment horizontal="right" vertical="top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right"/>
    </xf>
    <xf numFmtId="0" fontId="26" fillId="20" borderId="12" xfId="0" applyFont="1" applyFill="1" applyBorder="1" applyAlignment="1">
      <alignment horizontal="center" vertical="center"/>
    </xf>
    <xf numFmtId="0" fontId="29" fillId="20" borderId="26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7" fillId="0" borderId="37" xfId="0" applyFont="1" applyFill="1" applyBorder="1" applyAlignment="1">
      <alignment horizontal="right" vertical="top"/>
    </xf>
    <xf numFmtId="169" fontId="27" fillId="0" borderId="26" xfId="0" applyNumberFormat="1" applyFont="1" applyFill="1" applyBorder="1" applyAlignment="1">
      <alignment horizontal="right" vertical="top"/>
    </xf>
    <xf numFmtId="169" fontId="27" fillId="22" borderId="37" xfId="0" applyNumberFormat="1" applyFont="1" applyFill="1" applyBorder="1" applyAlignment="1">
      <alignment horizontal="right" vertical="top"/>
    </xf>
    <xf numFmtId="169" fontId="26" fillId="22" borderId="26" xfId="0" applyNumberFormat="1" applyFont="1" applyFill="1" applyBorder="1" applyAlignment="1">
      <alignment horizontal="right" vertical="top"/>
    </xf>
    <xf numFmtId="169" fontId="28" fillId="0" borderId="37" xfId="0" applyNumberFormat="1" applyFont="1" applyFill="1" applyBorder="1" applyAlignment="1">
      <alignment horizontal="right" vertical="center"/>
    </xf>
    <xf numFmtId="169" fontId="28" fillId="0" borderId="26" xfId="0" applyNumberFormat="1" applyFont="1" applyFill="1" applyBorder="1" applyAlignment="1">
      <alignment horizontal="right" vertical="top"/>
    </xf>
    <xf numFmtId="169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 horizontal="right"/>
    </xf>
    <xf numFmtId="49" fontId="28" fillId="0" borderId="13" xfId="0" applyNumberFormat="1" applyFont="1" applyBorder="1" applyAlignment="1">
      <alignment horizontal="center" vertical="top" wrapText="1"/>
    </xf>
    <xf numFmtId="49" fontId="28" fillId="0" borderId="13" xfId="0" applyNumberFormat="1" applyFont="1" applyBorder="1" applyAlignment="1">
      <alignment vertical="top" wrapText="1"/>
    </xf>
    <xf numFmtId="49" fontId="28" fillId="0" borderId="32" xfId="0" applyNumberFormat="1" applyFont="1" applyBorder="1" applyAlignment="1">
      <alignment horizontal="center" vertical="top"/>
    </xf>
    <xf numFmtId="49" fontId="28" fillId="0" borderId="32" xfId="0" applyNumberFormat="1" applyFont="1" applyBorder="1" applyAlignment="1">
      <alignment horizontal="center" vertical="top" wrapText="1"/>
    </xf>
    <xf numFmtId="4" fontId="28" fillId="0" borderId="32" xfId="0" applyNumberFormat="1" applyFont="1" applyBorder="1" applyAlignment="1">
      <alignment vertical="top"/>
    </xf>
    <xf numFmtId="169" fontId="28" fillId="0" borderId="31" xfId="0" applyNumberFormat="1" applyFont="1" applyFill="1" applyBorder="1" applyAlignment="1">
      <alignment horizontal="right" vertical="top"/>
    </xf>
    <xf numFmtId="49" fontId="27" fillId="0" borderId="36" xfId="0" applyNumberFormat="1" applyFont="1" applyBorder="1" applyAlignment="1">
      <alignment horizontal="center" vertical="top" wrapText="1"/>
    </xf>
    <xf numFmtId="49" fontId="27" fillId="0" borderId="36" xfId="0" applyNumberFormat="1" applyFont="1" applyBorder="1" applyAlignment="1">
      <alignment vertical="top" wrapText="1"/>
    </xf>
    <xf numFmtId="49" fontId="28" fillId="0" borderId="32" xfId="0" applyNumberFormat="1" applyFont="1" applyBorder="1" applyAlignment="1">
      <alignment vertical="top" wrapText="1"/>
    </xf>
    <xf numFmtId="0" fontId="26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top"/>
    </xf>
    <xf numFmtId="49" fontId="27" fillId="0" borderId="0" xfId="0" applyNumberFormat="1" applyFont="1" applyBorder="1" applyAlignment="1">
      <alignment horizontal="center" vertical="top"/>
    </xf>
    <xf numFmtId="49" fontId="27" fillId="0" borderId="0" xfId="0" applyNumberFormat="1" applyFont="1" applyBorder="1" applyAlignment="1">
      <alignment vertical="top"/>
    </xf>
    <xf numFmtId="4" fontId="27" fillId="0" borderId="0" xfId="0" applyNumberFormat="1" applyFont="1" applyAlignment="1">
      <alignment vertical="center"/>
    </xf>
    <xf numFmtId="169" fontId="27" fillId="0" borderId="0" xfId="0" applyNumberFormat="1" applyFont="1" applyAlignment="1">
      <alignment horizontal="right" vertical="top"/>
    </xf>
    <xf numFmtId="4" fontId="27" fillId="0" borderId="0" xfId="0" applyNumberFormat="1" applyFont="1" applyBorder="1" applyAlignment="1">
      <alignment horizontal="right" vertical="top"/>
    </xf>
    <xf numFmtId="49" fontId="28" fillId="0" borderId="0" xfId="0" applyNumberFormat="1" applyFont="1" applyBorder="1" applyAlignment="1">
      <alignment horizontal="center" vertical="top"/>
    </xf>
    <xf numFmtId="49" fontId="28" fillId="0" borderId="0" xfId="0" applyNumberFormat="1" applyFont="1" applyBorder="1" applyAlignment="1">
      <alignment horizontal="right" vertical="top"/>
    </xf>
    <xf numFmtId="4" fontId="28" fillId="0" borderId="0" xfId="0" applyNumberFormat="1" applyFont="1" applyBorder="1" applyAlignment="1">
      <alignment vertical="top"/>
    </xf>
    <xf numFmtId="4" fontId="28" fillId="0" borderId="0" xfId="0" applyNumberFormat="1" applyFont="1" applyAlignment="1">
      <alignment vertical="top"/>
    </xf>
    <xf numFmtId="169" fontId="28" fillId="0" borderId="0" xfId="0" applyNumberFormat="1" applyFont="1" applyAlignment="1">
      <alignment horizontal="right" vertical="top"/>
    </xf>
    <xf numFmtId="3" fontId="27" fillId="0" borderId="0" xfId="0" applyNumberFormat="1" applyFont="1" applyBorder="1" applyAlignment="1">
      <alignment vertical="top"/>
    </xf>
    <xf numFmtId="165" fontId="27" fillId="0" borderId="0" xfId="0" applyNumberFormat="1" applyFont="1" applyAlignment="1">
      <alignment vertical="top"/>
    </xf>
    <xf numFmtId="49" fontId="27" fillId="0" borderId="0" xfId="0" applyNumberFormat="1" applyFont="1" applyAlignment="1">
      <alignment horizontal="center" vertical="top"/>
    </xf>
    <xf numFmtId="49" fontId="27" fillId="0" borderId="0" xfId="0" applyNumberFormat="1" applyFont="1" applyAlignment="1">
      <alignment vertical="top"/>
    </xf>
    <xf numFmtId="49" fontId="27" fillId="0" borderId="0" xfId="0" applyNumberFormat="1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horizontal="right"/>
      <protection hidden="1"/>
    </xf>
    <xf numFmtId="0" fontId="26" fillId="20" borderId="18" xfId="0" applyFont="1" applyFill="1" applyBorder="1" applyAlignment="1" applyProtection="1">
      <alignment horizontal="center" vertical="center"/>
      <protection hidden="1"/>
    </xf>
    <xf numFmtId="0" fontId="26" fillId="20" borderId="50" xfId="0" applyFont="1" applyFill="1" applyBorder="1" applyAlignment="1" applyProtection="1">
      <alignment horizontal="center" vertical="center"/>
      <protection hidden="1"/>
    </xf>
    <xf numFmtId="0" fontId="26" fillId="20" borderId="39" xfId="0" applyFont="1" applyFill="1" applyBorder="1" applyAlignment="1" applyProtection="1">
      <alignment horizontal="center" vertical="center"/>
      <protection hidden="1"/>
    </xf>
    <xf numFmtId="0" fontId="26" fillId="20" borderId="39" xfId="0" applyFont="1" applyFill="1" applyBorder="1" applyAlignment="1" applyProtection="1">
      <alignment horizontal="center" vertical="center" wrapText="1"/>
      <protection hidden="1"/>
    </xf>
    <xf numFmtId="0" fontId="26" fillId="20" borderId="20" xfId="0" applyFont="1" applyFill="1" applyBorder="1" applyAlignment="1" applyProtection="1">
      <alignment horizontal="center" vertical="center" wrapText="1"/>
      <protection hidden="1"/>
    </xf>
    <xf numFmtId="0" fontId="27" fillId="20" borderId="21" xfId="0" applyFont="1" applyFill="1" applyBorder="1" applyAlignment="1" applyProtection="1">
      <alignment horizontal="center"/>
      <protection hidden="1"/>
    </xf>
    <xf numFmtId="0" fontId="27" fillId="20" borderId="53" xfId="0" applyFont="1" applyFill="1" applyBorder="1" applyAlignment="1" applyProtection="1">
      <alignment horizontal="center"/>
      <protection hidden="1"/>
    </xf>
    <xf numFmtId="0" fontId="27" fillId="20" borderId="40" xfId="0" applyFont="1" applyFill="1" applyBorder="1" applyAlignment="1" applyProtection="1">
      <alignment horizontal="center"/>
      <protection hidden="1"/>
    </xf>
    <xf numFmtId="0" fontId="27" fillId="20" borderId="46" xfId="0" applyFont="1" applyFill="1" applyBorder="1" applyAlignment="1" applyProtection="1">
      <alignment horizontal="center"/>
      <protection hidden="1"/>
    </xf>
    <xf numFmtId="0" fontId="27" fillId="20" borderId="17" xfId="0" applyFont="1" applyFill="1" applyBorder="1" applyAlignment="1" applyProtection="1">
      <alignment horizontal="center" wrapText="1"/>
      <protection hidden="1"/>
    </xf>
    <xf numFmtId="0" fontId="27" fillId="0" borderId="0" xfId="0" applyFont="1" applyAlignment="1" applyProtection="1">
      <alignment horizontal="center"/>
      <protection hidden="1"/>
    </xf>
    <xf numFmtId="49" fontId="27" fillId="0" borderId="41" xfId="0" applyNumberFormat="1" applyFont="1" applyBorder="1" applyAlignment="1" applyProtection="1">
      <alignment horizontal="center"/>
      <protection hidden="1"/>
    </xf>
    <xf numFmtId="4" fontId="27" fillId="0" borderId="0" xfId="0" applyNumberFormat="1" applyFont="1" applyBorder="1" applyAlignment="1" applyProtection="1">
      <alignment horizontal="center"/>
      <protection hidden="1"/>
    </xf>
    <xf numFmtId="4" fontId="27" fillId="0" borderId="36" xfId="0" applyNumberFormat="1" applyFont="1" applyBorder="1" applyAlignment="1" applyProtection="1">
      <alignment horizontal="center"/>
      <protection hidden="1"/>
    </xf>
    <xf numFmtId="0" fontId="27" fillId="0" borderId="37" xfId="0" applyFont="1" applyBorder="1" applyAlignment="1" applyProtection="1">
      <alignment horizontal="center"/>
      <protection hidden="1"/>
    </xf>
    <xf numFmtId="49" fontId="26" fillId="0" borderId="41" xfId="0" applyNumberFormat="1" applyFont="1" applyBorder="1" applyAlignment="1" applyProtection="1">
      <alignment/>
      <protection hidden="1"/>
    </xf>
    <xf numFmtId="4" fontId="26" fillId="0" borderId="43" xfId="0" applyNumberFormat="1" applyFont="1" applyBorder="1" applyAlignment="1" applyProtection="1">
      <alignment/>
      <protection hidden="1"/>
    </xf>
    <xf numFmtId="4" fontId="26" fillId="0" borderId="36" xfId="0" applyNumberFormat="1" applyFont="1" applyBorder="1" applyAlignment="1" applyProtection="1">
      <alignment/>
      <protection hidden="1"/>
    </xf>
    <xf numFmtId="169" fontId="26" fillId="0" borderId="37" xfId="0" applyNumberFormat="1" applyFont="1" applyBorder="1" applyAlignment="1" applyProtection="1">
      <alignment/>
      <protection hidden="1"/>
    </xf>
    <xf numFmtId="49" fontId="27" fillId="0" borderId="41" xfId="0" applyNumberFormat="1" applyFont="1" applyBorder="1" applyAlignment="1" applyProtection="1">
      <alignment/>
      <protection hidden="1"/>
    </xf>
    <xf numFmtId="4" fontId="27" fillId="0" borderId="43" xfId="0" applyNumberFormat="1" applyFont="1" applyBorder="1" applyAlignment="1" applyProtection="1">
      <alignment/>
      <protection hidden="1"/>
    </xf>
    <xf numFmtId="4" fontId="27" fillId="0" borderId="36" xfId="0" applyNumberFormat="1" applyFont="1" applyBorder="1" applyAlignment="1" applyProtection="1">
      <alignment/>
      <protection hidden="1"/>
    </xf>
    <xf numFmtId="169" fontId="27" fillId="0" borderId="37" xfId="0" applyNumberFormat="1" applyFont="1" applyBorder="1" applyAlignment="1" applyProtection="1">
      <alignment/>
      <protection hidden="1"/>
    </xf>
    <xf numFmtId="49" fontId="28" fillId="0" borderId="41" xfId="0" applyNumberFormat="1" applyFont="1" applyBorder="1" applyAlignment="1" applyProtection="1">
      <alignment/>
      <protection hidden="1"/>
    </xf>
    <xf numFmtId="4" fontId="28" fillId="0" borderId="43" xfId="0" applyNumberFormat="1" applyFont="1" applyBorder="1" applyAlignment="1" applyProtection="1">
      <alignment/>
      <protection hidden="1"/>
    </xf>
    <xf numFmtId="4" fontId="28" fillId="0" borderId="36" xfId="0" applyNumberFormat="1" applyFont="1" applyBorder="1" applyAlignment="1" applyProtection="1">
      <alignment/>
      <protection hidden="1"/>
    </xf>
    <xf numFmtId="169" fontId="28" fillId="0" borderId="37" xfId="0" applyNumberFormat="1" applyFont="1" applyBorder="1" applyAlignment="1" applyProtection="1">
      <alignment/>
      <protection hidden="1"/>
    </xf>
    <xf numFmtId="49" fontId="28" fillId="0" borderId="41" xfId="0" applyNumberFormat="1" applyFont="1" applyBorder="1" applyAlignment="1" applyProtection="1">
      <alignment wrapText="1"/>
      <protection hidden="1"/>
    </xf>
    <xf numFmtId="4" fontId="28" fillId="0" borderId="43" xfId="0" applyNumberFormat="1" applyFont="1" applyBorder="1" applyAlignment="1" applyProtection="1">
      <alignment wrapText="1"/>
      <protection hidden="1"/>
    </xf>
    <xf numFmtId="4" fontId="28" fillId="0" borderId="36" xfId="0" applyNumberFormat="1" applyFont="1" applyBorder="1" applyAlignment="1" applyProtection="1">
      <alignment horizontal="right"/>
      <protection hidden="1"/>
    </xf>
    <xf numFmtId="49" fontId="27" fillId="0" borderId="41" xfId="0" applyNumberFormat="1" applyFont="1" applyBorder="1" applyAlignment="1" applyProtection="1">
      <alignment wrapText="1"/>
      <protection hidden="1"/>
    </xf>
    <xf numFmtId="4" fontId="27" fillId="0" borderId="43" xfId="0" applyNumberFormat="1" applyFont="1" applyBorder="1" applyAlignment="1" applyProtection="1">
      <alignment wrapText="1"/>
      <protection hidden="1"/>
    </xf>
    <xf numFmtId="4" fontId="27" fillId="0" borderId="36" xfId="0" applyNumberFormat="1" applyFont="1" applyBorder="1" applyAlignment="1" applyProtection="1">
      <alignment/>
      <protection hidden="1"/>
    </xf>
    <xf numFmtId="49" fontId="36" fillId="0" borderId="35" xfId="0" applyNumberFormat="1" applyFont="1" applyBorder="1" applyAlignment="1" applyProtection="1">
      <alignment/>
      <protection hidden="1"/>
    </xf>
    <xf numFmtId="4" fontId="36" fillId="0" borderId="43" xfId="0" applyNumberFormat="1" applyFont="1" applyFill="1" applyBorder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26" fillId="0" borderId="35" xfId="0" applyNumberFormat="1" applyFont="1" applyBorder="1" applyAlignment="1" applyProtection="1">
      <alignment/>
      <protection hidden="1"/>
    </xf>
    <xf numFmtId="49" fontId="27" fillId="0" borderId="35" xfId="0" applyNumberFormat="1" applyFont="1" applyBorder="1" applyAlignment="1" applyProtection="1">
      <alignment/>
      <protection hidden="1"/>
    </xf>
    <xf numFmtId="49" fontId="28" fillId="0" borderId="35" xfId="0" applyNumberFormat="1" applyFont="1" applyBorder="1" applyAlignment="1" applyProtection="1">
      <alignment/>
      <protection hidden="1"/>
    </xf>
    <xf numFmtId="4" fontId="28" fillId="0" borderId="43" xfId="0" applyNumberFormat="1" applyFont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49" fontId="27" fillId="0" borderId="35" xfId="0" applyNumberFormat="1" applyFont="1" applyBorder="1" applyAlignment="1" applyProtection="1">
      <alignment/>
      <protection hidden="1"/>
    </xf>
    <xf numFmtId="4" fontId="27" fillId="0" borderId="43" xfId="0" applyNumberFormat="1" applyFont="1" applyBorder="1" applyAlignment="1" applyProtection="1">
      <alignment/>
      <protection hidden="1"/>
    </xf>
    <xf numFmtId="4" fontId="27" fillId="0" borderId="43" xfId="0" applyNumberFormat="1" applyFont="1" applyBorder="1" applyAlignment="1" applyProtection="1" quotePrefix="1">
      <alignment/>
      <protection hidden="1"/>
    </xf>
    <xf numFmtId="49" fontId="26" fillId="0" borderId="35" xfId="0" applyNumberFormat="1" applyFont="1" applyBorder="1" applyAlignment="1" applyProtection="1">
      <alignment wrapText="1"/>
      <protection hidden="1"/>
    </xf>
    <xf numFmtId="4" fontId="26" fillId="0" borderId="43" xfId="0" applyNumberFormat="1" applyFont="1" applyBorder="1" applyAlignment="1" applyProtection="1">
      <alignment/>
      <protection hidden="1"/>
    </xf>
    <xf numFmtId="49" fontId="27" fillId="0" borderId="35" xfId="0" applyNumberFormat="1" applyFont="1" applyBorder="1" applyAlignment="1" applyProtection="1">
      <alignment wrapText="1"/>
      <protection hidden="1"/>
    </xf>
    <xf numFmtId="49" fontId="28" fillId="0" borderId="35" xfId="0" applyNumberFormat="1" applyFont="1" applyBorder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4" fontId="26" fillId="0" borderId="46" xfId="0" applyNumberFormat="1" applyFont="1" applyBorder="1" applyAlignment="1" applyProtection="1">
      <alignment/>
      <protection hidden="1"/>
    </xf>
    <xf numFmtId="49" fontId="26" fillId="22" borderId="54" xfId="0" applyNumberFormat="1" applyFont="1" applyFill="1" applyBorder="1" applyAlignment="1" applyProtection="1">
      <alignment vertical="center"/>
      <protection hidden="1"/>
    </xf>
    <xf numFmtId="4" fontId="26" fillId="22" borderId="55" xfId="0" applyNumberFormat="1" applyFont="1" applyFill="1" applyBorder="1" applyAlignment="1" applyProtection="1">
      <alignment vertical="center"/>
      <protection hidden="1"/>
    </xf>
    <xf numFmtId="4" fontId="26" fillId="22" borderId="46" xfId="0" applyNumberFormat="1" applyFont="1" applyFill="1" applyBorder="1" applyAlignment="1" applyProtection="1">
      <alignment vertical="center"/>
      <protection hidden="1"/>
    </xf>
    <xf numFmtId="169" fontId="26" fillId="22" borderId="48" xfId="0" applyNumberFormat="1" applyFont="1" applyFill="1" applyBorder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0" xfId="0" applyFont="1" applyBorder="1" applyAlignment="1" applyProtection="1">
      <alignment/>
      <protection hidden="1"/>
    </xf>
    <xf numFmtId="3" fontId="26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0" fontId="38" fillId="0" borderId="0" xfId="0" applyFont="1" applyAlignment="1" applyProtection="1">
      <alignment horizontal="right"/>
      <protection hidden="1"/>
    </xf>
    <xf numFmtId="4" fontId="38" fillId="0" borderId="0" xfId="0" applyNumberFormat="1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49" fontId="28" fillId="0" borderId="41" xfId="0" applyNumberFormat="1" applyFont="1" applyFill="1" applyBorder="1" applyAlignment="1" applyProtection="1">
      <alignment wrapText="1"/>
      <protection hidden="1"/>
    </xf>
    <xf numFmtId="4" fontId="28" fillId="0" borderId="43" xfId="0" applyNumberFormat="1" applyFont="1" applyFill="1" applyBorder="1" applyAlignment="1" applyProtection="1">
      <alignment wrapText="1"/>
      <protection hidden="1"/>
    </xf>
    <xf numFmtId="4" fontId="28" fillId="0" borderId="36" xfId="0" applyNumberFormat="1" applyFont="1" applyFill="1" applyBorder="1" applyAlignment="1" applyProtection="1">
      <alignment/>
      <protection hidden="1"/>
    </xf>
    <xf numFmtId="169" fontId="28" fillId="0" borderId="37" xfId="0" applyNumberFormat="1" applyFont="1" applyFill="1" applyBorder="1" applyAlignment="1" applyProtection="1">
      <alignment/>
      <protection hidden="1"/>
    </xf>
    <xf numFmtId="0" fontId="27" fillId="0" borderId="0" xfId="0" applyFont="1" applyFill="1" applyAlignment="1" applyProtection="1">
      <alignment/>
      <protection hidden="1"/>
    </xf>
    <xf numFmtId="49" fontId="28" fillId="0" borderId="41" xfId="0" applyNumberFormat="1" applyFont="1" applyFill="1" applyBorder="1" applyAlignment="1" applyProtection="1">
      <alignment/>
      <protection hidden="1"/>
    </xf>
    <xf numFmtId="0" fontId="28" fillId="0" borderId="0" xfId="0" applyFont="1" applyFill="1" applyAlignment="1" applyProtection="1">
      <alignment/>
      <protection hidden="1"/>
    </xf>
    <xf numFmtId="4" fontId="28" fillId="0" borderId="43" xfId="0" applyNumberFormat="1" applyFont="1" applyFill="1" applyBorder="1" applyAlignment="1" applyProtection="1">
      <alignment/>
      <protection hidden="1"/>
    </xf>
    <xf numFmtId="4" fontId="28" fillId="0" borderId="43" xfId="0" applyNumberFormat="1" applyFont="1" applyFill="1" applyBorder="1" applyAlignment="1" applyProtection="1" quotePrefix="1">
      <alignment/>
      <protection hidden="1"/>
    </xf>
    <xf numFmtId="4" fontId="28" fillId="0" borderId="36" xfId="0" applyNumberFormat="1" applyFont="1" applyFill="1" applyBorder="1" applyAlignment="1" applyProtection="1">
      <alignment horizontal="right"/>
      <protection hidden="1"/>
    </xf>
    <xf numFmtId="49" fontId="28" fillId="0" borderId="14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/>
    </xf>
    <xf numFmtId="49" fontId="28" fillId="0" borderId="15" xfId="0" applyNumberFormat="1" applyFont="1" applyFill="1" applyBorder="1" applyAlignment="1">
      <alignment horizontal="center" vertical="top" wrapText="1"/>
    </xf>
    <xf numFmtId="49" fontId="28" fillId="0" borderId="46" xfId="0" applyNumberFormat="1" applyFont="1" applyFill="1" applyBorder="1" applyAlignment="1">
      <alignment vertical="top" wrapText="1"/>
    </xf>
    <xf numFmtId="4" fontId="28" fillId="0" borderId="15" xfId="0" applyNumberFormat="1" applyFont="1" applyFill="1" applyBorder="1" applyAlignment="1">
      <alignment vertical="top"/>
    </xf>
    <xf numFmtId="49" fontId="27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9" fillId="20" borderId="16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 wrapText="1"/>
    </xf>
    <xf numFmtId="4" fontId="26" fillId="0" borderId="19" xfId="0" applyNumberFormat="1" applyFont="1" applyFill="1" applyBorder="1" applyAlignment="1">
      <alignment horizontal="right" vertical="center"/>
    </xf>
    <xf numFmtId="174" fontId="26" fillId="0" borderId="13" xfId="0" applyNumberFormat="1" applyFont="1" applyFill="1" applyBorder="1" applyAlignment="1">
      <alignment vertical="center"/>
    </xf>
    <xf numFmtId="4" fontId="26" fillId="0" borderId="39" xfId="0" applyNumberFormat="1" applyFont="1" applyFill="1" applyBorder="1" applyAlignment="1">
      <alignment horizontal="right" vertical="center"/>
    </xf>
    <xf numFmtId="174" fontId="26" fillId="0" borderId="31" xfId="0" applyNumberFormat="1" applyFont="1" applyFill="1" applyBorder="1" applyAlignment="1">
      <alignment horizontal="right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 wrapText="1"/>
    </xf>
    <xf numFmtId="4" fontId="27" fillId="0" borderId="13" xfId="0" applyNumberFormat="1" applyFont="1" applyFill="1" applyBorder="1" applyAlignment="1">
      <alignment horizontal="right" vertical="center"/>
    </xf>
    <xf numFmtId="174" fontId="27" fillId="0" borderId="13" xfId="0" applyNumberFormat="1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174" fontId="27" fillId="0" borderId="31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Alignment="1">
      <alignment horizontal="right" vertical="center"/>
    </xf>
    <xf numFmtId="0" fontId="40" fillId="0" borderId="0" xfId="0" applyFont="1" applyFill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left" vertical="center" wrapText="1"/>
    </xf>
    <xf numFmtId="4" fontId="26" fillId="0" borderId="13" xfId="0" applyNumberFormat="1" applyFont="1" applyFill="1" applyBorder="1" applyAlignment="1">
      <alignment horizontal="right" vertical="center"/>
    </xf>
    <xf numFmtId="4" fontId="26" fillId="0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right" vertical="center"/>
    </xf>
    <xf numFmtId="174" fontId="27" fillId="0" borderId="12" xfId="0" applyNumberFormat="1" applyFont="1" applyFill="1" applyBorder="1" applyAlignment="1">
      <alignment horizontal="right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left" vertical="center" wrapText="1"/>
    </xf>
    <xf numFmtId="4" fontId="26" fillId="0" borderId="11" xfId="0" applyNumberFormat="1" applyFont="1" applyFill="1" applyBorder="1" applyAlignment="1">
      <alignment horizontal="right" vertical="center"/>
    </xf>
    <xf numFmtId="174" fontId="26" fillId="0" borderId="12" xfId="0" applyNumberFormat="1" applyFont="1" applyFill="1" applyBorder="1" applyAlignment="1">
      <alignment horizontal="right" vertical="center"/>
    </xf>
    <xf numFmtId="0" fontId="37" fillId="0" borderId="11" xfId="0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vertical="top" wrapText="1"/>
    </xf>
    <xf numFmtId="174" fontId="27" fillId="0" borderId="11" xfId="0" applyNumberFormat="1" applyFont="1" applyFill="1" applyBorder="1" applyAlignment="1">
      <alignment vertical="center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39" fillId="0" borderId="43" xfId="0" applyNumberFormat="1" applyFont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vertical="center"/>
    </xf>
    <xf numFmtId="49" fontId="37" fillId="0" borderId="43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vertical="center" wrapText="1"/>
    </xf>
    <xf numFmtId="49" fontId="27" fillId="0" borderId="43" xfId="0" applyNumberFormat="1" applyFont="1" applyFill="1" applyBorder="1" applyAlignment="1">
      <alignment horizontal="left" vertical="center" wrapText="1"/>
    </xf>
    <xf numFmtId="49" fontId="37" fillId="0" borderId="11" xfId="0" applyNumberFormat="1" applyFont="1" applyBorder="1" applyAlignment="1">
      <alignment horizontal="left" vertical="center" wrapText="1"/>
    </xf>
    <xf numFmtId="49" fontId="27" fillId="0" borderId="41" xfId="0" applyNumberFormat="1" applyFont="1" applyFill="1" applyBorder="1" applyAlignment="1">
      <alignment horizontal="center" vertical="center" wrapText="1"/>
    </xf>
    <xf numFmtId="49" fontId="27" fillId="0" borderId="43" xfId="0" applyNumberFormat="1" applyFont="1" applyFill="1" applyBorder="1" applyAlignment="1">
      <alignment horizontal="center" vertical="center" wrapText="1"/>
    </xf>
    <xf numFmtId="4" fontId="27" fillId="0" borderId="43" xfId="0" applyNumberFormat="1" applyFont="1" applyFill="1" applyBorder="1" applyAlignment="1">
      <alignment horizontal="right" vertical="center"/>
    </xf>
    <xf numFmtId="4" fontId="26" fillId="24" borderId="15" xfId="0" applyNumberFormat="1" applyFont="1" applyFill="1" applyBorder="1" applyAlignment="1">
      <alignment horizontal="right" vertical="center"/>
    </xf>
    <xf numFmtId="174" fontId="26" fillId="24" borderId="16" xfId="0" applyNumberFormat="1" applyFont="1" applyFill="1" applyBorder="1" applyAlignment="1">
      <alignment vertical="center"/>
    </xf>
    <xf numFmtId="174" fontId="26" fillId="24" borderId="17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vertical="center" wrapText="1"/>
    </xf>
    <xf numFmtId="4" fontId="27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vertical="center"/>
    </xf>
    <xf numFmtId="174" fontId="27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39" fillId="20" borderId="19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7" fillId="0" borderId="0" xfId="0" applyFont="1" applyBorder="1" applyAlignment="1">
      <alignment horizontal="right" vertical="center"/>
    </xf>
    <xf numFmtId="0" fontId="26" fillId="20" borderId="23" xfId="0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 wrapText="1"/>
    </xf>
    <xf numFmtId="4" fontId="26" fillId="20" borderId="11" xfId="0" applyNumberFormat="1" applyFont="1" applyFill="1" applyBorder="1" applyAlignment="1">
      <alignment vertical="center"/>
    </xf>
    <xf numFmtId="0" fontId="27" fillId="20" borderId="0" xfId="0" applyFont="1" applyFill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" fontId="26" fillId="0" borderId="11" xfId="0" applyNumberFormat="1" applyFont="1" applyBorder="1" applyAlignment="1">
      <alignment vertical="center"/>
    </xf>
    <xf numFmtId="0" fontId="27" fillId="20" borderId="10" xfId="0" applyFont="1" applyFill="1" applyBorder="1" applyAlignment="1">
      <alignment horizontal="center" vertical="center"/>
    </xf>
    <xf numFmtId="49" fontId="27" fillId="20" borderId="11" xfId="0" applyNumberFormat="1" applyFont="1" applyFill="1" applyBorder="1" applyAlignment="1">
      <alignment horizontal="center" vertical="center"/>
    </xf>
    <xf numFmtId="4" fontId="27" fillId="20" borderId="11" xfId="0" applyNumberFormat="1" applyFont="1" applyFill="1" applyBorder="1" applyAlignment="1">
      <alignment vertical="center"/>
    </xf>
    <xf numFmtId="4" fontId="27" fillId="20" borderId="27" xfId="0" applyNumberFormat="1" applyFont="1" applyFill="1" applyBorder="1" applyAlignment="1">
      <alignment vertical="center"/>
    </xf>
    <xf numFmtId="4" fontId="27" fillId="20" borderId="12" xfId="0" applyNumberFormat="1" applyFont="1" applyFill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/>
    </xf>
    <xf numFmtId="4" fontId="27" fillId="0" borderId="11" xfId="0" applyNumberFormat="1" applyFont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7" fillId="0" borderId="27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27" fillId="20" borderId="11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20" borderId="23" xfId="0" applyFont="1" applyFill="1" applyBorder="1" applyAlignment="1">
      <alignment horizontal="center" vertical="center"/>
    </xf>
    <xf numFmtId="0" fontId="27" fillId="20" borderId="13" xfId="0" applyFont="1" applyFill="1" applyBorder="1" applyAlignment="1">
      <alignment horizontal="center" vertical="center"/>
    </xf>
    <xf numFmtId="49" fontId="27" fillId="20" borderId="13" xfId="0" applyNumberFormat="1" applyFont="1" applyFill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49" fontId="27" fillId="0" borderId="30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27" fillId="20" borderId="13" xfId="0" applyNumberFormat="1" applyFont="1" applyFill="1" applyBorder="1" applyAlignment="1">
      <alignment vertical="center"/>
    </xf>
    <xf numFmtId="4" fontId="27" fillId="0" borderId="30" xfId="0" applyNumberFormat="1" applyFont="1" applyBorder="1" applyAlignment="1">
      <alignment vertical="center"/>
    </xf>
    <xf numFmtId="4" fontId="26" fillId="20" borderId="13" xfId="0" applyNumberFormat="1" applyFont="1" applyFill="1" applyBorder="1" applyAlignment="1">
      <alignment vertical="center"/>
    </xf>
    <xf numFmtId="4" fontId="26" fillId="0" borderId="16" xfId="0" applyNumberFormat="1" applyFont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4" fontId="26" fillId="20" borderId="12" xfId="0" applyNumberFormat="1" applyFont="1" applyFill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4" fontId="27" fillId="20" borderId="11" xfId="0" applyNumberFormat="1" applyFont="1" applyFill="1" applyBorder="1" applyAlignment="1">
      <alignment horizontal="right" vertical="center"/>
    </xf>
    <xf numFmtId="4" fontId="26" fillId="20" borderId="31" xfId="0" applyNumberFormat="1" applyFont="1" applyFill="1" applyBorder="1" applyAlignment="1">
      <alignment vertical="center"/>
    </xf>
    <xf numFmtId="0" fontId="26" fillId="20" borderId="0" xfId="0" applyFont="1" applyFill="1" applyAlignment="1">
      <alignment vertical="center"/>
    </xf>
    <xf numFmtId="4" fontId="26" fillId="0" borderId="17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" fontId="27" fillId="25" borderId="11" xfId="0" applyNumberFormat="1" applyFont="1" applyFill="1" applyBorder="1" applyAlignment="1">
      <alignment vertical="center"/>
    </xf>
    <xf numFmtId="0" fontId="26" fillId="20" borderId="19" xfId="0" applyFont="1" applyFill="1" applyBorder="1" applyAlignment="1">
      <alignment vertical="center"/>
    </xf>
    <xf numFmtId="0" fontId="26" fillId="20" borderId="20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" fontId="27" fillId="0" borderId="57" xfId="0" applyNumberFormat="1" applyFont="1" applyBorder="1" applyAlignment="1">
      <alignment vertical="center"/>
    </xf>
    <xf numFmtId="0" fontId="27" fillId="0" borderId="30" xfId="0" applyFont="1" applyBorder="1" applyAlignment="1">
      <alignment horizontal="center" vertical="center"/>
    </xf>
    <xf numFmtId="174" fontId="27" fillId="0" borderId="34" xfId="0" applyNumberFormat="1" applyFont="1" applyBorder="1" applyAlignment="1">
      <alignment horizontal="right" vertical="center"/>
    </xf>
    <xf numFmtId="4" fontId="26" fillId="22" borderId="15" xfId="0" applyNumberFormat="1" applyFont="1" applyFill="1" applyBorder="1" applyAlignment="1">
      <alignment vertical="center"/>
    </xf>
    <xf numFmtId="174" fontId="26" fillId="22" borderId="26" xfId="0" applyNumberFormat="1" applyFont="1" applyFill="1" applyBorder="1" applyAlignment="1">
      <alignment horizontal="right" vertical="center"/>
    </xf>
    <xf numFmtId="4" fontId="27" fillId="25" borderId="27" xfId="0" applyNumberFormat="1" applyFont="1" applyFill="1" applyBorder="1" applyAlignment="1">
      <alignment vertical="center"/>
    </xf>
    <xf numFmtId="4" fontId="27" fillId="25" borderId="12" xfId="0" applyNumberFormat="1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4" fontId="27" fillId="20" borderId="32" xfId="0" applyNumberFormat="1" applyFont="1" applyFill="1" applyBorder="1" applyAlignment="1">
      <alignment vertical="center"/>
    </xf>
    <xf numFmtId="4" fontId="27" fillId="20" borderId="31" xfId="0" applyNumberFormat="1" applyFont="1" applyFill="1" applyBorder="1" applyAlignment="1">
      <alignment vertical="center"/>
    </xf>
    <xf numFmtId="4" fontId="27" fillId="0" borderId="30" xfId="0" applyNumberFormat="1" applyFont="1" applyFill="1" applyBorder="1" applyAlignment="1">
      <alignment vertical="center"/>
    </xf>
    <xf numFmtId="4" fontId="27" fillId="0" borderId="33" xfId="0" applyNumberFormat="1" applyFont="1" applyBorder="1" applyAlignment="1">
      <alignment vertical="center"/>
    </xf>
    <xf numFmtId="4" fontId="27" fillId="0" borderId="34" xfId="0" applyNumberFormat="1" applyFont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6" fillId="0" borderId="16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4" fontId="27" fillId="0" borderId="27" xfId="0" applyNumberFormat="1" applyFont="1" applyFill="1" applyBorder="1" applyAlignment="1">
      <alignment vertical="center"/>
    </xf>
    <xf numFmtId="4" fontId="27" fillId="0" borderId="13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6" fillId="20" borderId="0" xfId="0" applyFont="1" applyFill="1" applyAlignment="1">
      <alignment vertical="center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27" xfId="0" applyFont="1" applyFill="1" applyBorder="1" applyAlignment="1">
      <alignment horizontal="center" vertical="center" wrapText="1"/>
    </xf>
    <xf numFmtId="0" fontId="29" fillId="20" borderId="0" xfId="0" applyFont="1" applyFill="1" applyAlignment="1">
      <alignment horizontal="center" vertical="center"/>
    </xf>
    <xf numFmtId="4" fontId="26" fillId="22" borderId="50" xfId="0" applyNumberFormat="1" applyFont="1" applyFill="1" applyBorder="1" applyAlignment="1">
      <alignment horizontal="right" vertical="center"/>
    </xf>
    <xf numFmtId="4" fontId="26" fillId="22" borderId="20" xfId="0" applyNumberFormat="1" applyFont="1" applyFill="1" applyBorder="1" applyAlignment="1">
      <alignment horizontal="right" vertical="center"/>
    </xf>
    <xf numFmtId="0" fontId="26" fillId="20" borderId="58" xfId="0" applyFont="1" applyFill="1" applyBorder="1" applyAlignment="1">
      <alignment horizontal="center" vertical="center"/>
    </xf>
    <xf numFmtId="0" fontId="26" fillId="20" borderId="59" xfId="0" applyFont="1" applyFill="1" applyBorder="1" applyAlignment="1">
      <alignment horizontal="center" vertical="center"/>
    </xf>
    <xf numFmtId="0" fontId="26" fillId="20" borderId="59" xfId="0" applyFont="1" applyFill="1" applyBorder="1" applyAlignment="1">
      <alignment horizontal="center" vertical="center" wrapText="1"/>
    </xf>
    <xf numFmtId="0" fontId="26" fillId="20" borderId="60" xfId="0" applyFont="1" applyFill="1" applyBorder="1" applyAlignment="1">
      <alignment horizontal="center" vertical="center" wrapText="1"/>
    </xf>
    <xf numFmtId="0" fontId="42" fillId="20" borderId="21" xfId="0" applyFont="1" applyFill="1" applyBorder="1" applyAlignment="1">
      <alignment horizontal="center" vertical="center"/>
    </xf>
    <xf numFmtId="0" fontId="42" fillId="20" borderId="16" xfId="0" applyFont="1" applyFill="1" applyBorder="1" applyAlignment="1">
      <alignment horizontal="center" vertical="center"/>
    </xf>
    <xf numFmtId="0" fontId="42" fillId="20" borderId="16" xfId="0" applyFont="1" applyFill="1" applyBorder="1" applyAlignment="1">
      <alignment horizontal="center" vertical="center" wrapText="1"/>
    </xf>
    <xf numFmtId="0" fontId="42" fillId="20" borderId="17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26" fillId="22" borderId="18" xfId="0" applyFont="1" applyFill="1" applyBorder="1" applyAlignment="1">
      <alignment horizontal="center" vertical="center"/>
    </xf>
    <xf numFmtId="0" fontId="26" fillId="22" borderId="19" xfId="0" applyFont="1" applyFill="1" applyBorder="1" applyAlignment="1">
      <alignment vertical="center"/>
    </xf>
    <xf numFmtId="0" fontId="26" fillId="22" borderId="19" xfId="0" applyFont="1" applyFill="1" applyBorder="1" applyAlignment="1">
      <alignment vertical="center" wrapText="1"/>
    </xf>
    <xf numFmtId="4" fontId="26" fillId="22" borderId="19" xfId="0" applyNumberFormat="1" applyFont="1" applyFill="1" applyBorder="1" applyAlignment="1">
      <alignment vertical="center"/>
    </xf>
    <xf numFmtId="174" fontId="26" fillId="22" borderId="20" xfId="0" applyNumberFormat="1" applyFont="1" applyFill="1" applyBorder="1" applyAlignment="1">
      <alignment horizontal="center" vertical="center"/>
    </xf>
    <xf numFmtId="0" fontId="26" fillId="22" borderId="23" xfId="0" applyFont="1" applyFill="1" applyBorder="1" applyAlignment="1">
      <alignment horizontal="center" vertical="center"/>
    </xf>
    <xf numFmtId="0" fontId="26" fillId="22" borderId="13" xfId="0" applyFont="1" applyFill="1" applyBorder="1" applyAlignment="1">
      <alignment vertical="center"/>
    </xf>
    <xf numFmtId="4" fontId="26" fillId="22" borderId="13" xfId="0" applyNumberFormat="1" applyFont="1" applyFill="1" applyBorder="1" applyAlignment="1">
      <alignment vertical="center"/>
    </xf>
    <xf numFmtId="174" fontId="26" fillId="22" borderId="31" xfId="0" applyNumberFormat="1" applyFont="1" applyFill="1" applyBorder="1" applyAlignment="1">
      <alignment vertical="center"/>
    </xf>
    <xf numFmtId="49" fontId="27" fillId="0" borderId="43" xfId="0" applyNumberFormat="1" applyFont="1" applyBorder="1" applyAlignment="1">
      <alignment horizontal="center" vertical="center"/>
    </xf>
    <xf numFmtId="0" fontId="27" fillId="0" borderId="43" xfId="0" applyFont="1" applyBorder="1" applyAlignment="1">
      <alignment vertical="center" wrapText="1"/>
    </xf>
    <xf numFmtId="4" fontId="27" fillId="0" borderId="43" xfId="0" applyNumberFormat="1" applyFont="1" applyBorder="1" applyAlignment="1">
      <alignment vertical="center"/>
    </xf>
    <xf numFmtId="174" fontId="27" fillId="0" borderId="37" xfId="0" applyNumberFormat="1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4" fontId="26" fillId="24" borderId="55" xfId="0" applyNumberFormat="1" applyFont="1" applyFill="1" applyBorder="1" applyAlignment="1">
      <alignment vertical="center"/>
    </xf>
    <xf numFmtId="174" fontId="26" fillId="24" borderId="48" xfId="0" applyNumberFormat="1" applyFont="1" applyFill="1" applyBorder="1" applyAlignment="1">
      <alignment vertical="center"/>
    </xf>
    <xf numFmtId="9" fontId="27" fillId="0" borderId="43" xfId="60" applyFont="1" applyBorder="1" applyAlignment="1">
      <alignment vertical="center" wrapText="1"/>
    </xf>
    <xf numFmtId="0" fontId="27" fillId="0" borderId="13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174" fontId="27" fillId="0" borderId="31" xfId="0" applyNumberFormat="1" applyFont="1" applyBorder="1" applyAlignment="1">
      <alignment vertical="center"/>
    </xf>
    <xf numFmtId="0" fontId="26" fillId="22" borderId="35" xfId="0" applyFont="1" applyFill="1" applyBorder="1" applyAlignment="1">
      <alignment horizontal="center" vertical="center"/>
    </xf>
    <xf numFmtId="0" fontId="26" fillId="22" borderId="43" xfId="0" applyFont="1" applyFill="1" applyBorder="1" applyAlignment="1">
      <alignment vertical="center"/>
    </xf>
    <xf numFmtId="0" fontId="26" fillId="22" borderId="43" xfId="0" applyFont="1" applyFill="1" applyBorder="1" applyAlignment="1">
      <alignment vertical="center" wrapText="1"/>
    </xf>
    <xf numFmtId="4" fontId="26" fillId="22" borderId="43" xfId="0" applyNumberFormat="1" applyFont="1" applyFill="1" applyBorder="1" applyAlignment="1">
      <alignment vertical="center"/>
    </xf>
    <xf numFmtId="174" fontId="26" fillId="22" borderId="37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4" fontId="27" fillId="0" borderId="36" xfId="0" applyNumberFormat="1" applyFont="1" applyBorder="1" applyAlignment="1">
      <alignment vertical="center"/>
    </xf>
    <xf numFmtId="174" fontId="27" fillId="0" borderId="44" xfId="0" applyNumberFormat="1" applyFont="1" applyBorder="1" applyAlignment="1">
      <alignment vertical="center"/>
    </xf>
    <xf numFmtId="0" fontId="27" fillId="0" borderId="3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174" fontId="27" fillId="0" borderId="31" xfId="0" applyNumberFormat="1" applyFont="1" applyBorder="1" applyAlignment="1">
      <alignment horizontal="center" vertical="center"/>
    </xf>
    <xf numFmtId="0" fontId="26" fillId="22" borderId="28" xfId="0" applyFont="1" applyFill="1" applyBorder="1" applyAlignment="1">
      <alignment horizontal="center" vertical="center"/>
    </xf>
    <xf numFmtId="0" fontId="26" fillId="22" borderId="11" xfId="0" applyFont="1" applyFill="1" applyBorder="1" applyAlignment="1">
      <alignment vertical="center"/>
    </xf>
    <xf numFmtId="0" fontId="26" fillId="22" borderId="11" xfId="0" applyFont="1" applyFill="1" applyBorder="1" applyAlignment="1">
      <alignment vertical="center" wrapText="1"/>
    </xf>
    <xf numFmtId="4" fontId="26" fillId="22" borderId="11" xfId="0" applyNumberFormat="1" applyFont="1" applyFill="1" applyBorder="1" applyAlignment="1">
      <alignment vertical="center"/>
    </xf>
    <xf numFmtId="174" fontId="26" fillId="22" borderId="12" xfId="0" applyNumberFormat="1" applyFont="1" applyFill="1" applyBorder="1" applyAlignment="1">
      <alignment horizontal="center" vertical="center"/>
    </xf>
    <xf numFmtId="174" fontId="26" fillId="22" borderId="31" xfId="0" applyNumberFormat="1" applyFont="1" applyFill="1" applyBorder="1" applyAlignment="1">
      <alignment horizontal="center" vertical="center"/>
    </xf>
    <xf numFmtId="174" fontId="26" fillId="22" borderId="20" xfId="0" applyNumberFormat="1" applyFont="1" applyFill="1" applyBorder="1" applyAlignment="1">
      <alignment vertical="center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174" fontId="27" fillId="0" borderId="31" xfId="0" applyNumberFormat="1" applyFont="1" applyBorder="1" applyAlignment="1">
      <alignment horizontal="right" vertical="center"/>
    </xf>
    <xf numFmtId="0" fontId="26" fillId="22" borderId="38" xfId="0" applyFont="1" applyFill="1" applyBorder="1" applyAlignment="1">
      <alignment horizontal="center" vertical="center"/>
    </xf>
    <xf numFmtId="0" fontId="26" fillId="0" borderId="0" xfId="52" applyFont="1" applyAlignment="1">
      <alignment horizontal="center" vertical="center"/>
      <protection/>
    </xf>
    <xf numFmtId="0" fontId="26" fillId="21" borderId="0" xfId="0" applyFont="1" applyFill="1" applyAlignment="1">
      <alignment horizontal="center" vertical="center"/>
    </xf>
    <xf numFmtId="0" fontId="42" fillId="21" borderId="0" xfId="0" applyFont="1" applyFill="1" applyAlignment="1">
      <alignment horizontal="center" vertical="center"/>
    </xf>
    <xf numFmtId="174" fontId="27" fillId="0" borderId="37" xfId="0" applyNumberFormat="1" applyFont="1" applyBorder="1" applyAlignment="1">
      <alignment horizontal="right" vertical="center"/>
    </xf>
    <xf numFmtId="4" fontId="26" fillId="24" borderId="16" xfId="0" applyNumberFormat="1" applyFont="1" applyFill="1" applyBorder="1" applyAlignment="1">
      <alignment vertical="center"/>
    </xf>
    <xf numFmtId="174" fontId="26" fillId="24" borderId="17" xfId="0" applyNumberFormat="1" applyFont="1" applyFill="1" applyBorder="1" applyAlignment="1">
      <alignment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9" fillId="20" borderId="58" xfId="0" applyNumberFormat="1" applyFont="1" applyFill="1" applyBorder="1" applyAlignment="1">
      <alignment horizontal="center" vertical="center"/>
    </xf>
    <xf numFmtId="49" fontId="39" fillId="20" borderId="59" xfId="0" applyNumberFormat="1" applyFont="1" applyFill="1" applyBorder="1" applyAlignment="1">
      <alignment horizontal="center" vertical="center"/>
    </xf>
    <xf numFmtId="0" fontId="39" fillId="20" borderId="61" xfId="0" applyFont="1" applyFill="1" applyBorder="1" applyAlignment="1">
      <alignment horizontal="center" vertical="center"/>
    </xf>
    <xf numFmtId="169" fontId="26" fillId="22" borderId="31" xfId="0" applyNumberFormat="1" applyFont="1" applyFill="1" applyBorder="1" applyAlignment="1">
      <alignment vertical="center"/>
    </xf>
    <xf numFmtId="49" fontId="26" fillId="0" borderId="41" xfId="0" applyNumberFormat="1" applyFont="1" applyFill="1" applyBorder="1" applyAlignment="1">
      <alignment horizontal="center" vertical="center"/>
    </xf>
    <xf numFmtId="49" fontId="26" fillId="0" borderId="43" xfId="0" applyNumberFormat="1" applyFont="1" applyFill="1" applyBorder="1" applyAlignment="1">
      <alignment horizontal="center" vertical="center"/>
    </xf>
    <xf numFmtId="49" fontId="26" fillId="0" borderId="43" xfId="0" applyNumberFormat="1" applyFont="1" applyFill="1" applyBorder="1" applyAlignment="1">
      <alignment vertical="center" wrapText="1"/>
    </xf>
    <xf numFmtId="4" fontId="26" fillId="0" borderId="43" xfId="0" applyNumberFormat="1" applyFont="1" applyFill="1" applyBorder="1" applyAlignment="1">
      <alignment vertical="center"/>
    </xf>
    <xf numFmtId="169" fontId="26" fillId="0" borderId="44" xfId="0" applyNumberFormat="1" applyFont="1" applyFill="1" applyBorder="1" applyAlignment="1">
      <alignment vertical="center"/>
    </xf>
    <xf numFmtId="49" fontId="27" fillId="0" borderId="41" xfId="0" applyNumberFormat="1" applyFont="1" applyFill="1" applyBorder="1" applyAlignment="1">
      <alignment horizontal="center" vertical="center"/>
    </xf>
    <xf numFmtId="49" fontId="27" fillId="0" borderId="43" xfId="0" applyNumberFormat="1" applyFont="1" applyFill="1" applyBorder="1" applyAlignment="1">
      <alignment horizontal="center" vertical="center"/>
    </xf>
    <xf numFmtId="49" fontId="27" fillId="0" borderId="43" xfId="0" applyNumberFormat="1" applyFont="1" applyFill="1" applyBorder="1" applyAlignment="1">
      <alignment vertical="center" wrapText="1"/>
    </xf>
    <xf numFmtId="4" fontId="27" fillId="0" borderId="43" xfId="0" applyNumberFormat="1" applyFont="1" applyFill="1" applyBorder="1" applyAlignment="1">
      <alignment vertical="center"/>
    </xf>
    <xf numFmtId="169" fontId="27" fillId="0" borderId="44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49" fontId="35" fillId="0" borderId="41" xfId="0" applyNumberFormat="1" applyFont="1" applyFill="1" applyBorder="1" applyAlignment="1">
      <alignment horizontal="center" vertical="center"/>
    </xf>
    <xf numFmtId="49" fontId="35" fillId="0" borderId="43" xfId="0" applyNumberFormat="1" applyFont="1" applyFill="1" applyBorder="1" applyAlignment="1">
      <alignment horizontal="center" vertical="center"/>
    </xf>
    <xf numFmtId="49" fontId="35" fillId="0" borderId="43" xfId="0" applyNumberFormat="1" applyFont="1" applyFill="1" applyBorder="1" applyAlignment="1">
      <alignment vertical="center" wrapText="1"/>
    </xf>
    <xf numFmtId="4" fontId="35" fillId="0" borderId="43" xfId="0" applyNumberFormat="1" applyFont="1" applyFill="1" applyBorder="1" applyAlignment="1">
      <alignment vertical="center"/>
    </xf>
    <xf numFmtId="169" fontId="35" fillId="0" borderId="44" xfId="0" applyNumberFormat="1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49" fontId="28" fillId="0" borderId="41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vertical="center" wrapText="1"/>
    </xf>
    <xf numFmtId="4" fontId="28" fillId="0" borderId="43" xfId="0" applyNumberFormat="1" applyFont="1" applyFill="1" applyBorder="1" applyAlignment="1">
      <alignment vertical="center"/>
    </xf>
    <xf numFmtId="169" fontId="28" fillId="0" borderId="4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49" fontId="33" fillId="0" borderId="41" xfId="0" applyNumberFormat="1" applyFont="1" applyFill="1" applyBorder="1" applyAlignment="1">
      <alignment horizontal="center" vertical="center"/>
    </xf>
    <xf numFmtId="49" fontId="33" fillId="0" borderId="43" xfId="0" applyNumberFormat="1" applyFont="1" applyFill="1" applyBorder="1" applyAlignment="1">
      <alignment horizontal="center" vertical="center"/>
    </xf>
    <xf numFmtId="49" fontId="43" fillId="0" borderId="43" xfId="0" applyNumberFormat="1" applyFont="1" applyFill="1" applyBorder="1" applyAlignment="1">
      <alignment vertical="center" wrapText="1"/>
    </xf>
    <xf numFmtId="4" fontId="43" fillId="0" borderId="43" xfId="0" applyNumberFormat="1" applyFont="1" applyFill="1" applyBorder="1" applyAlignment="1">
      <alignment vertical="center"/>
    </xf>
    <xf numFmtId="169" fontId="43" fillId="0" borderId="44" xfId="0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7" fillId="0" borderId="43" xfId="0" applyFont="1" applyFill="1" applyBorder="1" applyAlignment="1">
      <alignment vertical="center" wrapText="1"/>
    </xf>
    <xf numFmtId="49" fontId="44" fillId="0" borderId="41" xfId="0" applyNumberFormat="1" applyFont="1" applyFill="1" applyBorder="1" applyAlignment="1">
      <alignment horizontal="center" vertical="center"/>
    </xf>
    <xf numFmtId="49" fontId="44" fillId="0" borderId="43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49" fontId="27" fillId="0" borderId="43" xfId="0" applyNumberFormat="1" applyFont="1" applyFill="1" applyBorder="1" applyAlignment="1">
      <alignment vertical="center"/>
    </xf>
    <xf numFmtId="49" fontId="26" fillId="0" borderId="43" xfId="0" applyNumberFormat="1" applyFont="1" applyFill="1" applyBorder="1" applyAlignment="1">
      <alignment vertical="center"/>
    </xf>
    <xf numFmtId="49" fontId="26" fillId="0" borderId="41" xfId="0" applyNumberFormat="1" applyFont="1" applyFill="1" applyBorder="1" applyAlignment="1">
      <alignment horizontal="center" vertical="center" wrapText="1"/>
    </xf>
    <xf numFmtId="49" fontId="27" fillId="0" borderId="35" xfId="0" applyNumberFormat="1" applyFont="1" applyFill="1" applyBorder="1" applyAlignment="1">
      <alignment horizontal="center" vertical="center"/>
    </xf>
    <xf numFmtId="49" fontId="26" fillId="0" borderId="35" xfId="0" applyNumberFormat="1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vertical="center"/>
    </xf>
    <xf numFmtId="49" fontId="28" fillId="0" borderId="35" xfId="0" applyNumberFormat="1" applyFont="1" applyFill="1" applyBorder="1" applyAlignment="1">
      <alignment horizontal="center" vertical="center"/>
    </xf>
    <xf numFmtId="49" fontId="28" fillId="0" borderId="43" xfId="0" applyNumberFormat="1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49" fontId="26" fillId="0" borderId="35" xfId="0" applyNumberFormat="1" applyFont="1" applyFill="1" applyBorder="1" applyAlignment="1">
      <alignment horizontal="center" vertical="center" wrapText="1"/>
    </xf>
    <xf numFmtId="4" fontId="26" fillId="0" borderId="43" xfId="0" applyNumberFormat="1" applyFont="1" applyFill="1" applyBorder="1" applyAlignment="1">
      <alignment horizontal="right" vertical="center" wrapText="1"/>
    </xf>
    <xf numFmtId="4" fontId="27" fillId="0" borderId="43" xfId="0" applyNumberFormat="1" applyFont="1" applyFill="1" applyBorder="1" applyAlignment="1">
      <alignment horizontal="right" vertical="center" wrapText="1"/>
    </xf>
    <xf numFmtId="49" fontId="26" fillId="22" borderId="38" xfId="0" applyNumberFormat="1" applyFont="1" applyFill="1" applyBorder="1" applyAlignment="1">
      <alignment horizontal="center" vertical="center"/>
    </xf>
    <xf numFmtId="49" fontId="26" fillId="22" borderId="49" xfId="0" applyNumberFormat="1" applyFont="1" applyFill="1" applyBorder="1" applyAlignment="1">
      <alignment horizontal="center" vertical="center"/>
    </xf>
    <xf numFmtId="49" fontId="46" fillId="0" borderId="35" xfId="0" applyNumberFormat="1" applyFont="1" applyFill="1" applyBorder="1" applyAlignment="1">
      <alignment horizontal="center" vertical="center"/>
    </xf>
    <xf numFmtId="49" fontId="27" fillId="0" borderId="42" xfId="0" applyNumberFormat="1" applyFont="1" applyFill="1" applyBorder="1" applyAlignment="1">
      <alignment vertical="center"/>
    </xf>
    <xf numFmtId="4" fontId="27" fillId="0" borderId="42" xfId="0" applyNumberFormat="1" applyFont="1" applyFill="1" applyBorder="1" applyAlignment="1">
      <alignment vertical="center"/>
    </xf>
    <xf numFmtId="49" fontId="28" fillId="0" borderId="43" xfId="0" applyNumberFormat="1" applyFont="1" applyFill="1" applyBorder="1" applyAlignment="1">
      <alignment horizontal="left" vertical="center" wrapText="1"/>
    </xf>
    <xf numFmtId="169" fontId="44" fillId="0" borderId="44" xfId="0" applyNumberFormat="1" applyFont="1" applyFill="1" applyBorder="1" applyAlignment="1">
      <alignment vertical="center"/>
    </xf>
    <xf numFmtId="4" fontId="26" fillId="22" borderId="11" xfId="0" applyNumberFormat="1" applyFont="1" applyFill="1" applyBorder="1" applyAlignment="1">
      <alignment vertical="center"/>
    </xf>
    <xf numFmtId="169" fontId="26" fillId="22" borderId="12" xfId="0" applyNumberFormat="1" applyFont="1" applyFill="1" applyBorder="1" applyAlignment="1">
      <alignment vertical="center"/>
    </xf>
    <xf numFmtId="49" fontId="26" fillId="0" borderId="41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43" xfId="0" applyNumberFormat="1" applyFont="1" applyBorder="1" applyAlignment="1">
      <alignment vertical="center"/>
    </xf>
    <xf numFmtId="169" fontId="26" fillId="0" borderId="44" xfId="0" applyNumberFormat="1" applyFont="1" applyBorder="1" applyAlignment="1">
      <alignment vertic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169" fontId="27" fillId="0" borderId="44" xfId="0" applyNumberFormat="1" applyFont="1" applyBorder="1" applyAlignment="1">
      <alignment vertical="center"/>
    </xf>
    <xf numFmtId="49" fontId="35" fillId="0" borderId="41" xfId="0" applyNumberFormat="1" applyFont="1" applyBorder="1" applyAlignment="1">
      <alignment horizontal="center" vertical="center"/>
    </xf>
    <xf numFmtId="49" fontId="35" fillId="0" borderId="43" xfId="0" applyNumberFormat="1" applyFont="1" applyBorder="1" applyAlignment="1">
      <alignment horizontal="center" vertical="center"/>
    </xf>
    <xf numFmtId="49" fontId="35" fillId="0" borderId="43" xfId="0" applyNumberFormat="1" applyFont="1" applyBorder="1" applyAlignment="1">
      <alignment vertical="center" wrapText="1"/>
    </xf>
    <xf numFmtId="169" fontId="35" fillId="0" borderId="44" xfId="0" applyNumberFormat="1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49" fontId="28" fillId="0" borderId="41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vertical="center" wrapText="1"/>
    </xf>
    <xf numFmtId="4" fontId="28" fillId="0" borderId="43" xfId="0" applyNumberFormat="1" applyFont="1" applyBorder="1" applyAlignment="1">
      <alignment vertical="center"/>
    </xf>
    <xf numFmtId="169" fontId="28" fillId="0" borderId="44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9" fontId="28" fillId="0" borderId="35" xfId="0" applyNumberFormat="1" applyFont="1" applyBorder="1" applyAlignment="1">
      <alignment horizontal="center" vertical="center"/>
    </xf>
    <xf numFmtId="49" fontId="28" fillId="0" borderId="43" xfId="0" applyNumberFormat="1" applyFont="1" applyBorder="1" applyAlignment="1">
      <alignment horizontal="left" vertical="center" wrapText="1"/>
    </xf>
    <xf numFmtId="49" fontId="33" fillId="0" borderId="41" xfId="0" applyNumberFormat="1" applyFont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/>
    </xf>
    <xf numFmtId="49" fontId="43" fillId="0" borderId="43" xfId="0" applyNumberFormat="1" applyFont="1" applyBorder="1" applyAlignment="1">
      <alignment vertical="center" wrapText="1"/>
    </xf>
    <xf numFmtId="4" fontId="43" fillId="0" borderId="43" xfId="0" applyNumberFormat="1" applyFont="1" applyBorder="1" applyAlignment="1">
      <alignment vertical="center"/>
    </xf>
    <xf numFmtId="169" fontId="43" fillId="0" borderId="44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9" fontId="26" fillId="0" borderId="43" xfId="0" applyNumberFormat="1" applyFont="1" applyBorder="1" applyAlignment="1">
      <alignment vertical="center" wrapText="1"/>
    </xf>
    <xf numFmtId="0" fontId="27" fillId="0" borderId="43" xfId="0" applyFont="1" applyBorder="1" applyAlignment="1">
      <alignment vertical="center"/>
    </xf>
    <xf numFmtId="49" fontId="27" fillId="0" borderId="35" xfId="0" applyNumberFormat="1" applyFont="1" applyBorder="1" applyAlignment="1">
      <alignment horizontal="center" vertical="center"/>
    </xf>
    <xf numFmtId="49" fontId="26" fillId="0" borderId="35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vertical="center"/>
    </xf>
    <xf numFmtId="49" fontId="26" fillId="0" borderId="35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49" fontId="27" fillId="0" borderId="43" xfId="0" applyNumberFormat="1" applyFont="1" applyBorder="1" applyAlignment="1">
      <alignment horizontal="center" vertical="center" wrapText="1"/>
    </xf>
    <xf numFmtId="0" fontId="27" fillId="0" borderId="43" xfId="0" applyFont="1" applyBorder="1" applyAlignment="1">
      <alignment vertical="center" wrapText="1"/>
    </xf>
    <xf numFmtId="0" fontId="27" fillId="0" borderId="42" xfId="0" applyFont="1" applyBorder="1" applyAlignment="1">
      <alignment vertical="center" wrapText="1"/>
    </xf>
    <xf numFmtId="4" fontId="27" fillId="0" borderId="42" xfId="0" applyNumberFormat="1" applyFont="1" applyBorder="1" applyAlignment="1">
      <alignment vertical="center"/>
    </xf>
    <xf numFmtId="49" fontId="26" fillId="22" borderId="62" xfId="0" applyNumberFormat="1" applyFont="1" applyFill="1" applyBorder="1" applyAlignment="1">
      <alignment vertical="center" wrapText="1"/>
    </xf>
    <xf numFmtId="49" fontId="28" fillId="0" borderId="36" xfId="0" applyNumberFormat="1" applyFont="1" applyFill="1" applyBorder="1" applyAlignment="1">
      <alignment horizontal="center" vertical="center"/>
    </xf>
    <xf numFmtId="4" fontId="46" fillId="0" borderId="43" xfId="0" applyNumberFormat="1" applyFont="1" applyFill="1" applyBorder="1" applyAlignment="1">
      <alignment vertical="center"/>
    </xf>
    <xf numFmtId="49" fontId="27" fillId="0" borderId="38" xfId="0" applyNumberFormat="1" applyFont="1" applyFill="1" applyBorder="1" applyAlignment="1">
      <alignment horizontal="center" vertical="center"/>
    </xf>
    <xf numFmtId="49" fontId="27" fillId="0" borderId="32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vertical="center" wrapText="1"/>
    </xf>
    <xf numFmtId="4" fontId="28" fillId="0" borderId="13" xfId="0" applyNumberFormat="1" applyFont="1" applyFill="1" applyBorder="1" applyAlignment="1">
      <alignment vertical="center"/>
    </xf>
    <xf numFmtId="169" fontId="28" fillId="0" borderId="45" xfId="0" applyNumberFormat="1" applyFont="1" applyFill="1" applyBorder="1" applyAlignment="1">
      <alignment vertical="center"/>
    </xf>
    <xf numFmtId="49" fontId="27" fillId="0" borderId="36" xfId="0" applyNumberFormat="1" applyFont="1" applyFill="1" applyBorder="1" applyAlignment="1">
      <alignment horizontal="center" vertical="center"/>
    </xf>
    <xf numFmtId="169" fontId="26" fillId="22" borderId="45" xfId="0" applyNumberFormat="1" applyFont="1" applyFill="1" applyBorder="1" applyAlignment="1">
      <alignment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vertical="center"/>
    </xf>
    <xf numFmtId="3" fontId="37" fillId="0" borderId="0" xfId="0" applyNumberFormat="1" applyFont="1" applyAlignment="1">
      <alignment vertical="center"/>
    </xf>
    <xf numFmtId="49" fontId="26" fillId="7" borderId="35" xfId="0" applyNumberFormat="1" applyFont="1" applyFill="1" applyBorder="1" applyAlignment="1">
      <alignment horizontal="center" vertical="center"/>
    </xf>
    <xf numFmtId="49" fontId="26" fillId="7" borderId="36" xfId="0" applyNumberFormat="1" applyFont="1" applyFill="1" applyBorder="1" applyAlignment="1">
      <alignment horizontal="center" vertical="center"/>
    </xf>
    <xf numFmtId="49" fontId="26" fillId="7" borderId="43" xfId="0" applyNumberFormat="1" applyFont="1" applyFill="1" applyBorder="1" applyAlignment="1">
      <alignment vertical="center" wrapText="1"/>
    </xf>
    <xf numFmtId="4" fontId="26" fillId="7" borderId="43" xfId="0" applyNumberFormat="1" applyFont="1" applyFill="1" applyBorder="1" applyAlignment="1">
      <alignment vertical="center"/>
    </xf>
    <xf numFmtId="169" fontId="26" fillId="7" borderId="44" xfId="0" applyNumberFormat="1" applyFont="1" applyFill="1" applyBorder="1" applyAlignment="1">
      <alignment vertical="center"/>
    </xf>
    <xf numFmtId="0" fontId="26" fillId="7" borderId="0" xfId="0" applyFont="1" applyFill="1" applyAlignment="1">
      <alignment horizontal="center" vertical="center"/>
    </xf>
    <xf numFmtId="0" fontId="26" fillId="7" borderId="0" xfId="0" applyFont="1" applyFill="1" applyAlignment="1">
      <alignment vertical="center"/>
    </xf>
    <xf numFmtId="49" fontId="35" fillId="7" borderId="41" xfId="0" applyNumberFormat="1" applyFont="1" applyFill="1" applyBorder="1" applyAlignment="1">
      <alignment horizontal="center" vertical="center"/>
    </xf>
    <xf numFmtId="49" fontId="35" fillId="7" borderId="43" xfId="0" applyNumberFormat="1" applyFont="1" applyFill="1" applyBorder="1" applyAlignment="1">
      <alignment horizontal="center" vertical="center"/>
    </xf>
    <xf numFmtId="49" fontId="35" fillId="7" borderId="43" xfId="0" applyNumberFormat="1" applyFont="1" applyFill="1" applyBorder="1" applyAlignment="1">
      <alignment vertical="center" wrapText="1"/>
    </xf>
    <xf numFmtId="4" fontId="35" fillId="7" borderId="43" xfId="0" applyNumberFormat="1" applyFont="1" applyFill="1" applyBorder="1" applyAlignment="1">
      <alignment vertical="center"/>
    </xf>
    <xf numFmtId="169" fontId="35" fillId="7" borderId="44" xfId="0" applyNumberFormat="1" applyFont="1" applyFill="1" applyBorder="1" applyAlignment="1">
      <alignment vertical="center"/>
    </xf>
    <xf numFmtId="0" fontId="35" fillId="7" borderId="0" xfId="0" applyFont="1" applyFill="1" applyAlignment="1">
      <alignment horizontal="center" vertical="center"/>
    </xf>
    <xf numFmtId="0" fontId="35" fillId="7" borderId="0" xfId="0" applyFont="1" applyFill="1" applyAlignment="1">
      <alignment vertical="center"/>
    </xf>
    <xf numFmtId="49" fontId="28" fillId="7" borderId="35" xfId="0" applyNumberFormat="1" applyFont="1" applyFill="1" applyBorder="1" applyAlignment="1">
      <alignment horizontal="center" vertical="center"/>
    </xf>
    <xf numFmtId="49" fontId="28" fillId="7" borderId="36" xfId="0" applyNumberFormat="1" applyFont="1" applyFill="1" applyBorder="1" applyAlignment="1">
      <alignment horizontal="center" vertical="center"/>
    </xf>
    <xf numFmtId="49" fontId="28" fillId="7" borderId="43" xfId="0" applyNumberFormat="1" applyFont="1" applyFill="1" applyBorder="1" applyAlignment="1">
      <alignment vertical="center" wrapText="1"/>
    </xf>
    <xf numFmtId="4" fontId="28" fillId="7" borderId="43" xfId="0" applyNumberFormat="1" applyFont="1" applyFill="1" applyBorder="1" applyAlignment="1">
      <alignment vertical="center"/>
    </xf>
    <xf numFmtId="169" fontId="28" fillId="7" borderId="44" xfId="0" applyNumberFormat="1" applyFont="1" applyFill="1" applyBorder="1" applyAlignment="1">
      <alignment vertical="center"/>
    </xf>
    <xf numFmtId="0" fontId="28" fillId="7" borderId="0" xfId="0" applyFont="1" applyFill="1" applyAlignment="1">
      <alignment horizontal="center" vertical="center"/>
    </xf>
    <xf numFmtId="0" fontId="28" fillId="7" borderId="0" xfId="0" applyFont="1" applyFill="1" applyAlignment="1">
      <alignment vertical="center"/>
    </xf>
    <xf numFmtId="49" fontId="27" fillId="7" borderId="35" xfId="0" applyNumberFormat="1" applyFont="1" applyFill="1" applyBorder="1" applyAlignment="1">
      <alignment horizontal="center" vertical="center"/>
    </xf>
    <xf numFmtId="49" fontId="27" fillId="7" borderId="36" xfId="0" applyNumberFormat="1" applyFont="1" applyFill="1" applyBorder="1" applyAlignment="1">
      <alignment horizontal="center" vertical="center"/>
    </xf>
    <xf numFmtId="49" fontId="28" fillId="7" borderId="43" xfId="0" applyNumberFormat="1" applyFont="1" applyFill="1" applyBorder="1" applyAlignment="1">
      <alignment horizontal="left" vertical="center" wrapText="1"/>
    </xf>
    <xf numFmtId="0" fontId="33" fillId="7" borderId="0" xfId="0" applyFont="1" applyFill="1" applyAlignment="1">
      <alignment horizontal="center" vertical="center"/>
    </xf>
    <xf numFmtId="49" fontId="33" fillId="7" borderId="41" xfId="0" applyNumberFormat="1" applyFont="1" applyFill="1" applyBorder="1" applyAlignment="1">
      <alignment horizontal="center" vertical="center"/>
    </xf>
    <xf numFmtId="49" fontId="33" fillId="7" borderId="43" xfId="0" applyNumberFormat="1" applyFont="1" applyFill="1" applyBorder="1" applyAlignment="1">
      <alignment horizontal="center" vertical="center"/>
    </xf>
    <xf numFmtId="49" fontId="43" fillId="7" borderId="43" xfId="0" applyNumberFormat="1" applyFont="1" applyFill="1" applyBorder="1" applyAlignment="1">
      <alignment vertical="center" wrapText="1"/>
    </xf>
    <xf numFmtId="4" fontId="43" fillId="7" borderId="43" xfId="0" applyNumberFormat="1" applyFont="1" applyFill="1" applyBorder="1" applyAlignment="1">
      <alignment vertical="center"/>
    </xf>
    <xf numFmtId="169" fontId="43" fillId="7" borderId="44" xfId="0" applyNumberFormat="1" applyFont="1" applyFill="1" applyBorder="1" applyAlignment="1">
      <alignment vertical="center"/>
    </xf>
    <xf numFmtId="0" fontId="33" fillId="7" borderId="0" xfId="0" applyFont="1" applyFill="1" applyAlignment="1">
      <alignment vertical="center"/>
    </xf>
    <xf numFmtId="49" fontId="28" fillId="7" borderId="41" xfId="0" applyNumberFormat="1" applyFont="1" applyFill="1" applyBorder="1" applyAlignment="1">
      <alignment horizontal="center" vertical="center"/>
    </xf>
    <xf numFmtId="49" fontId="28" fillId="7" borderId="43" xfId="0" applyNumberFormat="1" applyFont="1" applyFill="1" applyBorder="1" applyAlignment="1">
      <alignment horizontal="center" vertical="center"/>
    </xf>
    <xf numFmtId="49" fontId="27" fillId="7" borderId="51" xfId="0" applyNumberFormat="1" applyFont="1" applyFill="1" applyBorder="1" applyAlignment="1">
      <alignment horizontal="center" vertical="center"/>
    </xf>
    <xf numFmtId="49" fontId="27" fillId="7" borderId="46" xfId="0" applyNumberFormat="1" applyFont="1" applyFill="1" applyBorder="1" applyAlignment="1">
      <alignment horizontal="center" vertical="center"/>
    </xf>
    <xf numFmtId="49" fontId="28" fillId="7" borderId="15" xfId="0" applyNumberFormat="1" applyFont="1" applyFill="1" applyBorder="1" applyAlignment="1">
      <alignment vertical="center" wrapText="1"/>
    </xf>
    <xf numFmtId="4" fontId="28" fillId="7" borderId="15" xfId="0" applyNumberFormat="1" applyFont="1" applyFill="1" applyBorder="1" applyAlignment="1">
      <alignment vertical="center"/>
    </xf>
    <xf numFmtId="169" fontId="28" fillId="7" borderId="63" xfId="0" applyNumberFormat="1" applyFont="1" applyFill="1" applyBorder="1" applyAlignment="1">
      <alignment vertical="center"/>
    </xf>
    <xf numFmtId="0" fontId="27" fillId="7" borderId="0" xfId="0" applyFont="1" applyFill="1" applyAlignment="1">
      <alignment horizontal="center" vertical="center"/>
    </xf>
    <xf numFmtId="0" fontId="27" fillId="7" borderId="0" xfId="0" applyFont="1" applyFill="1" applyAlignment="1">
      <alignment vertical="center"/>
    </xf>
    <xf numFmtId="49" fontId="26" fillId="24" borderId="38" xfId="0" applyNumberFormat="1" applyFont="1" applyFill="1" applyBorder="1" applyAlignment="1">
      <alignment horizontal="center" vertical="center"/>
    </xf>
    <xf numFmtId="49" fontId="26" fillId="24" borderId="49" xfId="0" applyNumberFormat="1" applyFont="1" applyFill="1" applyBorder="1" applyAlignment="1">
      <alignment horizontal="center" vertical="center"/>
    </xf>
    <xf numFmtId="49" fontId="26" fillId="24" borderId="62" xfId="0" applyNumberFormat="1" applyFont="1" applyFill="1" applyBorder="1" applyAlignment="1">
      <alignment vertical="center" wrapText="1"/>
    </xf>
    <xf numFmtId="4" fontId="26" fillId="24" borderId="13" xfId="0" applyNumberFormat="1" applyFont="1" applyFill="1" applyBorder="1" applyAlignment="1">
      <alignment vertical="center"/>
    </xf>
    <xf numFmtId="169" fontId="26" fillId="24" borderId="45" xfId="0" applyNumberFormat="1" applyFont="1" applyFill="1" applyBorder="1" applyAlignment="1">
      <alignment vertical="center"/>
    </xf>
    <xf numFmtId="3" fontId="47" fillId="0" borderId="0" xfId="0" applyNumberFormat="1" applyFont="1" applyAlignment="1">
      <alignment horizontal="center" vertical="center"/>
    </xf>
    <xf numFmtId="3" fontId="45" fillId="0" borderId="0" xfId="0" applyNumberFormat="1" applyFont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right" vertical="center" wrapText="1"/>
    </xf>
    <xf numFmtId="4" fontId="33" fillId="0" borderId="0" xfId="0" applyNumberFormat="1" applyFont="1" applyBorder="1" applyAlignment="1">
      <alignment vertical="center"/>
    </xf>
    <xf numFmtId="169" fontId="33" fillId="0" borderId="0" xfId="0" applyNumberFormat="1" applyFont="1" applyBorder="1" applyAlignment="1">
      <alignment vertical="center"/>
    </xf>
    <xf numFmtId="4" fontId="37" fillId="0" borderId="0" xfId="0" applyNumberFormat="1" applyFont="1" applyAlignment="1">
      <alignment vertical="center"/>
    </xf>
    <xf numFmtId="169" fontId="46" fillId="0" borderId="0" xfId="0" applyNumberFormat="1" applyFont="1" applyBorder="1" applyAlignment="1">
      <alignment vertical="center"/>
    </xf>
    <xf numFmtId="49" fontId="37" fillId="0" borderId="49" xfId="0" applyNumberFormat="1" applyFont="1" applyBorder="1" applyAlignment="1">
      <alignment vertical="center"/>
    </xf>
    <xf numFmtId="4" fontId="37" fillId="0" borderId="49" xfId="0" applyNumberFormat="1" applyFont="1" applyBorder="1" applyAlignment="1">
      <alignment vertical="center"/>
    </xf>
    <xf numFmtId="169" fontId="46" fillId="0" borderId="49" xfId="0" applyNumberFormat="1" applyFont="1" applyBorder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6" fillId="0" borderId="0" xfId="0" applyNumberFormat="1" applyFont="1" applyBorder="1" applyAlignment="1">
      <alignment vertical="center" wrapText="1"/>
    </xf>
    <xf numFmtId="4" fontId="36" fillId="0" borderId="0" xfId="0" applyNumberFormat="1" applyFont="1" applyBorder="1" applyAlignment="1">
      <alignment vertical="center"/>
    </xf>
    <xf numFmtId="49" fontId="36" fillId="0" borderId="49" xfId="0" applyNumberFormat="1" applyFont="1" applyBorder="1" applyAlignment="1">
      <alignment vertical="center" wrapText="1"/>
    </xf>
    <xf numFmtId="4" fontId="36" fillId="0" borderId="49" xfId="0" applyNumberFormat="1" applyFont="1" applyBorder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 wrapText="1"/>
    </xf>
    <xf numFmtId="4" fontId="48" fillId="0" borderId="0" xfId="0" applyNumberFormat="1" applyFont="1" applyAlignment="1">
      <alignment vertical="center"/>
    </xf>
    <xf numFmtId="4" fontId="48" fillId="0" borderId="0" xfId="0" applyNumberFormat="1" applyFont="1" applyBorder="1" applyAlignment="1">
      <alignment vertical="center"/>
    </xf>
    <xf numFmtId="49" fontId="36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49" fontId="36" fillId="0" borderId="49" xfId="0" applyNumberFormat="1" applyFont="1" applyBorder="1" applyAlignment="1">
      <alignment vertical="center"/>
    </xf>
    <xf numFmtId="0" fontId="26" fillId="20" borderId="39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49" fontId="26" fillId="22" borderId="11" xfId="0" applyNumberFormat="1" applyFont="1" applyFill="1" applyBorder="1" applyAlignment="1">
      <alignment vertical="center"/>
    </xf>
    <xf numFmtId="172" fontId="26" fillId="22" borderId="27" xfId="0" applyNumberFormat="1" applyFont="1" applyFill="1" applyBorder="1" applyAlignment="1">
      <alignment horizontal="right" vertical="center"/>
    </xf>
    <xf numFmtId="195" fontId="26" fillId="22" borderId="12" xfId="0" applyNumberFormat="1" applyFont="1" applyFill="1" applyBorder="1" applyAlignment="1">
      <alignment vertical="center"/>
    </xf>
    <xf numFmtId="49" fontId="35" fillId="0" borderId="43" xfId="0" applyNumberFormat="1" applyFont="1" applyBorder="1" applyAlignment="1">
      <alignment vertical="center"/>
    </xf>
    <xf numFmtId="172" fontId="35" fillId="0" borderId="36" xfId="0" applyNumberFormat="1" applyFont="1" applyBorder="1" applyAlignment="1">
      <alignment horizontal="right" vertical="center"/>
    </xf>
    <xf numFmtId="172" fontId="28" fillId="0" borderId="36" xfId="0" applyNumberFormat="1" applyFont="1" applyBorder="1" applyAlignment="1">
      <alignment horizontal="right" vertical="center"/>
    </xf>
    <xf numFmtId="195" fontId="28" fillId="0" borderId="37" xfId="0" applyNumberFormat="1" applyFont="1" applyBorder="1" applyAlignment="1">
      <alignment vertical="center"/>
    </xf>
    <xf numFmtId="49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vertical="center"/>
    </xf>
    <xf numFmtId="172" fontId="27" fillId="0" borderId="32" xfId="0" applyNumberFormat="1" applyFont="1" applyBorder="1" applyAlignment="1">
      <alignment horizontal="right" vertical="center"/>
    </xf>
    <xf numFmtId="195" fontId="27" fillId="0" borderId="31" xfId="0" applyNumberFormat="1" applyFont="1" applyBorder="1" applyAlignment="1">
      <alignment vertical="center"/>
    </xf>
    <xf numFmtId="195" fontId="26" fillId="22" borderId="31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27" fillId="0" borderId="46" xfId="0" applyNumberFormat="1" applyFont="1" applyBorder="1" applyAlignment="1">
      <alignment vertical="center" wrapText="1"/>
    </xf>
    <xf numFmtId="4" fontId="27" fillId="0" borderId="46" xfId="0" applyNumberFormat="1" applyFont="1" applyBorder="1" applyAlignment="1">
      <alignment vertical="center"/>
    </xf>
    <xf numFmtId="172" fontId="27" fillId="0" borderId="46" xfId="0" applyNumberFormat="1" applyFont="1" applyBorder="1" applyAlignment="1">
      <alignment horizontal="right" vertical="center"/>
    </xf>
    <xf numFmtId="195" fontId="27" fillId="0" borderId="26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4" fontId="27" fillId="25" borderId="64" xfId="0" applyNumberFormat="1" applyFont="1" applyFill="1" applyBorder="1" applyAlignment="1">
      <alignment vertical="center"/>
    </xf>
    <xf numFmtId="39" fontId="27" fillId="0" borderId="0" xfId="0" applyNumberFormat="1" applyFont="1" applyAlignment="1">
      <alignment vertical="center"/>
    </xf>
    <xf numFmtId="39" fontId="27" fillId="0" borderId="49" xfId="0" applyNumberFormat="1" applyFont="1" applyBorder="1" applyAlignment="1">
      <alignment vertical="center"/>
    </xf>
    <xf numFmtId="39" fontId="27" fillId="0" borderId="64" xfId="0" applyNumberFormat="1" applyFont="1" applyBorder="1" applyAlignment="1">
      <alignment vertical="center"/>
    </xf>
    <xf numFmtId="164" fontId="27" fillId="0" borderId="36" xfId="0" applyNumberFormat="1" applyFont="1" applyFill="1" applyBorder="1" applyAlignment="1">
      <alignment vertical="top"/>
    </xf>
    <xf numFmtId="4" fontId="27" fillId="0" borderId="0" xfId="0" applyNumberFormat="1" applyFont="1" applyBorder="1" applyAlignment="1">
      <alignment/>
    </xf>
    <xf numFmtId="164" fontId="27" fillId="0" borderId="0" xfId="0" applyNumberFormat="1" applyFont="1" applyFill="1" applyAlignment="1">
      <alignment/>
    </xf>
    <xf numFmtId="49" fontId="27" fillId="0" borderId="10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4" fontId="27" fillId="0" borderId="11" xfId="0" applyNumberFormat="1" applyFont="1" applyFill="1" applyBorder="1" applyAlignment="1">
      <alignment horizontal="right" vertical="center"/>
    </xf>
    <xf numFmtId="4" fontId="27" fillId="0" borderId="27" xfId="0" applyNumberFormat="1" applyFont="1" applyFill="1" applyBorder="1" applyAlignment="1">
      <alignment horizontal="right" vertical="center"/>
    </xf>
    <xf numFmtId="49" fontId="27" fillId="0" borderId="65" xfId="0" applyNumberFormat="1" applyFont="1" applyFill="1" applyBorder="1" applyAlignment="1">
      <alignment horizontal="center" vertical="center"/>
    </xf>
    <xf numFmtId="49" fontId="27" fillId="0" borderId="66" xfId="0" applyNumberFormat="1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left" vertical="center" wrapText="1"/>
    </xf>
    <xf numFmtId="4" fontId="27" fillId="0" borderId="66" xfId="0" applyNumberFormat="1" applyFont="1" applyFill="1" applyBorder="1" applyAlignment="1">
      <alignment horizontal="right" vertical="center"/>
    </xf>
    <xf numFmtId="4" fontId="27" fillId="0" borderId="68" xfId="0" applyNumberFormat="1" applyFont="1" applyBorder="1" applyAlignment="1">
      <alignment vertical="center"/>
    </xf>
    <xf numFmtId="49" fontId="28" fillId="0" borderId="69" xfId="0" applyNumberFormat="1" applyFont="1" applyFill="1" applyBorder="1" applyAlignment="1">
      <alignment horizontal="center" vertical="center"/>
    </xf>
    <xf numFmtId="49" fontId="28" fillId="0" borderId="70" xfId="0" applyNumberFormat="1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left" vertical="center" wrapText="1"/>
    </xf>
    <xf numFmtId="4" fontId="28" fillId="0" borderId="70" xfId="0" applyNumberFormat="1" applyFont="1" applyFill="1" applyBorder="1" applyAlignment="1">
      <alignment horizontal="right" vertical="center"/>
    </xf>
    <xf numFmtId="4" fontId="28" fillId="0" borderId="71" xfId="0" applyNumberFormat="1" applyFont="1" applyFill="1" applyBorder="1" applyAlignment="1">
      <alignment horizontal="right" vertical="center"/>
    </xf>
    <xf numFmtId="4" fontId="28" fillId="0" borderId="72" xfId="0" applyNumberFormat="1" applyFont="1" applyBorder="1" applyAlignment="1">
      <alignment vertical="center"/>
    </xf>
    <xf numFmtId="49" fontId="28" fillId="0" borderId="73" xfId="0" applyNumberFormat="1" applyFont="1" applyFill="1" applyBorder="1" applyAlignment="1">
      <alignment horizontal="center" vertical="center"/>
    </xf>
    <xf numFmtId="49" fontId="28" fillId="0" borderId="74" xfId="0" applyNumberFormat="1" applyFont="1" applyFill="1" applyBorder="1" applyAlignment="1">
      <alignment horizontal="center" vertical="center"/>
    </xf>
    <xf numFmtId="0" fontId="28" fillId="0" borderId="75" xfId="0" applyFont="1" applyFill="1" applyBorder="1" applyAlignment="1">
      <alignment horizontal="left" vertical="center" wrapText="1"/>
    </xf>
    <xf numFmtId="4" fontId="28" fillId="0" borderId="74" xfId="0" applyNumberFormat="1" applyFont="1" applyFill="1" applyBorder="1" applyAlignment="1">
      <alignment horizontal="right" vertical="center"/>
    </xf>
    <xf numFmtId="4" fontId="28" fillId="0" borderId="75" xfId="0" applyNumberFormat="1" applyFont="1" applyFill="1" applyBorder="1" applyAlignment="1">
      <alignment horizontal="right" vertical="center"/>
    </xf>
    <xf numFmtId="4" fontId="28" fillId="0" borderId="76" xfId="0" applyNumberFormat="1" applyFont="1" applyBorder="1" applyAlignment="1">
      <alignment vertical="center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left" vertical="center" wrapText="1"/>
    </xf>
    <xf numFmtId="4" fontId="28" fillId="0" borderId="13" xfId="0" applyNumberFormat="1" applyFont="1" applyFill="1" applyBorder="1" applyAlignment="1">
      <alignment horizontal="right" vertical="center"/>
    </xf>
    <xf numFmtId="4" fontId="28" fillId="0" borderId="32" xfId="0" applyNumberFormat="1" applyFont="1" applyFill="1" applyBorder="1" applyAlignment="1">
      <alignment horizontal="right" vertical="center"/>
    </xf>
    <xf numFmtId="4" fontId="28" fillId="0" borderId="31" xfId="0" applyNumberFormat="1" applyFont="1" applyBorder="1" applyAlignment="1">
      <alignment vertical="center"/>
    </xf>
    <xf numFmtId="4" fontId="27" fillId="0" borderId="68" xfId="0" applyNumberFormat="1" applyFont="1" applyFill="1" applyBorder="1" applyAlignment="1">
      <alignment horizontal="right" vertical="center"/>
    </xf>
    <xf numFmtId="4" fontId="26" fillId="22" borderId="11" xfId="0" applyNumberFormat="1" applyFont="1" applyFill="1" applyBorder="1" applyAlignment="1">
      <alignment horizontal="right" vertical="center"/>
    </xf>
    <xf numFmtId="4" fontId="26" fillId="22" borderId="12" xfId="0" applyNumberFormat="1" applyFont="1" applyFill="1" applyBorder="1" applyAlignment="1">
      <alignment horizontal="right" vertical="center"/>
    </xf>
    <xf numFmtId="49" fontId="27" fillId="0" borderId="65" xfId="0" applyNumberFormat="1" applyFont="1" applyBorder="1" applyAlignment="1">
      <alignment horizontal="center" vertical="center"/>
    </xf>
    <xf numFmtId="49" fontId="27" fillId="0" borderId="66" xfId="0" applyNumberFormat="1" applyFont="1" applyBorder="1" applyAlignment="1">
      <alignment horizontal="center" vertical="center"/>
    </xf>
    <xf numFmtId="49" fontId="27" fillId="0" borderId="66" xfId="0" applyNumberFormat="1" applyFont="1" applyBorder="1" applyAlignment="1">
      <alignment horizontal="left" vertical="center" wrapText="1"/>
    </xf>
    <xf numFmtId="4" fontId="27" fillId="0" borderId="66" xfId="0" applyNumberFormat="1" applyFont="1" applyBorder="1" applyAlignment="1">
      <alignment horizontal="right" vertical="center"/>
    </xf>
    <xf numFmtId="4" fontId="27" fillId="0" borderId="68" xfId="0" applyNumberFormat="1" applyFont="1" applyBorder="1" applyAlignment="1">
      <alignment horizontal="right" vertical="center"/>
    </xf>
    <xf numFmtId="4" fontId="26" fillId="24" borderId="15" xfId="0" applyNumberFormat="1" applyFont="1" applyFill="1" applyBorder="1" applyAlignment="1">
      <alignment horizontal="right" vertical="center"/>
    </xf>
    <xf numFmtId="4" fontId="26" fillId="24" borderId="26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left" vertical="center" wrapText="1"/>
    </xf>
    <xf numFmtId="4" fontId="27" fillId="0" borderId="15" xfId="0" applyNumberFormat="1" applyFont="1" applyFill="1" applyBorder="1" applyAlignment="1">
      <alignment horizontal="right" vertical="center"/>
    </xf>
    <xf numFmtId="4" fontId="27" fillId="0" borderId="46" xfId="0" applyNumberFormat="1" applyFont="1" applyFill="1" applyBorder="1" applyAlignment="1">
      <alignment horizontal="right" vertical="center"/>
    </xf>
    <xf numFmtId="4" fontId="27" fillId="0" borderId="26" xfId="0" applyNumberFormat="1" applyFont="1" applyBorder="1" applyAlignment="1">
      <alignment vertical="center"/>
    </xf>
    <xf numFmtId="164" fontId="27" fillId="0" borderId="0" xfId="0" applyNumberFormat="1" applyFont="1" applyAlignment="1">
      <alignment horizontal="right" vertical="center"/>
    </xf>
    <xf numFmtId="174" fontId="27" fillId="0" borderId="0" xfId="0" applyNumberFormat="1" applyFont="1" applyAlignment="1">
      <alignment horizontal="right" vertical="center"/>
    </xf>
    <xf numFmtId="0" fontId="26" fillId="20" borderId="22" xfId="0" applyFont="1" applyFill="1" applyBorder="1" applyAlignment="1">
      <alignment horizontal="center" vertical="center"/>
    </xf>
    <xf numFmtId="0" fontId="26" fillId="20" borderId="39" xfId="0" applyFont="1" applyFill="1" applyBorder="1" applyAlignment="1">
      <alignment horizontal="center" vertical="center"/>
    </xf>
    <xf numFmtId="164" fontId="26" fillId="20" borderId="39" xfId="0" applyNumberFormat="1" applyFont="1" applyFill="1" applyBorder="1" applyAlignment="1">
      <alignment horizontal="center" vertical="center"/>
    </xf>
    <xf numFmtId="174" fontId="26" fillId="20" borderId="2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20" borderId="77" xfId="0" applyFont="1" applyFill="1" applyBorder="1" applyAlignment="1">
      <alignment horizontal="center" vertical="center"/>
    </xf>
    <xf numFmtId="0" fontId="26" fillId="20" borderId="40" xfId="0" applyFont="1" applyFill="1" applyBorder="1" applyAlignment="1">
      <alignment horizontal="center" vertical="center"/>
    </xf>
    <xf numFmtId="164" fontId="26" fillId="20" borderId="40" xfId="0" applyNumberFormat="1" applyFont="1" applyFill="1" applyBorder="1" applyAlignment="1">
      <alignment horizontal="center" vertical="center"/>
    </xf>
    <xf numFmtId="3" fontId="26" fillId="20" borderId="17" xfId="0" applyNumberFormat="1" applyFont="1" applyFill="1" applyBorder="1" applyAlignment="1">
      <alignment horizontal="center" vertical="center"/>
    </xf>
    <xf numFmtId="0" fontId="26" fillId="22" borderId="39" xfId="0" applyFont="1" applyFill="1" applyBorder="1" applyAlignment="1">
      <alignment vertical="center" wrapText="1"/>
    </xf>
    <xf numFmtId="4" fontId="26" fillId="22" borderId="39" xfId="0" applyNumberFormat="1" applyFont="1" applyFill="1" applyBorder="1" applyAlignment="1">
      <alignment horizontal="right" vertical="center"/>
    </xf>
    <xf numFmtId="0" fontId="26" fillId="22" borderId="27" xfId="0" applyFont="1" applyFill="1" applyBorder="1" applyAlignment="1">
      <alignment vertical="center"/>
    </xf>
    <xf numFmtId="4" fontId="26" fillId="22" borderId="27" xfId="0" applyNumberFormat="1" applyFont="1" applyFill="1" applyBorder="1" applyAlignment="1">
      <alignment horizontal="right" vertical="center"/>
    </xf>
    <xf numFmtId="174" fontId="26" fillId="22" borderId="12" xfId="0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4" fontId="27" fillId="0" borderId="36" xfId="0" applyNumberFormat="1" applyFont="1" applyBorder="1" applyAlignment="1">
      <alignment horizontal="right" vertical="center"/>
    </xf>
    <xf numFmtId="0" fontId="28" fillId="0" borderId="35" xfId="0" applyFont="1" applyBorder="1" applyAlignment="1">
      <alignment horizontal="center" vertical="center"/>
    </xf>
    <xf numFmtId="49" fontId="28" fillId="0" borderId="36" xfId="0" applyNumberFormat="1" applyFont="1" applyBorder="1" applyAlignment="1">
      <alignment vertical="center"/>
    </xf>
    <xf numFmtId="4" fontId="28" fillId="0" borderId="36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174" fontId="28" fillId="0" borderId="37" xfId="0" applyNumberFormat="1" applyFont="1" applyBorder="1" applyAlignment="1">
      <alignment horizontal="right" vertical="center"/>
    </xf>
    <xf numFmtId="4" fontId="26" fillId="24" borderId="47" xfId="0" applyNumberFormat="1" applyFont="1" applyFill="1" applyBorder="1" applyAlignment="1">
      <alignment horizontal="right" vertical="center"/>
    </xf>
    <xf numFmtId="174" fontId="26" fillId="24" borderId="48" xfId="0" applyNumberFormat="1" applyFont="1" applyFill="1" applyBorder="1" applyAlignment="1">
      <alignment horizontal="right" vertical="center"/>
    </xf>
    <xf numFmtId="0" fontId="26" fillId="22" borderId="39" xfId="0" applyFont="1" applyFill="1" applyBorder="1" applyAlignment="1">
      <alignment vertical="center"/>
    </xf>
    <xf numFmtId="4" fontId="27" fillId="0" borderId="43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/>
    </xf>
    <xf numFmtId="0" fontId="27" fillId="0" borderId="46" xfId="0" applyFont="1" applyBorder="1" applyAlignment="1">
      <alignment vertical="center" wrapText="1"/>
    </xf>
    <xf numFmtId="4" fontId="27" fillId="0" borderId="46" xfId="0" applyNumberFormat="1" applyFont="1" applyBorder="1" applyAlignment="1">
      <alignment horizontal="right" vertical="center"/>
    </xf>
    <xf numFmtId="174" fontId="27" fillId="0" borderId="26" xfId="0" applyNumberFormat="1" applyFont="1" applyBorder="1" applyAlignment="1">
      <alignment horizontal="right" vertical="center"/>
    </xf>
    <xf numFmtId="0" fontId="26" fillId="22" borderId="46" xfId="0" applyFont="1" applyFill="1" applyBorder="1" applyAlignment="1">
      <alignment vertical="center" wrapText="1"/>
    </xf>
    <xf numFmtId="4" fontId="26" fillId="22" borderId="36" xfId="0" applyNumberFormat="1" applyFont="1" applyFill="1" applyBorder="1" applyAlignment="1">
      <alignment horizontal="right" vertical="center"/>
    </xf>
    <xf numFmtId="0" fontId="27" fillId="0" borderId="51" xfId="0" applyFont="1" applyBorder="1" applyAlignment="1">
      <alignment horizontal="center" vertical="center"/>
    </xf>
    <xf numFmtId="49" fontId="27" fillId="0" borderId="46" xfId="0" applyNumberFormat="1" applyFont="1" applyBorder="1" applyAlignment="1">
      <alignment vertical="center"/>
    </xf>
    <xf numFmtId="0" fontId="26" fillId="20" borderId="78" xfId="0" applyFont="1" applyFill="1" applyBorder="1" applyAlignment="1">
      <alignment horizontal="center" vertical="center"/>
    </xf>
    <xf numFmtId="0" fontId="26" fillId="20" borderId="57" xfId="0" applyFont="1" applyFill="1" applyBorder="1" applyAlignment="1">
      <alignment horizontal="center" vertical="center"/>
    </xf>
    <xf numFmtId="3" fontId="26" fillId="20" borderId="25" xfId="0" applyNumberFormat="1" applyFont="1" applyFill="1" applyBorder="1" applyAlignment="1">
      <alignment horizontal="center" vertical="center"/>
    </xf>
    <xf numFmtId="0" fontId="26" fillId="22" borderId="54" xfId="0" applyFont="1" applyFill="1" applyBorder="1" applyAlignment="1">
      <alignment horizontal="center" vertical="center"/>
    </xf>
    <xf numFmtId="4" fontId="26" fillId="22" borderId="47" xfId="0" applyNumberFormat="1" applyFont="1" applyFill="1" applyBorder="1" applyAlignment="1">
      <alignment horizontal="right" vertical="center"/>
    </xf>
    <xf numFmtId="174" fontId="26" fillId="22" borderId="48" xfId="0" applyNumberFormat="1" applyFont="1" applyFill="1" applyBorder="1" applyAlignment="1">
      <alignment horizontal="center" vertical="center"/>
    </xf>
    <xf numFmtId="0" fontId="27" fillId="0" borderId="46" xfId="0" applyFont="1" applyBorder="1" applyAlignment="1">
      <alignment vertical="center"/>
    </xf>
    <xf numFmtId="4" fontId="26" fillId="24" borderId="36" xfId="0" applyNumberFormat="1" applyFont="1" applyFill="1" applyBorder="1" applyAlignment="1">
      <alignment horizontal="right" vertical="center"/>
    </xf>
    <xf numFmtId="174" fontId="26" fillId="24" borderId="37" xfId="0" applyNumberFormat="1" applyFont="1" applyFill="1" applyBorder="1" applyAlignment="1">
      <alignment vertical="center"/>
    </xf>
    <xf numFmtId="0" fontId="26" fillId="22" borderId="47" xfId="0" applyFont="1" applyFill="1" applyBorder="1" applyAlignment="1">
      <alignment vertical="center" wrapText="1"/>
    </xf>
    <xf numFmtId="4" fontId="26" fillId="22" borderId="55" xfId="0" applyNumberFormat="1" applyFont="1" applyFill="1" applyBorder="1" applyAlignment="1">
      <alignment horizontal="right" vertical="center"/>
    </xf>
    <xf numFmtId="4" fontId="26" fillId="24" borderId="55" xfId="0" applyNumberFormat="1" applyFont="1" applyFill="1" applyBorder="1" applyAlignment="1">
      <alignment horizontal="right" vertical="center"/>
    </xf>
    <xf numFmtId="169" fontId="26" fillId="24" borderId="48" xfId="0" applyNumberFormat="1" applyFont="1" applyFill="1" applyBorder="1" applyAlignment="1">
      <alignment vertical="center"/>
    </xf>
    <xf numFmtId="4" fontId="27" fillId="0" borderId="0" xfId="0" applyNumberFormat="1" applyFont="1" applyAlignment="1">
      <alignment horizontal="right" vertical="center"/>
    </xf>
    <xf numFmtId="0" fontId="26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9" fillId="20" borderId="10" xfId="0" applyFont="1" applyFill="1" applyBorder="1" applyAlignment="1">
      <alignment horizontal="center" vertical="center"/>
    </xf>
    <xf numFmtId="0" fontId="29" fillId="20" borderId="11" xfId="0" applyFont="1" applyFill="1" applyBorder="1" applyAlignment="1">
      <alignment horizontal="center" vertical="center"/>
    </xf>
    <xf numFmtId="0" fontId="29" fillId="20" borderId="27" xfId="0" applyFont="1" applyFill="1" applyBorder="1" applyAlignment="1">
      <alignment horizontal="center" vertical="center"/>
    </xf>
    <xf numFmtId="0" fontId="29" fillId="20" borderId="12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4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174" fontId="26" fillId="0" borderId="12" xfId="0" applyNumberFormat="1" applyFont="1" applyBorder="1" applyAlignment="1">
      <alignment vertical="center"/>
    </xf>
    <xf numFmtId="174" fontId="27" fillId="0" borderId="12" xfId="0" applyNumberFormat="1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6" fillId="0" borderId="0" xfId="0" applyFont="1" applyAlignment="1">
      <alignment vertical="center" wrapText="1"/>
    </xf>
    <xf numFmtId="4" fontId="26" fillId="0" borderId="13" xfId="0" applyNumberFormat="1" applyFont="1" applyBorder="1" applyAlignment="1">
      <alignment vertical="center"/>
    </xf>
    <xf numFmtId="174" fontId="26" fillId="0" borderId="31" xfId="0" applyNumberFormat="1" applyFont="1" applyBorder="1" applyAlignment="1">
      <alignment vertical="center"/>
    </xf>
    <xf numFmtId="4" fontId="27" fillId="0" borderId="32" xfId="0" applyNumberFormat="1" applyFont="1" applyFill="1" applyBorder="1" applyAlignment="1">
      <alignment vertical="center"/>
    </xf>
    <xf numFmtId="0" fontId="27" fillId="0" borderId="30" xfId="0" applyFont="1" applyBorder="1" applyAlignment="1">
      <alignment vertical="center" wrapText="1"/>
    </xf>
    <xf numFmtId="174" fontId="27" fillId="0" borderId="34" xfId="0" applyNumberFormat="1" applyFont="1" applyBorder="1" applyAlignment="1">
      <alignment vertical="center"/>
    </xf>
    <xf numFmtId="0" fontId="27" fillId="0" borderId="52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174" fontId="26" fillId="22" borderId="26" xfId="0" applyNumberFormat="1" applyFont="1" applyFill="1" applyBorder="1" applyAlignment="1">
      <alignment vertical="center"/>
    </xf>
    <xf numFmtId="4" fontId="27" fillId="0" borderId="32" xfId="0" applyNumberFormat="1" applyFont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center"/>
    </xf>
    <xf numFmtId="0" fontId="29" fillId="0" borderId="0" xfId="0" applyFont="1" applyAlignment="1">
      <alignment vertical="center" wrapText="1"/>
    </xf>
    <xf numFmtId="0" fontId="27" fillId="0" borderId="3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vertical="center" wrapText="1"/>
    </xf>
    <xf numFmtId="4" fontId="26" fillId="0" borderId="57" xfId="0" applyNumberFormat="1" applyFont="1" applyBorder="1" applyAlignment="1">
      <alignment vertical="center"/>
    </xf>
    <xf numFmtId="0" fontId="29" fillId="20" borderId="19" xfId="0" applyFont="1" applyFill="1" applyBorder="1" applyAlignment="1">
      <alignment horizontal="center" vertical="center"/>
    </xf>
    <xf numFmtId="0" fontId="29" fillId="20" borderId="39" xfId="0" applyFont="1" applyFill="1" applyBorder="1" applyAlignment="1">
      <alignment horizontal="center" vertical="center"/>
    </xf>
    <xf numFmtId="0" fontId="29" fillId="20" borderId="20" xfId="0" applyFont="1" applyFill="1" applyBorder="1" applyAlignment="1">
      <alignment horizontal="center" vertical="center"/>
    </xf>
    <xf numFmtId="4" fontId="33" fillId="24" borderId="13" xfId="0" applyNumberFormat="1" applyFont="1" applyFill="1" applyBorder="1" applyAlignment="1">
      <alignment vertical="center"/>
    </xf>
    <xf numFmtId="174" fontId="33" fillId="24" borderId="31" xfId="0" applyNumberFormat="1" applyFont="1" applyFill="1" applyBorder="1" applyAlignment="1">
      <alignment vertical="center"/>
    </xf>
    <xf numFmtId="4" fontId="33" fillId="0" borderId="0" xfId="0" applyNumberFormat="1" applyFont="1" applyAlignment="1">
      <alignment vertical="center"/>
    </xf>
    <xf numFmtId="4" fontId="33" fillId="24" borderId="30" xfId="0" applyNumberFormat="1" applyFont="1" applyFill="1" applyBorder="1" applyAlignment="1">
      <alignment vertical="center"/>
    </xf>
    <xf numFmtId="174" fontId="33" fillId="24" borderId="34" xfId="0" applyNumberFormat="1" applyFont="1" applyFill="1" applyBorder="1" applyAlignment="1">
      <alignment vertical="center"/>
    </xf>
    <xf numFmtId="4" fontId="26" fillId="24" borderId="15" xfId="0" applyNumberFormat="1" applyFont="1" applyFill="1" applyBorder="1" applyAlignment="1">
      <alignment vertical="center"/>
    </xf>
    <xf numFmtId="174" fontId="26" fillId="24" borderId="26" xfId="0" applyNumberFormat="1" applyFont="1" applyFill="1" applyBorder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6" fillId="22" borderId="58" xfId="0" applyFont="1" applyFill="1" applyBorder="1" applyAlignment="1">
      <alignment horizontal="center" vertical="center"/>
    </xf>
    <xf numFmtId="0" fontId="26" fillId="22" borderId="59" xfId="0" applyFont="1" applyFill="1" applyBorder="1" applyAlignment="1">
      <alignment vertical="center" wrapText="1"/>
    </xf>
    <xf numFmtId="4" fontId="26" fillId="22" borderId="59" xfId="0" applyNumberFormat="1" applyFont="1" applyFill="1" applyBorder="1" applyAlignment="1">
      <alignment horizontal="right" vertical="center"/>
    </xf>
    <xf numFmtId="174" fontId="26" fillId="22" borderId="60" xfId="0" applyNumberFormat="1" applyFont="1" applyFill="1" applyBorder="1" applyAlignment="1">
      <alignment horizontal="center" vertical="center"/>
    </xf>
    <xf numFmtId="49" fontId="28" fillId="0" borderId="36" xfId="0" applyNumberFormat="1" applyFont="1" applyBorder="1" applyAlignment="1">
      <alignment vertical="center" wrapText="1"/>
    </xf>
    <xf numFmtId="174" fontId="28" fillId="0" borderId="37" xfId="0" applyNumberFormat="1" applyFont="1" applyBorder="1" applyAlignment="1">
      <alignment vertical="center"/>
    </xf>
    <xf numFmtId="0" fontId="28" fillId="0" borderId="51" xfId="0" applyFont="1" applyBorder="1" applyAlignment="1">
      <alignment horizontal="center" vertical="center"/>
    </xf>
    <xf numFmtId="49" fontId="28" fillId="0" borderId="46" xfId="0" applyNumberFormat="1" applyFont="1" applyBorder="1" applyAlignment="1">
      <alignment vertical="center"/>
    </xf>
    <xf numFmtId="4" fontId="28" fillId="0" borderId="46" xfId="0" applyNumberFormat="1" applyFont="1" applyBorder="1" applyAlignment="1">
      <alignment horizontal="right" vertical="center"/>
    </xf>
    <xf numFmtId="0" fontId="27" fillId="0" borderId="38" xfId="0" applyFont="1" applyBorder="1" applyAlignment="1">
      <alignment horizontal="center" vertical="center"/>
    </xf>
    <xf numFmtId="0" fontId="27" fillId="0" borderId="32" xfId="0" applyFont="1" applyBorder="1" applyAlignment="1">
      <alignment vertical="center" wrapText="1"/>
    </xf>
    <xf numFmtId="4" fontId="27" fillId="0" borderId="32" xfId="0" applyNumberFormat="1" applyFont="1" applyBorder="1" applyAlignment="1">
      <alignment horizontal="right" vertical="center"/>
    </xf>
    <xf numFmtId="0" fontId="26" fillId="22" borderId="79" xfId="0" applyFont="1" applyFill="1" applyBorder="1" applyAlignment="1">
      <alignment horizontal="center" vertical="center"/>
    </xf>
    <xf numFmtId="4" fontId="26" fillId="22" borderId="8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4" fontId="27" fillId="0" borderId="32" xfId="0" applyNumberFormat="1" applyFont="1" applyBorder="1" applyAlignment="1">
      <alignment horizontal="right" vertical="center" wrapText="1"/>
    </xf>
    <xf numFmtId="4" fontId="27" fillId="0" borderId="13" xfId="0" applyNumberFormat="1" applyFont="1" applyBorder="1" applyAlignment="1">
      <alignment horizontal="right" vertical="center" wrapText="1"/>
    </xf>
    <xf numFmtId="174" fontId="27" fillId="0" borderId="31" xfId="0" applyNumberFormat="1" applyFont="1" applyBorder="1" applyAlignment="1">
      <alignment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" fontId="27" fillId="0" borderId="11" xfId="0" applyNumberFormat="1" applyFont="1" applyBorder="1" applyAlignment="1">
      <alignment horizontal="right" vertical="center" wrapText="1"/>
    </xf>
    <xf numFmtId="174" fontId="27" fillId="0" borderId="12" xfId="0" applyNumberFormat="1" applyFont="1" applyBorder="1" applyAlignment="1">
      <alignment vertical="center" wrapText="1"/>
    </xf>
    <xf numFmtId="4" fontId="27" fillId="0" borderId="36" xfId="0" applyNumberFormat="1" applyFont="1" applyBorder="1" applyAlignment="1">
      <alignment horizontal="right" vertical="center" wrapText="1"/>
    </xf>
    <xf numFmtId="49" fontId="27" fillId="0" borderId="57" xfId="0" applyNumberFormat="1" applyFont="1" applyBorder="1" applyAlignment="1">
      <alignment horizontal="center" vertical="center" wrapText="1"/>
    </xf>
    <xf numFmtId="0" fontId="27" fillId="0" borderId="57" xfId="0" applyFont="1" applyBorder="1" applyAlignment="1">
      <alignment vertical="center" wrapText="1"/>
    </xf>
    <xf numFmtId="0" fontId="26" fillId="20" borderId="18" xfId="0" applyFont="1" applyFill="1" applyBorder="1" applyAlignment="1">
      <alignment horizontal="center" vertical="center" wrapText="1"/>
    </xf>
    <xf numFmtId="0" fontId="26" fillId="20" borderId="21" xfId="0" applyFont="1" applyFill="1" applyBorder="1" applyAlignment="1">
      <alignment horizontal="center" vertical="center" wrapText="1"/>
    </xf>
    <xf numFmtId="0" fontId="26" fillId="20" borderId="16" xfId="0" applyFont="1" applyFill="1" applyBorder="1" applyAlignment="1">
      <alignment horizontal="center" vertical="center" wrapText="1"/>
    </xf>
    <xf numFmtId="0" fontId="26" fillId="20" borderId="17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4" fontId="26" fillId="22" borderId="13" xfId="0" applyNumberFormat="1" applyFont="1" applyFill="1" applyBorder="1" applyAlignment="1">
      <alignment horizontal="right" vertical="center" wrapText="1"/>
    </xf>
    <xf numFmtId="174" fontId="26" fillId="22" borderId="31" xfId="0" applyNumberFormat="1" applyFont="1" applyFill="1" applyBorder="1" applyAlignment="1">
      <alignment vertical="center" wrapText="1"/>
    </xf>
    <xf numFmtId="0" fontId="26" fillId="22" borderId="0" xfId="0" applyFont="1" applyFill="1" applyBorder="1" applyAlignment="1">
      <alignment horizontal="center" vertical="center" wrapText="1"/>
    </xf>
    <xf numFmtId="0" fontId="26" fillId="22" borderId="0" xfId="0" applyFont="1" applyFill="1" applyAlignment="1">
      <alignment horizontal="center" vertical="center" wrapText="1"/>
    </xf>
    <xf numFmtId="4" fontId="26" fillId="22" borderId="11" xfId="0" applyNumberFormat="1" applyFont="1" applyFill="1" applyBorder="1" applyAlignment="1">
      <alignment horizontal="right" vertical="center" wrapText="1"/>
    </xf>
    <xf numFmtId="174" fontId="26" fillId="22" borderId="12" xfId="0" applyNumberFormat="1" applyFont="1" applyFill="1" applyBorder="1" applyAlignment="1">
      <alignment vertical="center" wrapText="1"/>
    </xf>
    <xf numFmtId="0" fontId="26" fillId="22" borderId="0" xfId="0" applyFont="1" applyFill="1" applyBorder="1" applyAlignment="1">
      <alignment vertical="center" wrapText="1"/>
    </xf>
    <xf numFmtId="0" fontId="26" fillId="22" borderId="0" xfId="0" applyFont="1" applyFill="1" applyAlignment="1">
      <alignment vertical="center" wrapText="1"/>
    </xf>
    <xf numFmtId="0" fontId="27" fillId="22" borderId="0" xfId="0" applyFont="1" applyFill="1" applyBorder="1" applyAlignment="1">
      <alignment vertical="center" wrapText="1"/>
    </xf>
    <xf numFmtId="0" fontId="27" fillId="22" borderId="0" xfId="0" applyFont="1" applyFill="1" applyAlignment="1">
      <alignment vertical="center" wrapText="1"/>
    </xf>
    <xf numFmtId="174" fontId="27" fillId="22" borderId="12" xfId="0" applyNumberFormat="1" applyFont="1" applyFill="1" applyBorder="1" applyAlignment="1">
      <alignment vertical="center" wrapText="1"/>
    </xf>
    <xf numFmtId="0" fontId="27" fillId="0" borderId="81" xfId="0" applyFont="1" applyBorder="1" applyAlignment="1">
      <alignment horizontal="center" vertical="center" wrapText="1"/>
    </xf>
    <xf numFmtId="4" fontId="27" fillId="0" borderId="27" xfId="0" applyNumberFormat="1" applyFont="1" applyBorder="1" applyAlignment="1">
      <alignment horizontal="right" vertical="center" wrapText="1"/>
    </xf>
    <xf numFmtId="0" fontId="27" fillId="0" borderId="24" xfId="0" applyFont="1" applyBorder="1" applyAlignment="1">
      <alignment vertical="center" wrapText="1"/>
    </xf>
    <xf numFmtId="4" fontId="27" fillId="0" borderId="24" xfId="0" applyNumberFormat="1" applyFont="1" applyBorder="1" applyAlignment="1">
      <alignment horizontal="right" vertical="center" wrapText="1"/>
    </xf>
    <xf numFmtId="174" fontId="27" fillId="0" borderId="25" xfId="0" applyNumberFormat="1" applyFont="1" applyBorder="1" applyAlignment="1">
      <alignment vertical="center" wrapText="1"/>
    </xf>
    <xf numFmtId="49" fontId="27" fillId="0" borderId="11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27" fillId="0" borderId="35" xfId="0" applyFont="1" applyBorder="1" applyAlignment="1">
      <alignment horizontal="center" vertical="center" wrapText="1"/>
    </xf>
    <xf numFmtId="49" fontId="27" fillId="0" borderId="43" xfId="0" applyNumberFormat="1" applyFont="1" applyBorder="1" applyAlignment="1">
      <alignment horizontal="center" vertical="center" wrapText="1"/>
    </xf>
    <xf numFmtId="0" fontId="28" fillId="22" borderId="0" xfId="0" applyFont="1" applyFill="1" applyBorder="1" applyAlignment="1">
      <alignment vertical="center" wrapText="1"/>
    </xf>
    <xf numFmtId="0" fontId="28" fillId="22" borderId="0" xfId="0" applyFont="1" applyFill="1" applyAlignment="1">
      <alignment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0" fontId="27" fillId="0" borderId="78" xfId="0" applyFont="1" applyBorder="1" applyAlignment="1">
      <alignment horizontal="center" vertical="center" wrapText="1"/>
    </xf>
    <xf numFmtId="4" fontId="26" fillId="24" borderId="16" xfId="0" applyNumberFormat="1" applyFont="1" applyFill="1" applyBorder="1" applyAlignment="1">
      <alignment horizontal="right" vertical="center" wrapText="1"/>
    </xf>
    <xf numFmtId="174" fontId="26" fillId="24" borderId="17" xfId="0" applyNumberFormat="1" applyFont="1" applyFill="1" applyBorder="1" applyAlignment="1">
      <alignment vertical="center" wrapText="1"/>
    </xf>
    <xf numFmtId="169" fontId="50" fillId="0" borderId="44" xfId="0" applyNumberFormat="1" applyFont="1" applyFill="1" applyBorder="1" applyAlignment="1">
      <alignment horizontal="right" vertical="center"/>
    </xf>
    <xf numFmtId="4" fontId="27" fillId="0" borderId="0" xfId="0" applyNumberFormat="1" applyFont="1" applyAlignment="1" applyProtection="1">
      <alignment/>
      <protection hidden="1"/>
    </xf>
    <xf numFmtId="0" fontId="27" fillId="0" borderId="0" xfId="53" applyFont="1" applyAlignment="1">
      <alignment horizontal="center" vertical="center"/>
      <protection/>
    </xf>
    <xf numFmtId="0" fontId="27" fillId="0" borderId="0" xfId="53" applyFont="1" applyAlignment="1">
      <alignment vertical="center"/>
      <protection/>
    </xf>
    <xf numFmtId="0" fontId="27" fillId="0" borderId="0" xfId="53" applyFont="1" applyFill="1" applyAlignment="1">
      <alignment vertical="center"/>
      <protection/>
    </xf>
    <xf numFmtId="0" fontId="26" fillId="0" borderId="0" xfId="53" applyFont="1" applyAlignment="1">
      <alignment horizontal="center" vertical="center"/>
      <protection/>
    </xf>
    <xf numFmtId="0" fontId="27" fillId="0" borderId="0" xfId="53" applyFont="1" applyAlignment="1">
      <alignment horizontal="right" vertical="center"/>
      <protection/>
    </xf>
    <xf numFmtId="4" fontId="27" fillId="0" borderId="0" xfId="53" applyNumberFormat="1" applyFont="1" applyAlignment="1">
      <alignment horizontal="right" vertical="center"/>
      <protection/>
    </xf>
    <xf numFmtId="0" fontId="26" fillId="20" borderId="18" xfId="53" applyFont="1" applyFill="1" applyBorder="1" applyAlignment="1">
      <alignment horizontal="center" vertical="center"/>
      <protection/>
    </xf>
    <xf numFmtId="0" fontId="26" fillId="20" borderId="19" xfId="53" applyFont="1" applyFill="1" applyBorder="1" applyAlignment="1">
      <alignment horizontal="center" vertical="center"/>
      <protection/>
    </xf>
    <xf numFmtId="0" fontId="26" fillId="20" borderId="19" xfId="53" applyFont="1" applyFill="1" applyBorder="1" applyAlignment="1">
      <alignment horizontal="center" vertical="center" wrapText="1"/>
      <protection/>
    </xf>
    <xf numFmtId="4" fontId="26" fillId="20" borderId="20" xfId="53" applyNumberFormat="1" applyFont="1" applyFill="1" applyBorder="1" applyAlignment="1">
      <alignment horizontal="center" vertical="center" wrapText="1"/>
      <protection/>
    </xf>
    <xf numFmtId="0" fontId="26" fillId="20" borderId="82" xfId="53" applyFont="1" applyFill="1" applyBorder="1" applyAlignment="1">
      <alignment horizontal="center" vertical="center" wrapText="1"/>
      <protection/>
    </xf>
    <xf numFmtId="1" fontId="26" fillId="20" borderId="78" xfId="53" applyNumberFormat="1" applyFont="1" applyFill="1" applyBorder="1" applyAlignment="1">
      <alignment horizontal="center" vertical="center"/>
      <protection/>
    </xf>
    <xf numFmtId="1" fontId="26" fillId="20" borderId="57" xfId="53" applyNumberFormat="1" applyFont="1" applyFill="1" applyBorder="1" applyAlignment="1">
      <alignment horizontal="center" vertical="center"/>
      <protection/>
    </xf>
    <xf numFmtId="1" fontId="26" fillId="20" borderId="57" xfId="53" applyNumberFormat="1" applyFont="1" applyFill="1" applyBorder="1" applyAlignment="1">
      <alignment horizontal="center" vertical="center" wrapText="1"/>
      <protection/>
    </xf>
    <xf numFmtId="1" fontId="26" fillId="20" borderId="25" xfId="53" applyNumberFormat="1" applyFont="1" applyFill="1" applyBorder="1" applyAlignment="1">
      <alignment horizontal="center" vertical="center" wrapText="1"/>
      <protection/>
    </xf>
    <xf numFmtId="1" fontId="26" fillId="20" borderId="83" xfId="53" applyNumberFormat="1" applyFont="1" applyFill="1" applyBorder="1" applyAlignment="1">
      <alignment horizontal="center" vertical="center" wrapText="1"/>
      <protection/>
    </xf>
    <xf numFmtId="1" fontId="26" fillId="0" borderId="0" xfId="53" applyNumberFormat="1" applyFont="1" applyAlignment="1">
      <alignment horizontal="center" vertical="center"/>
      <protection/>
    </xf>
    <xf numFmtId="0" fontId="27" fillId="0" borderId="10" xfId="53" applyFont="1" applyBorder="1" applyAlignment="1">
      <alignment horizontal="center" vertical="center"/>
      <protection/>
    </xf>
    <xf numFmtId="0" fontId="27" fillId="0" borderId="11" xfId="53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4" fontId="27" fillId="0" borderId="11" xfId="53" applyNumberFormat="1" applyFont="1" applyBorder="1" applyAlignment="1">
      <alignment vertical="center"/>
      <protection/>
    </xf>
    <xf numFmtId="4" fontId="27" fillId="0" borderId="12" xfId="53" applyNumberFormat="1" applyFont="1" applyBorder="1" applyAlignment="1">
      <alignment vertical="center"/>
      <protection/>
    </xf>
    <xf numFmtId="4" fontId="27" fillId="0" borderId="29" xfId="53" applyNumberFormat="1" applyFont="1" applyBorder="1" applyAlignment="1">
      <alignment vertical="center"/>
      <protection/>
    </xf>
    <xf numFmtId="0" fontId="27" fillId="0" borderId="56" xfId="53" applyFont="1" applyBorder="1" applyAlignment="1">
      <alignment horizontal="center" vertical="center"/>
      <protection/>
    </xf>
    <xf numFmtId="0" fontId="27" fillId="0" borderId="30" xfId="53" applyFont="1" applyBorder="1" applyAlignment="1">
      <alignment horizontal="center" vertical="center"/>
      <protection/>
    </xf>
    <xf numFmtId="0" fontId="27" fillId="0" borderId="30" xfId="0" applyFont="1" applyBorder="1" applyAlignment="1">
      <alignment horizontal="center" vertical="center" wrapText="1"/>
    </xf>
    <xf numFmtId="4" fontId="27" fillId="0" borderId="30" xfId="53" applyNumberFormat="1" applyFont="1" applyBorder="1" applyAlignment="1">
      <alignment vertical="center"/>
      <protection/>
    </xf>
    <xf numFmtId="4" fontId="27" fillId="0" borderId="34" xfId="53" applyNumberFormat="1" applyFont="1" applyBorder="1" applyAlignment="1">
      <alignment vertical="center"/>
      <protection/>
    </xf>
    <xf numFmtId="4" fontId="26" fillId="24" borderId="15" xfId="53" applyNumberFormat="1" applyFont="1" applyFill="1" applyBorder="1" applyAlignment="1">
      <alignment vertical="center"/>
      <protection/>
    </xf>
    <xf numFmtId="4" fontId="26" fillId="24" borderId="26" xfId="53" applyNumberFormat="1" applyFont="1" applyFill="1" applyBorder="1" applyAlignment="1">
      <alignment vertical="center"/>
      <protection/>
    </xf>
    <xf numFmtId="4" fontId="26" fillId="24" borderId="29" xfId="53" applyNumberFormat="1" applyFont="1" applyFill="1" applyBorder="1" applyAlignment="1">
      <alignment vertical="center"/>
      <protection/>
    </xf>
    <xf numFmtId="0" fontId="26" fillId="0" borderId="0" xfId="53" applyFont="1" applyAlignment="1">
      <alignment vertical="center"/>
      <protection/>
    </xf>
    <xf numFmtId="0" fontId="27" fillId="0" borderId="11" xfId="0" applyFont="1" applyBorder="1" applyAlignment="1">
      <alignment horizontal="left" vertical="center" wrapText="1"/>
    </xf>
    <xf numFmtId="4" fontId="27" fillId="0" borderId="0" xfId="53" applyNumberFormat="1" applyFont="1" applyAlignment="1">
      <alignment vertical="center"/>
      <protection/>
    </xf>
    <xf numFmtId="3" fontId="37" fillId="0" borderId="57" xfId="56" applyNumberFormat="1" applyFont="1" applyFill="1" applyBorder="1" applyAlignment="1">
      <alignment vertical="center" wrapText="1"/>
      <protection/>
    </xf>
    <xf numFmtId="4" fontId="37" fillId="0" borderId="57" xfId="56" applyNumberFormat="1" applyFont="1" applyFill="1" applyBorder="1" applyAlignment="1">
      <alignment vertical="center"/>
      <protection/>
    </xf>
    <xf numFmtId="4" fontId="37" fillId="0" borderId="25" xfId="56" applyNumberFormat="1" applyFont="1" applyFill="1" applyBorder="1" applyAlignment="1">
      <alignment vertical="center"/>
      <protection/>
    </xf>
    <xf numFmtId="4" fontId="37" fillId="0" borderId="0" xfId="56" applyNumberFormat="1" applyFont="1" applyAlignment="1">
      <alignment vertical="center"/>
      <protection/>
    </xf>
    <xf numFmtId="0" fontId="37" fillId="0" borderId="0" xfId="56" applyFont="1" applyAlignment="1">
      <alignment vertical="center"/>
      <protection/>
    </xf>
    <xf numFmtId="3" fontId="36" fillId="0" borderId="57" xfId="56" applyNumberFormat="1" applyFont="1" applyFill="1" applyBorder="1" applyAlignment="1">
      <alignment vertical="center" wrapText="1"/>
      <protection/>
    </xf>
    <xf numFmtId="4" fontId="36" fillId="0" borderId="57" xfId="56" applyNumberFormat="1" applyFont="1" applyFill="1" applyBorder="1" applyAlignment="1">
      <alignment vertical="center"/>
      <protection/>
    </xf>
    <xf numFmtId="4" fontId="36" fillId="0" borderId="25" xfId="56" applyNumberFormat="1" applyFont="1" applyFill="1" applyBorder="1" applyAlignment="1">
      <alignment vertical="center"/>
      <protection/>
    </xf>
    <xf numFmtId="3" fontId="36" fillId="0" borderId="11" xfId="56" applyNumberFormat="1" applyFont="1" applyFill="1" applyBorder="1" applyAlignment="1">
      <alignment vertical="center" wrapText="1"/>
      <protection/>
    </xf>
    <xf numFmtId="4" fontId="36" fillId="0" borderId="11" xfId="56" applyNumberFormat="1" applyFont="1" applyFill="1" applyBorder="1" applyAlignment="1">
      <alignment vertical="center"/>
      <protection/>
    </xf>
    <xf numFmtId="4" fontId="36" fillId="0" borderId="12" xfId="56" applyNumberFormat="1" applyFont="1" applyFill="1" applyBorder="1" applyAlignment="1">
      <alignment vertical="center"/>
      <protection/>
    </xf>
    <xf numFmtId="0" fontId="37" fillId="0" borderId="0" xfId="56" applyFont="1" applyFill="1" applyAlignment="1">
      <alignment vertical="center"/>
      <protection/>
    </xf>
    <xf numFmtId="4" fontId="48" fillId="22" borderId="13" xfId="56" applyNumberFormat="1" applyFont="1" applyFill="1" applyBorder="1" applyAlignment="1">
      <alignment vertical="center"/>
      <protection/>
    </xf>
    <xf numFmtId="4" fontId="48" fillId="22" borderId="31" xfId="56" applyNumberFormat="1" applyFont="1" applyFill="1" applyBorder="1" applyAlignment="1">
      <alignment vertical="center"/>
      <protection/>
    </xf>
    <xf numFmtId="0" fontId="48" fillId="24" borderId="29" xfId="56" applyFont="1" applyFill="1" applyBorder="1" applyAlignment="1">
      <alignment vertical="center"/>
      <protection/>
    </xf>
    <xf numFmtId="0" fontId="48" fillId="24" borderId="11" xfId="56" applyFont="1" applyFill="1" applyBorder="1" applyAlignment="1">
      <alignment vertical="center"/>
      <protection/>
    </xf>
    <xf numFmtId="4" fontId="36" fillId="0" borderId="13" xfId="56" applyNumberFormat="1" applyFont="1" applyFill="1" applyBorder="1" applyAlignment="1">
      <alignment vertical="center"/>
      <protection/>
    </xf>
    <xf numFmtId="4" fontId="36" fillId="0" borderId="31" xfId="56" applyNumberFormat="1" applyFont="1" applyFill="1" applyBorder="1" applyAlignment="1">
      <alignment vertical="center"/>
      <protection/>
    </xf>
    <xf numFmtId="0" fontId="37" fillId="0" borderId="0" xfId="56" applyFont="1" applyAlignment="1">
      <alignment horizontal="center" vertical="center"/>
      <protection/>
    </xf>
    <xf numFmtId="0" fontId="39" fillId="0" borderId="0" xfId="56" applyFont="1" applyAlignment="1">
      <alignment horizontal="center" vertical="center" wrapText="1"/>
      <protection/>
    </xf>
    <xf numFmtId="0" fontId="37" fillId="0" borderId="0" xfId="56" applyFont="1" applyAlignment="1">
      <alignment horizontal="right" vertical="center"/>
      <protection/>
    </xf>
    <xf numFmtId="0" fontId="39" fillId="20" borderId="58" xfId="56" applyFont="1" applyFill="1" applyBorder="1" applyAlignment="1">
      <alignment horizontal="center" vertical="center"/>
      <protection/>
    </xf>
    <xf numFmtId="0" fontId="39" fillId="20" borderId="59" xfId="56" applyFont="1" applyFill="1" applyBorder="1" applyAlignment="1">
      <alignment horizontal="center" vertical="center"/>
      <protection/>
    </xf>
    <xf numFmtId="0" fontId="39" fillId="20" borderId="59" xfId="56" applyFont="1" applyFill="1" applyBorder="1" applyAlignment="1">
      <alignment horizontal="center" vertical="center" wrapText="1"/>
      <protection/>
    </xf>
    <xf numFmtId="0" fontId="39" fillId="20" borderId="39" xfId="56" applyFont="1" applyFill="1" applyBorder="1" applyAlignment="1">
      <alignment horizontal="center" vertical="center" wrapText="1"/>
      <protection/>
    </xf>
    <xf numFmtId="0" fontId="39" fillId="20" borderId="20" xfId="56" applyFont="1" applyFill="1" applyBorder="1" applyAlignment="1">
      <alignment horizontal="center" vertical="center" wrapText="1"/>
      <protection/>
    </xf>
    <xf numFmtId="0" fontId="39" fillId="0" borderId="10" xfId="56" applyFont="1" applyBorder="1" applyAlignment="1">
      <alignment horizontal="center" vertical="center"/>
      <protection/>
    </xf>
    <xf numFmtId="0" fontId="39" fillId="0" borderId="11" xfId="56" applyFont="1" applyBorder="1" applyAlignment="1">
      <alignment horizontal="center" vertical="center"/>
      <protection/>
    </xf>
    <xf numFmtId="0" fontId="39" fillId="0" borderId="12" xfId="56" applyFont="1" applyBorder="1" applyAlignment="1">
      <alignment horizontal="center" vertical="center"/>
      <protection/>
    </xf>
    <xf numFmtId="4" fontId="48" fillId="22" borderId="11" xfId="56" applyNumberFormat="1" applyFont="1" applyFill="1" applyBorder="1" applyAlignment="1">
      <alignment vertical="center"/>
      <protection/>
    </xf>
    <xf numFmtId="4" fontId="48" fillId="22" borderId="12" xfId="56" applyNumberFormat="1" applyFont="1" applyFill="1" applyBorder="1" applyAlignment="1">
      <alignment vertical="center"/>
      <protection/>
    </xf>
    <xf numFmtId="0" fontId="48" fillId="0" borderId="0" xfId="56" applyFont="1" applyAlignment="1">
      <alignment vertical="center"/>
      <protection/>
    </xf>
    <xf numFmtId="4" fontId="37" fillId="0" borderId="11" xfId="56" applyNumberFormat="1" applyFont="1" applyFill="1" applyBorder="1" applyAlignment="1">
      <alignment vertical="center"/>
      <protection/>
    </xf>
    <xf numFmtId="4" fontId="37" fillId="0" borderId="12" xfId="56" applyNumberFormat="1" applyFont="1" applyFill="1" applyBorder="1" applyAlignment="1">
      <alignment vertical="center"/>
      <protection/>
    </xf>
    <xf numFmtId="3" fontId="36" fillId="0" borderId="84" xfId="56" applyNumberFormat="1" applyFont="1" applyFill="1" applyBorder="1" applyAlignment="1">
      <alignment vertical="center" wrapText="1"/>
      <protection/>
    </xf>
    <xf numFmtId="3" fontId="37" fillId="0" borderId="43" xfId="56" applyNumberFormat="1" applyFont="1" applyFill="1" applyBorder="1" applyAlignment="1">
      <alignment vertical="center" wrapText="1"/>
      <protection/>
    </xf>
    <xf numFmtId="4" fontId="37" fillId="0" borderId="43" xfId="56" applyNumberFormat="1" applyFont="1" applyFill="1" applyBorder="1" applyAlignment="1">
      <alignment vertical="center"/>
      <protection/>
    </xf>
    <xf numFmtId="4" fontId="37" fillId="0" borderId="37" xfId="56" applyNumberFormat="1" applyFont="1" applyFill="1" applyBorder="1" applyAlignment="1">
      <alignment vertical="center"/>
      <protection/>
    </xf>
    <xf numFmtId="3" fontId="36" fillId="0" borderId="30" xfId="56" applyNumberFormat="1" applyFont="1" applyFill="1" applyBorder="1" applyAlignment="1">
      <alignment vertical="center" wrapText="1"/>
      <protection/>
    </xf>
    <xf numFmtId="4" fontId="36" fillId="0" borderId="30" xfId="56" applyNumberFormat="1" applyFont="1" applyFill="1" applyBorder="1" applyAlignment="1">
      <alignment vertical="center"/>
      <protection/>
    </xf>
    <xf numFmtId="4" fontId="36" fillId="0" borderId="34" xfId="56" applyNumberFormat="1" applyFont="1" applyFill="1" applyBorder="1" applyAlignment="1">
      <alignment vertical="center"/>
      <protection/>
    </xf>
    <xf numFmtId="4" fontId="39" fillId="24" borderId="15" xfId="56" applyNumberFormat="1" applyFont="1" applyFill="1" applyBorder="1" applyAlignment="1">
      <alignment vertical="center"/>
      <protection/>
    </xf>
    <xf numFmtId="4" fontId="39" fillId="24" borderId="26" xfId="56" applyNumberFormat="1" applyFont="1" applyFill="1" applyBorder="1" applyAlignment="1">
      <alignment vertical="center"/>
      <protection/>
    </xf>
    <xf numFmtId="0" fontId="37" fillId="24" borderId="0" xfId="56" applyFont="1" applyFill="1" applyAlignment="1">
      <alignment vertical="center"/>
      <protection/>
    </xf>
    <xf numFmtId="4" fontId="30" fillId="0" borderId="0" xfId="56" applyNumberFormat="1" applyFont="1" applyAlignment="1">
      <alignment vertical="center"/>
      <protection/>
    </xf>
    <xf numFmtId="4" fontId="30" fillId="0" borderId="49" xfId="56" applyNumberFormat="1" applyFont="1" applyBorder="1" applyAlignment="1">
      <alignment vertical="center"/>
      <protection/>
    </xf>
    <xf numFmtId="0" fontId="30" fillId="0" borderId="0" xfId="56" applyFont="1" applyAlignment="1">
      <alignment vertical="center" wrapText="1"/>
      <protection/>
    </xf>
    <xf numFmtId="0" fontId="31" fillId="0" borderId="0" xfId="56" applyFont="1" applyAlignment="1">
      <alignment horizontal="center" vertical="center"/>
      <protection/>
    </xf>
    <xf numFmtId="0" fontId="31" fillId="0" borderId="0" xfId="56" applyFont="1" applyAlignment="1">
      <alignment vertical="center"/>
      <protection/>
    </xf>
    <xf numFmtId="4" fontId="31" fillId="0" borderId="0" xfId="56" applyNumberFormat="1" applyFont="1" applyAlignment="1">
      <alignment vertical="center"/>
      <protection/>
    </xf>
    <xf numFmtId="49" fontId="30" fillId="0" borderId="0" xfId="56" applyNumberFormat="1" applyFont="1" applyAlignment="1">
      <alignment vertical="center"/>
      <protection/>
    </xf>
    <xf numFmtId="0" fontId="27" fillId="0" borderId="0" xfId="55" applyFont="1" applyAlignment="1">
      <alignment horizontal="center" vertical="center" wrapText="1"/>
      <protection/>
    </xf>
    <xf numFmtId="0" fontId="27" fillId="0" borderId="0" xfId="55" applyFont="1" applyAlignment="1">
      <alignment vertical="center" wrapText="1"/>
      <protection/>
    </xf>
    <xf numFmtId="43" fontId="27" fillId="0" borderId="0" xfId="42" applyFont="1" applyAlignment="1">
      <alignment vertical="center" wrapText="1"/>
    </xf>
    <xf numFmtId="0" fontId="26" fillId="0" borderId="0" xfId="55" applyFont="1" applyAlignment="1">
      <alignment horizontal="center" vertical="center" wrapText="1"/>
      <protection/>
    </xf>
    <xf numFmtId="43" fontId="27" fillId="0" borderId="0" xfId="42" applyFont="1" applyAlignment="1">
      <alignment horizontal="right" vertical="center" wrapText="1"/>
    </xf>
    <xf numFmtId="0" fontId="26" fillId="20" borderId="22" xfId="55" applyFont="1" applyFill="1" applyBorder="1" applyAlignment="1">
      <alignment horizontal="center" vertical="center" wrapText="1"/>
      <protection/>
    </xf>
    <xf numFmtId="0" fontId="26" fillId="20" borderId="39" xfId="55" applyFont="1" applyFill="1" applyBorder="1" applyAlignment="1">
      <alignment horizontal="center" vertical="center" wrapText="1"/>
      <protection/>
    </xf>
    <xf numFmtId="43" fontId="26" fillId="20" borderId="39" xfId="42" applyFont="1" applyFill="1" applyBorder="1" applyAlignment="1">
      <alignment horizontal="center" vertical="center" wrapText="1"/>
    </xf>
    <xf numFmtId="0" fontId="26" fillId="20" borderId="20" xfId="55" applyFont="1" applyFill="1" applyBorder="1" applyAlignment="1">
      <alignment horizontal="center" vertical="center" wrapText="1"/>
      <protection/>
    </xf>
    <xf numFmtId="1" fontId="26" fillId="20" borderId="51" xfId="55" applyNumberFormat="1" applyFont="1" applyFill="1" applyBorder="1" applyAlignment="1">
      <alignment horizontal="center" vertical="center" wrapText="1"/>
      <protection/>
    </xf>
    <xf numFmtId="1" fontId="26" fillId="20" borderId="46" xfId="55" applyNumberFormat="1" applyFont="1" applyFill="1" applyBorder="1" applyAlignment="1">
      <alignment horizontal="center" vertical="center" wrapText="1"/>
      <protection/>
    </xf>
    <xf numFmtId="1" fontId="26" fillId="20" borderId="46" xfId="42" applyNumberFormat="1" applyFont="1" applyFill="1" applyBorder="1" applyAlignment="1">
      <alignment horizontal="center" vertical="center" wrapText="1"/>
    </xf>
    <xf numFmtId="1" fontId="26" fillId="20" borderId="26" xfId="55" applyNumberFormat="1" applyFont="1" applyFill="1" applyBorder="1" applyAlignment="1">
      <alignment horizontal="center" vertical="center" wrapText="1"/>
      <protection/>
    </xf>
    <xf numFmtId="1" fontId="26" fillId="0" borderId="0" xfId="55" applyNumberFormat="1" applyFont="1" applyAlignment="1">
      <alignment horizontal="center" vertical="center" wrapText="1"/>
      <protection/>
    </xf>
    <xf numFmtId="0" fontId="26" fillId="22" borderId="38" xfId="55" applyFont="1" applyFill="1" applyBorder="1" applyAlignment="1">
      <alignment horizontal="center" vertical="center" wrapText="1"/>
      <protection/>
    </xf>
    <xf numFmtId="0" fontId="26" fillId="22" borderId="32" xfId="55" applyFont="1" applyFill="1" applyBorder="1" applyAlignment="1">
      <alignment vertical="center" wrapText="1"/>
      <protection/>
    </xf>
    <xf numFmtId="43" fontId="26" fillId="22" borderId="32" xfId="42" applyFont="1" applyFill="1" applyBorder="1" applyAlignment="1">
      <alignment vertical="center" wrapText="1"/>
    </xf>
    <xf numFmtId="169" fontId="26" fillId="22" borderId="31" xfId="55" applyNumberFormat="1" applyFont="1" applyFill="1" applyBorder="1" applyAlignment="1">
      <alignment vertical="center" wrapText="1"/>
      <protection/>
    </xf>
    <xf numFmtId="0" fontId="26" fillId="0" borderId="0" xfId="55" applyFont="1" applyAlignment="1">
      <alignment vertical="center" wrapText="1"/>
      <protection/>
    </xf>
    <xf numFmtId="0" fontId="26" fillId="22" borderId="81" xfId="55" applyFont="1" applyFill="1" applyBorder="1" applyAlignment="1">
      <alignment horizontal="center" vertical="center" wrapText="1"/>
      <protection/>
    </xf>
    <xf numFmtId="0" fontId="26" fillId="22" borderId="24" xfId="55" applyFont="1" applyFill="1" applyBorder="1" applyAlignment="1">
      <alignment vertical="center" wrapText="1"/>
      <protection/>
    </xf>
    <xf numFmtId="43" fontId="26" fillId="22" borderId="24" xfId="42" applyFont="1" applyFill="1" applyBorder="1" applyAlignment="1">
      <alignment vertical="center" wrapText="1"/>
    </xf>
    <xf numFmtId="169" fontId="26" fillId="22" borderId="25" xfId="55" applyNumberFormat="1" applyFont="1" applyFill="1" applyBorder="1" applyAlignment="1">
      <alignment vertical="center" wrapText="1"/>
      <protection/>
    </xf>
    <xf numFmtId="0" fontId="27" fillId="0" borderId="35" xfId="55" applyFont="1" applyBorder="1" applyAlignment="1">
      <alignment horizontal="center" vertical="center" wrapText="1"/>
      <protection/>
    </xf>
    <xf numFmtId="0" fontId="27" fillId="0" borderId="36" xfId="55" applyFont="1" applyBorder="1" applyAlignment="1">
      <alignment vertical="center" wrapText="1"/>
      <protection/>
    </xf>
    <xf numFmtId="43" fontId="27" fillId="0" borderId="36" xfId="42" applyFont="1" applyBorder="1" applyAlignment="1">
      <alignment vertical="center" wrapText="1"/>
    </xf>
    <xf numFmtId="169" fontId="27" fillId="0" borderId="37" xfId="55" applyNumberFormat="1" applyFont="1" applyBorder="1" applyAlignment="1">
      <alignment vertical="center" wrapText="1"/>
      <protection/>
    </xf>
    <xf numFmtId="0" fontId="27" fillId="0" borderId="38" xfId="55" applyFont="1" applyBorder="1" applyAlignment="1">
      <alignment horizontal="center" vertical="center" wrapText="1"/>
      <protection/>
    </xf>
    <xf numFmtId="0" fontId="27" fillId="0" borderId="32" xfId="55" applyFont="1" applyBorder="1" applyAlignment="1">
      <alignment vertical="center" wrapText="1"/>
      <protection/>
    </xf>
    <xf numFmtId="43" fontId="27" fillId="0" borderId="32" xfId="42" applyFont="1" applyBorder="1" applyAlignment="1">
      <alignment vertical="center" wrapText="1"/>
    </xf>
    <xf numFmtId="169" fontId="27" fillId="0" borderId="31" xfId="55" applyNumberFormat="1" applyFont="1" applyBorder="1" applyAlignment="1">
      <alignment vertical="center" wrapText="1"/>
      <protection/>
    </xf>
    <xf numFmtId="43" fontId="27" fillId="0" borderId="32" xfId="42" applyFont="1" applyFill="1" applyBorder="1" applyAlignment="1">
      <alignment vertical="center" wrapText="1"/>
    </xf>
    <xf numFmtId="0" fontId="26" fillId="22" borderId="28" xfId="55" applyFont="1" applyFill="1" applyBorder="1" applyAlignment="1">
      <alignment horizontal="center" vertical="center" wrapText="1"/>
      <protection/>
    </xf>
    <xf numFmtId="0" fontId="26" fillId="22" borderId="27" xfId="55" applyFont="1" applyFill="1" applyBorder="1" applyAlignment="1">
      <alignment vertical="center" wrapText="1"/>
      <protection/>
    </xf>
    <xf numFmtId="43" fontId="26" fillId="22" borderId="27" xfId="42" applyFont="1" applyFill="1" applyBorder="1" applyAlignment="1">
      <alignment vertical="center" wrapText="1"/>
    </xf>
    <xf numFmtId="169" fontId="26" fillId="22" borderId="12" xfId="55" applyNumberFormat="1" applyFont="1" applyFill="1" applyBorder="1" applyAlignment="1">
      <alignment vertical="center" wrapText="1"/>
      <protection/>
    </xf>
    <xf numFmtId="169" fontId="26" fillId="22" borderId="12" xfId="55" applyNumberFormat="1" applyFont="1" applyFill="1" applyBorder="1" applyAlignment="1">
      <alignment horizontal="right" vertical="center" wrapText="1"/>
      <protection/>
    </xf>
    <xf numFmtId="0" fontId="26" fillId="22" borderId="77" xfId="55" applyFont="1" applyFill="1" applyBorder="1" applyAlignment="1">
      <alignment horizontal="center" vertical="center" wrapText="1"/>
      <protection/>
    </xf>
    <xf numFmtId="0" fontId="26" fillId="22" borderId="40" xfId="55" applyFont="1" applyFill="1" applyBorder="1" applyAlignment="1">
      <alignment vertical="center" wrapText="1"/>
      <protection/>
    </xf>
    <xf numFmtId="169" fontId="26" fillId="22" borderId="37" xfId="55" applyNumberFormat="1" applyFont="1" applyFill="1" applyBorder="1" applyAlignment="1">
      <alignment vertical="center" wrapText="1"/>
      <protection/>
    </xf>
    <xf numFmtId="43" fontId="26" fillId="22" borderId="40" xfId="42" applyFont="1" applyFill="1" applyBorder="1" applyAlignment="1">
      <alignment vertical="center" wrapText="1"/>
    </xf>
    <xf numFmtId="169" fontId="26" fillId="22" borderId="17" xfId="55" applyNumberFormat="1" applyFont="1" applyFill="1" applyBorder="1" applyAlignment="1">
      <alignment horizontal="right" vertical="center" wrapText="1"/>
      <protection/>
    </xf>
    <xf numFmtId="0" fontId="26" fillId="20" borderId="18" xfId="55" applyFont="1" applyFill="1" applyBorder="1" applyAlignment="1">
      <alignment horizontal="center" vertical="center" wrapText="1"/>
      <protection/>
    </xf>
    <xf numFmtId="0" fontId="26" fillId="20" borderId="19" xfId="55" applyFont="1" applyFill="1" applyBorder="1" applyAlignment="1">
      <alignment horizontal="center" vertical="center" wrapText="1"/>
      <protection/>
    </xf>
    <xf numFmtId="43" fontId="26" fillId="20" borderId="19" xfId="42" applyFont="1" applyFill="1" applyBorder="1" applyAlignment="1">
      <alignment horizontal="center" vertical="center" wrapText="1"/>
    </xf>
    <xf numFmtId="1" fontId="26" fillId="20" borderId="14" xfId="55" applyNumberFormat="1" applyFont="1" applyFill="1" applyBorder="1" applyAlignment="1">
      <alignment horizontal="center" vertical="center" wrapText="1"/>
      <protection/>
    </xf>
    <xf numFmtId="1" fontId="26" fillId="20" borderId="15" xfId="55" applyNumberFormat="1" applyFont="1" applyFill="1" applyBorder="1" applyAlignment="1">
      <alignment horizontal="center" vertical="center" wrapText="1"/>
      <protection/>
    </xf>
    <xf numFmtId="1" fontId="26" fillId="20" borderId="15" xfId="42" applyNumberFormat="1" applyFont="1" applyFill="1" applyBorder="1" applyAlignment="1">
      <alignment horizontal="center" vertical="center" wrapText="1"/>
    </xf>
    <xf numFmtId="1" fontId="27" fillId="0" borderId="0" xfId="55" applyNumberFormat="1" applyFont="1" applyAlignment="1">
      <alignment horizontal="center" vertical="center" wrapText="1"/>
      <protection/>
    </xf>
    <xf numFmtId="0" fontId="26" fillId="22" borderId="18" xfId="55" applyFont="1" applyFill="1" applyBorder="1" applyAlignment="1">
      <alignment horizontal="center" vertical="center" wrapText="1"/>
      <protection/>
    </xf>
    <xf numFmtId="0" fontId="26" fillId="22" borderId="19" xfId="55" applyFont="1" applyFill="1" applyBorder="1" applyAlignment="1">
      <alignment vertical="center" wrapText="1"/>
      <protection/>
    </xf>
    <xf numFmtId="43" fontId="26" fillId="22" borderId="19" xfId="42" applyFont="1" applyFill="1" applyBorder="1" applyAlignment="1">
      <alignment vertical="center" wrapText="1"/>
    </xf>
    <xf numFmtId="43" fontId="26" fillId="22" borderId="39" xfId="42" applyFont="1" applyFill="1" applyBorder="1" applyAlignment="1">
      <alignment vertical="center" wrapText="1"/>
    </xf>
    <xf numFmtId="169" fontId="26" fillId="22" borderId="20" xfId="55" applyNumberFormat="1" applyFont="1" applyFill="1" applyBorder="1" applyAlignment="1">
      <alignment vertical="center" wrapText="1"/>
      <protection/>
    </xf>
    <xf numFmtId="0" fontId="26" fillId="22" borderId="35" xfId="55" applyFont="1" applyFill="1" applyBorder="1" applyAlignment="1">
      <alignment horizontal="center" vertical="center" wrapText="1"/>
      <protection/>
    </xf>
    <xf numFmtId="0" fontId="26" fillId="22" borderId="36" xfId="55" applyFont="1" applyFill="1" applyBorder="1" applyAlignment="1">
      <alignment vertical="center" wrapText="1"/>
      <protection/>
    </xf>
    <xf numFmtId="43" fontId="26" fillId="22" borderId="36" xfId="42" applyFont="1" applyFill="1" applyBorder="1" applyAlignment="1">
      <alignment vertical="center" wrapText="1"/>
    </xf>
    <xf numFmtId="0" fontId="27" fillId="0" borderId="23" xfId="55" applyFont="1" applyBorder="1" applyAlignment="1">
      <alignment horizontal="center" vertical="center" wrapText="1"/>
      <protection/>
    </xf>
    <xf numFmtId="0" fontId="26" fillId="22" borderId="10" xfId="55" applyFont="1" applyFill="1" applyBorder="1" applyAlignment="1">
      <alignment horizontal="center" vertical="center" wrapText="1"/>
      <protection/>
    </xf>
    <xf numFmtId="0" fontId="26" fillId="22" borderId="11" xfId="55" applyFont="1" applyFill="1" applyBorder="1" applyAlignment="1">
      <alignment vertical="center" wrapText="1"/>
      <protection/>
    </xf>
    <xf numFmtId="0" fontId="26" fillId="22" borderId="14" xfId="55" applyFont="1" applyFill="1" applyBorder="1" applyAlignment="1">
      <alignment horizontal="center" vertical="center" wrapText="1"/>
      <protection/>
    </xf>
    <xf numFmtId="0" fontId="26" fillId="22" borderId="15" xfId="55" applyFont="1" applyFill="1" applyBorder="1" applyAlignment="1">
      <alignment vertical="center" wrapText="1"/>
      <protection/>
    </xf>
    <xf numFmtId="43" fontId="26" fillId="22" borderId="11" xfId="42" applyFont="1" applyFill="1" applyBorder="1" applyAlignment="1">
      <alignment vertical="center" wrapText="1"/>
    </xf>
    <xf numFmtId="43" fontId="26" fillId="22" borderId="46" xfId="42" applyFont="1" applyFill="1" applyBorder="1" applyAlignment="1">
      <alignment vertical="center" wrapText="1"/>
    </xf>
    <xf numFmtId="49" fontId="33" fillId="0" borderId="41" xfId="0" applyNumberFormat="1" applyFont="1" applyBorder="1" applyAlignment="1">
      <alignment horizontal="center" vertical="top"/>
    </xf>
    <xf numFmtId="49" fontId="33" fillId="0" borderId="43" xfId="0" applyNumberFormat="1" applyFont="1" applyBorder="1" applyAlignment="1">
      <alignment horizontal="center" vertical="top"/>
    </xf>
    <xf numFmtId="49" fontId="27" fillId="0" borderId="42" xfId="0" applyNumberFormat="1" applyFont="1" applyFill="1" applyBorder="1" applyAlignment="1">
      <alignment horizontal="left" vertical="top" wrapText="1"/>
    </xf>
    <xf numFmtId="0" fontId="27" fillId="0" borderId="42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vertical="top"/>
    </xf>
    <xf numFmtId="4" fontId="26" fillId="0" borderId="0" xfId="0" applyNumberFormat="1" applyFont="1" applyBorder="1" applyAlignment="1">
      <alignment horizontal="right" vertical="top"/>
    </xf>
    <xf numFmtId="49" fontId="33" fillId="0" borderId="35" xfId="0" applyNumberFormat="1" applyFont="1" applyBorder="1" applyAlignment="1">
      <alignment horizontal="center" vertical="center"/>
    </xf>
    <xf numFmtId="49" fontId="33" fillId="0" borderId="23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43" fillId="0" borderId="13" xfId="0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/>
    </xf>
    <xf numFmtId="169" fontId="43" fillId="0" borderId="45" xfId="0" applyNumberFormat="1" applyFont="1" applyBorder="1" applyAlignment="1">
      <alignment vertical="center"/>
    </xf>
    <xf numFmtId="49" fontId="37" fillId="0" borderId="35" xfId="0" applyNumberFormat="1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28" fillId="0" borderId="42" xfId="0" applyNumberFormat="1" applyFont="1" applyBorder="1" applyAlignment="1">
      <alignment vertical="center" wrapText="1"/>
    </xf>
    <xf numFmtId="3" fontId="33" fillId="0" borderId="0" xfId="0" applyNumberFormat="1" applyFont="1" applyAlignment="1">
      <alignment horizontal="center" vertical="center"/>
    </xf>
    <xf numFmtId="49" fontId="46" fillId="0" borderId="42" xfId="0" applyNumberFormat="1" applyFont="1" applyBorder="1" applyAlignment="1">
      <alignment vertical="center" wrapText="1"/>
    </xf>
    <xf numFmtId="4" fontId="37" fillId="0" borderId="43" xfId="0" applyNumberFormat="1" applyFont="1" applyBorder="1" applyAlignment="1">
      <alignment vertical="center"/>
    </xf>
    <xf numFmtId="169" fontId="37" fillId="0" borderId="44" xfId="0" applyNumberFormat="1" applyFont="1" applyBorder="1" applyAlignment="1">
      <alignment vertical="center"/>
    </xf>
    <xf numFmtId="49" fontId="39" fillId="0" borderId="35" xfId="0" applyNumberFormat="1" applyFont="1" applyBorder="1" applyAlignment="1">
      <alignment horizontal="center" vertical="center"/>
    </xf>
    <xf numFmtId="49" fontId="43" fillId="0" borderId="42" xfId="0" applyNumberFormat="1" applyFont="1" applyBorder="1" applyAlignment="1">
      <alignment vertical="center" wrapText="1"/>
    </xf>
    <xf numFmtId="4" fontId="33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vertical="center"/>
    </xf>
    <xf numFmtId="49" fontId="46" fillId="0" borderId="42" xfId="0" applyNumberFormat="1" applyFont="1" applyBorder="1" applyAlignment="1">
      <alignment horizontal="left" vertical="center" wrapText="1"/>
    </xf>
    <xf numFmtId="4" fontId="46" fillId="0" borderId="43" xfId="0" applyNumberFormat="1" applyFont="1" applyBorder="1" applyAlignment="1">
      <alignment vertical="center"/>
    </xf>
    <xf numFmtId="169" fontId="46" fillId="0" borderId="44" xfId="0" applyNumberFormat="1" applyFont="1" applyBorder="1" applyAlignment="1">
      <alignment vertical="center"/>
    </xf>
    <xf numFmtId="4" fontId="33" fillId="22" borderId="0" xfId="0" applyNumberFormat="1" applyFont="1" applyFill="1" applyAlignment="1">
      <alignment horizontal="center" vertical="center"/>
    </xf>
    <xf numFmtId="4" fontId="26" fillId="22" borderId="0" xfId="0" applyNumberFormat="1" applyFont="1" applyFill="1" applyAlignment="1">
      <alignment vertical="center"/>
    </xf>
    <xf numFmtId="4" fontId="26" fillId="0" borderId="0" xfId="0" applyNumberFormat="1" applyFont="1" applyAlignment="1">
      <alignment horizontal="center" vertical="center"/>
    </xf>
    <xf numFmtId="49" fontId="39" fillId="0" borderId="51" xfId="0" applyNumberFormat="1" applyFont="1" applyBorder="1" applyAlignment="1">
      <alignment horizontal="center" vertical="center"/>
    </xf>
    <xf numFmtId="49" fontId="39" fillId="0" borderId="52" xfId="0" applyNumberFormat="1" applyFont="1" applyBorder="1" applyAlignment="1">
      <alignment horizontal="center" vertical="center"/>
    </xf>
    <xf numFmtId="49" fontId="43" fillId="0" borderId="85" xfId="0" applyNumberFormat="1" applyFont="1" applyBorder="1" applyAlignment="1">
      <alignment vertical="center" wrapText="1"/>
    </xf>
    <xf numFmtId="4" fontId="43" fillId="0" borderId="15" xfId="0" applyNumberFormat="1" applyFont="1" applyBorder="1" applyAlignment="1">
      <alignment vertical="center"/>
    </xf>
    <xf numFmtId="169" fontId="43" fillId="0" borderId="63" xfId="0" applyNumberFormat="1" applyFont="1" applyBorder="1" applyAlignment="1">
      <alignment vertical="center"/>
    </xf>
    <xf numFmtId="4" fontId="28" fillId="0" borderId="37" xfId="0" applyNumberFormat="1" applyFont="1" applyFill="1" applyBorder="1" applyAlignment="1">
      <alignment vertical="center"/>
    </xf>
    <xf numFmtId="169" fontId="26" fillId="0" borderId="44" xfId="0" applyNumberFormat="1" applyFont="1" applyFill="1" applyBorder="1" applyAlignment="1">
      <alignment horizontal="right" vertical="top"/>
    </xf>
    <xf numFmtId="0" fontId="26" fillId="22" borderId="86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49" fontId="26" fillId="22" borderId="22" xfId="0" applyNumberFormat="1" applyFont="1" applyFill="1" applyBorder="1" applyAlignment="1">
      <alignment horizontal="center" vertical="center"/>
    </xf>
    <xf numFmtId="49" fontId="26" fillId="22" borderId="50" xfId="0" applyNumberFormat="1" applyFont="1" applyFill="1" applyBorder="1" applyAlignment="1">
      <alignment horizontal="center" vertical="center"/>
    </xf>
    <xf numFmtId="49" fontId="26" fillId="22" borderId="86" xfId="0" applyNumberFormat="1" applyFont="1" applyFill="1" applyBorder="1" applyAlignment="1">
      <alignment horizontal="center" vertical="center"/>
    </xf>
    <xf numFmtId="49" fontId="26" fillId="24" borderId="87" xfId="0" applyNumberFormat="1" applyFont="1" applyFill="1" applyBorder="1" applyAlignment="1">
      <alignment horizontal="center" vertical="center"/>
    </xf>
    <xf numFmtId="49" fontId="26" fillId="24" borderId="88" xfId="0" applyNumberFormat="1" applyFont="1" applyFill="1" applyBorder="1" applyAlignment="1">
      <alignment horizontal="center" vertical="center"/>
    </xf>
    <xf numFmtId="49" fontId="26" fillId="24" borderId="89" xfId="0" applyNumberFormat="1" applyFont="1" applyFill="1" applyBorder="1" applyAlignment="1">
      <alignment horizontal="center" vertical="center"/>
    </xf>
    <xf numFmtId="4" fontId="28" fillId="0" borderId="43" xfId="0" applyNumberFormat="1" applyFont="1" applyFill="1" applyBorder="1" applyAlignment="1">
      <alignment horizontal="right" vertical="top"/>
    </xf>
    <xf numFmtId="169" fontId="28" fillId="0" borderId="37" xfId="0" applyNumberFormat="1" applyFont="1" applyFill="1" applyBorder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26" fillId="22" borderId="39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49" fontId="26" fillId="20" borderId="79" xfId="0" applyNumberFormat="1" applyFont="1" applyFill="1" applyBorder="1" applyAlignment="1">
      <alignment horizontal="center" vertical="center"/>
    </xf>
    <xf numFmtId="49" fontId="26" fillId="20" borderId="38" xfId="0" applyNumberFormat="1" applyFont="1" applyFill="1" applyBorder="1" applyAlignment="1">
      <alignment horizontal="center" vertical="center"/>
    </xf>
    <xf numFmtId="0" fontId="26" fillId="20" borderId="80" xfId="0" applyFont="1" applyFill="1" applyBorder="1" applyAlignment="1">
      <alignment horizontal="center" vertical="center"/>
    </xf>
    <xf numFmtId="0" fontId="26" fillId="20" borderId="32" xfId="0" applyFont="1" applyFill="1" applyBorder="1" applyAlignment="1">
      <alignment horizontal="center" vertical="center"/>
    </xf>
    <xf numFmtId="0" fontId="26" fillId="20" borderId="39" xfId="0" applyFont="1" applyFill="1" applyBorder="1" applyAlignment="1">
      <alignment horizontal="center" vertical="center"/>
    </xf>
    <xf numFmtId="0" fontId="26" fillId="20" borderId="50" xfId="0" applyFont="1" applyFill="1" applyBorder="1" applyAlignment="1">
      <alignment horizontal="center" vertical="center"/>
    </xf>
    <xf numFmtId="0" fontId="26" fillId="20" borderId="8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20" borderId="39" xfId="0" applyFont="1" applyFill="1" applyBorder="1" applyAlignment="1">
      <alignment vertical="center"/>
    </xf>
    <xf numFmtId="0" fontId="26" fillId="20" borderId="86" xfId="0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20" borderId="58" xfId="0" applyFont="1" applyFill="1" applyBorder="1" applyAlignment="1">
      <alignment horizontal="center" vertical="center"/>
    </xf>
    <xf numFmtId="0" fontId="26" fillId="20" borderId="23" xfId="0" applyFont="1" applyFill="1" applyBorder="1" applyAlignment="1">
      <alignment horizontal="center" vertical="center"/>
    </xf>
    <xf numFmtId="0" fontId="26" fillId="20" borderId="59" xfId="0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0" fontId="26" fillId="20" borderId="59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60" xfId="0" applyFont="1" applyFill="1" applyBorder="1" applyAlignment="1">
      <alignment horizontal="center" vertical="center"/>
    </xf>
    <xf numFmtId="0" fontId="26" fillId="20" borderId="3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right"/>
    </xf>
    <xf numFmtId="4" fontId="26" fillId="24" borderId="90" xfId="57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right" vertical="center"/>
    </xf>
    <xf numFmtId="0" fontId="26" fillId="24" borderId="11" xfId="57" applyFont="1" applyFill="1" applyBorder="1" applyAlignment="1">
      <alignment horizontal="center" vertical="center"/>
      <protection/>
    </xf>
    <xf numFmtId="0" fontId="26" fillId="20" borderId="82" xfId="57" applyFont="1" applyFill="1" applyBorder="1" applyAlignment="1">
      <alignment horizontal="center" vertical="center" wrapText="1"/>
      <protection/>
    </xf>
    <xf numFmtId="0" fontId="26" fillId="20" borderId="13" xfId="57" applyFont="1" applyFill="1" applyBorder="1" applyAlignment="1">
      <alignment horizontal="center" vertical="center" wrapText="1"/>
      <protection/>
    </xf>
    <xf numFmtId="0" fontId="26" fillId="22" borderId="10" xfId="57" applyFont="1" applyFill="1" applyBorder="1" applyAlignment="1">
      <alignment horizontal="center" vertical="center"/>
      <protection/>
    </xf>
    <xf numFmtId="0" fontId="26" fillId="22" borderId="11" xfId="57" applyFont="1" applyFill="1" applyBorder="1" applyAlignment="1">
      <alignment horizontal="center" vertical="center"/>
      <protection/>
    </xf>
    <xf numFmtId="0" fontId="26" fillId="24" borderId="10" xfId="57" applyFont="1" applyFill="1" applyBorder="1" applyAlignment="1">
      <alignment horizontal="center" vertical="center"/>
      <protection/>
    </xf>
    <xf numFmtId="4" fontId="27" fillId="0" borderId="0" xfId="57" applyNumberFormat="1" applyFont="1" applyAlignment="1">
      <alignment horizontal="center" vertical="center"/>
      <protection/>
    </xf>
    <xf numFmtId="0" fontId="27" fillId="0" borderId="0" xfId="57" applyFont="1" applyAlignment="1">
      <alignment horizontal="center" vertical="center"/>
      <protection/>
    </xf>
    <xf numFmtId="4" fontId="26" fillId="24" borderId="40" xfId="57" applyNumberFormat="1" applyFont="1" applyFill="1" applyBorder="1" applyAlignment="1">
      <alignment horizontal="center" vertical="center"/>
      <protection/>
    </xf>
    <xf numFmtId="4" fontId="26" fillId="24" borderId="91" xfId="57" applyNumberFormat="1" applyFont="1" applyFill="1" applyBorder="1" applyAlignment="1">
      <alignment horizontal="center" vertical="center"/>
      <protection/>
    </xf>
    <xf numFmtId="4" fontId="26" fillId="24" borderId="92" xfId="57" applyNumberFormat="1" applyFont="1" applyFill="1" applyBorder="1" applyAlignment="1">
      <alignment horizontal="center" vertical="center"/>
      <protection/>
    </xf>
    <xf numFmtId="4" fontId="26" fillId="22" borderId="27" xfId="57" applyNumberFormat="1" applyFont="1" applyFill="1" applyBorder="1" applyAlignment="1">
      <alignment horizontal="center" vertical="center"/>
      <protection/>
    </xf>
    <xf numFmtId="4" fontId="26" fillId="22" borderId="29" xfId="57" applyNumberFormat="1" applyFont="1" applyFill="1" applyBorder="1" applyAlignment="1">
      <alignment horizontal="center" vertical="center"/>
      <protection/>
    </xf>
    <xf numFmtId="0" fontId="26" fillId="22" borderId="28" xfId="57" applyFont="1" applyFill="1" applyBorder="1" applyAlignment="1">
      <alignment horizontal="center" vertical="center"/>
      <protection/>
    </xf>
    <xf numFmtId="0" fontId="26" fillId="22" borderId="29" xfId="57" applyFont="1" applyFill="1" applyBorder="1" applyAlignment="1">
      <alignment horizontal="center" vertical="center"/>
      <protection/>
    </xf>
    <xf numFmtId="0" fontId="26" fillId="24" borderId="77" xfId="57" applyFont="1" applyFill="1" applyBorder="1" applyAlignment="1">
      <alignment horizontal="center" vertical="center"/>
      <protection/>
    </xf>
    <xf numFmtId="0" fontId="26" fillId="24" borderId="91" xfId="57" applyFont="1" applyFill="1" applyBorder="1" applyAlignment="1">
      <alignment horizontal="center" vertical="center"/>
      <protection/>
    </xf>
    <xf numFmtId="0" fontId="26" fillId="0" borderId="0" xfId="57" applyFont="1" applyAlignment="1">
      <alignment horizontal="center" vertical="center" wrapText="1"/>
      <protection/>
    </xf>
    <xf numFmtId="4" fontId="26" fillId="22" borderId="90" xfId="57" applyNumberFormat="1" applyFont="1" applyFill="1" applyBorder="1" applyAlignment="1">
      <alignment horizontal="center" vertical="center"/>
      <protection/>
    </xf>
    <xf numFmtId="0" fontId="26" fillId="21" borderId="58" xfId="57" applyFont="1" applyFill="1" applyBorder="1" applyAlignment="1">
      <alignment horizontal="center" vertical="center" wrapText="1"/>
      <protection/>
    </xf>
    <xf numFmtId="0" fontId="26" fillId="21" borderId="23" xfId="57" applyFont="1" applyFill="1" applyBorder="1" applyAlignment="1">
      <alignment horizontal="center" vertical="center" wrapText="1"/>
      <protection/>
    </xf>
    <xf numFmtId="0" fontId="26" fillId="21" borderId="59" xfId="57" applyFont="1" applyFill="1" applyBorder="1" applyAlignment="1">
      <alignment horizontal="center" vertical="center" wrapText="1"/>
      <protection/>
    </xf>
    <xf numFmtId="0" fontId="26" fillId="21" borderId="13" xfId="57" applyFont="1" applyFill="1" applyBorder="1" applyAlignment="1">
      <alignment horizontal="center" vertical="center" wrapText="1"/>
      <protection/>
    </xf>
    <xf numFmtId="0" fontId="26" fillId="21" borderId="39" xfId="57" applyFont="1" applyFill="1" applyBorder="1" applyAlignment="1">
      <alignment horizontal="center" vertical="center" wrapText="1"/>
      <protection/>
    </xf>
    <xf numFmtId="0" fontId="26" fillId="21" borderId="86" xfId="57" applyFont="1" applyFill="1" applyBorder="1" applyAlignment="1">
      <alignment horizontal="center" vertical="center" wrapText="1"/>
      <protection/>
    </xf>
    <xf numFmtId="0" fontId="26" fillId="21" borderId="82" xfId="57" applyFont="1" applyFill="1" applyBorder="1" applyAlignment="1">
      <alignment horizontal="center" vertical="center" wrapText="1"/>
      <protection/>
    </xf>
    <xf numFmtId="0" fontId="26" fillId="24" borderId="21" xfId="57" applyFont="1" applyFill="1" applyBorder="1" applyAlignment="1">
      <alignment horizontal="center" vertical="center"/>
      <protection/>
    </xf>
    <xf numFmtId="0" fontId="26" fillId="24" borderId="16" xfId="57" applyFont="1" applyFill="1" applyBorder="1" applyAlignment="1">
      <alignment horizontal="center" vertical="center"/>
      <protection/>
    </xf>
    <xf numFmtId="0" fontId="26" fillId="20" borderId="58" xfId="57" applyFont="1" applyFill="1" applyBorder="1" applyAlignment="1">
      <alignment horizontal="center" vertical="center" wrapText="1"/>
      <protection/>
    </xf>
    <xf numFmtId="0" fontId="26" fillId="20" borderId="23" xfId="57" applyFont="1" applyFill="1" applyBorder="1" applyAlignment="1">
      <alignment horizontal="center" vertical="center" wrapText="1"/>
      <protection/>
    </xf>
    <xf numFmtId="0" fontId="26" fillId="20" borderId="39" xfId="57" applyFont="1" applyFill="1" applyBorder="1" applyAlignment="1">
      <alignment horizontal="center" vertical="center" wrapText="1"/>
      <protection/>
    </xf>
    <xf numFmtId="0" fontId="26" fillId="20" borderId="86" xfId="57" applyFont="1" applyFill="1" applyBorder="1" applyAlignment="1">
      <alignment horizontal="center" vertical="center" wrapText="1"/>
      <protection/>
    </xf>
    <xf numFmtId="4" fontId="26" fillId="24" borderId="27" xfId="57" applyNumberFormat="1" applyFont="1" applyFill="1" applyBorder="1" applyAlignment="1">
      <alignment horizontal="center" vertical="center"/>
      <protection/>
    </xf>
    <xf numFmtId="4" fontId="26" fillId="24" borderId="29" xfId="57" applyNumberFormat="1" applyFont="1" applyFill="1" applyBorder="1" applyAlignment="1">
      <alignment horizontal="center" vertical="center"/>
      <protection/>
    </xf>
    <xf numFmtId="0" fontId="26" fillId="20" borderId="59" xfId="57" applyFont="1" applyFill="1" applyBorder="1" applyAlignment="1">
      <alignment horizontal="center" vertical="center" wrapText="1"/>
      <protection/>
    </xf>
    <xf numFmtId="49" fontId="26" fillId="22" borderId="38" xfId="0" applyNumberFormat="1" applyFont="1" applyFill="1" applyBorder="1" applyAlignment="1">
      <alignment horizontal="center" vertical="center"/>
    </xf>
    <xf numFmtId="49" fontId="26" fillId="22" borderId="49" xfId="0" applyNumberFormat="1" applyFont="1" applyFill="1" applyBorder="1" applyAlignment="1">
      <alignment horizontal="center" vertical="center"/>
    </xf>
    <xf numFmtId="49" fontId="26" fillId="22" borderId="6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6" fillId="0" borderId="0" xfId="0" applyFont="1" applyAlignment="1" applyProtection="1">
      <alignment horizontal="center"/>
      <protection hidden="1"/>
    </xf>
    <xf numFmtId="49" fontId="26" fillId="22" borderId="28" xfId="0" applyNumberFormat="1" applyFont="1" applyFill="1" applyBorder="1" applyAlignment="1">
      <alignment horizontal="center" vertical="center"/>
    </xf>
    <xf numFmtId="49" fontId="26" fillId="22" borderId="93" xfId="0" applyNumberFormat="1" applyFont="1" applyFill="1" applyBorder="1" applyAlignment="1">
      <alignment horizontal="center" vertical="center"/>
    </xf>
    <xf numFmtId="49" fontId="26" fillId="22" borderId="29" xfId="0" applyNumberFormat="1" applyFont="1" applyFill="1" applyBorder="1" applyAlignment="1">
      <alignment horizontal="center" vertical="center"/>
    </xf>
    <xf numFmtId="49" fontId="26" fillId="22" borderId="23" xfId="0" applyNumberFormat="1" applyFont="1" applyFill="1" applyBorder="1" applyAlignment="1">
      <alignment horizontal="center" vertical="center"/>
    </xf>
    <xf numFmtId="49" fontId="26" fillId="22" borderId="13" xfId="0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93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22" borderId="51" xfId="0" applyFont="1" applyFill="1" applyBorder="1" applyAlignment="1">
      <alignment horizontal="center" vertical="center"/>
    </xf>
    <xf numFmtId="0" fontId="26" fillId="22" borderId="52" xfId="0" applyFont="1" applyFill="1" applyBorder="1" applyAlignment="1">
      <alignment horizontal="center" vertical="center"/>
    </xf>
    <xf numFmtId="0" fontId="26" fillId="22" borderId="85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left" vertical="center" wrapText="1"/>
    </xf>
    <xf numFmtId="0" fontId="26" fillId="0" borderId="0" xfId="0" applyFont="1" applyAlignment="1">
      <alignment horizontal="right" vertical="center"/>
    </xf>
    <xf numFmtId="0" fontId="26" fillId="0" borderId="3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9" fillId="20" borderId="22" xfId="0" applyFont="1" applyFill="1" applyBorder="1" applyAlignment="1">
      <alignment horizontal="center" vertical="center"/>
    </xf>
    <xf numFmtId="0" fontId="29" fillId="20" borderId="50" xfId="0" applyFont="1" applyFill="1" applyBorder="1" applyAlignment="1">
      <alignment horizontal="center" vertical="center"/>
    </xf>
    <xf numFmtId="0" fontId="29" fillId="20" borderId="86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left" wrapText="1"/>
    </xf>
    <xf numFmtId="0" fontId="26" fillId="0" borderId="52" xfId="0" applyFont="1" applyBorder="1" applyAlignment="1">
      <alignment horizontal="left"/>
    </xf>
    <xf numFmtId="0" fontId="27" fillId="0" borderId="94" xfId="0" applyFont="1" applyFill="1" applyBorder="1" applyAlignment="1">
      <alignment horizontal="left" vertical="center" wrapText="1"/>
    </xf>
    <xf numFmtId="0" fontId="33" fillId="24" borderId="95" xfId="0" applyFont="1" applyFill="1" applyBorder="1" applyAlignment="1">
      <alignment horizontal="left" vertical="center"/>
    </xf>
    <xf numFmtId="0" fontId="33" fillId="24" borderId="64" xfId="0" applyFont="1" applyFill="1" applyBorder="1" applyAlignment="1">
      <alignment horizontal="left" vertical="center"/>
    </xf>
    <xf numFmtId="0" fontId="33" fillId="24" borderId="96" xfId="0" applyFont="1" applyFill="1" applyBorder="1" applyAlignment="1">
      <alignment horizontal="left" vertical="center"/>
    </xf>
    <xf numFmtId="0" fontId="26" fillId="24" borderId="51" xfId="0" applyFont="1" applyFill="1" applyBorder="1" applyAlignment="1">
      <alignment horizontal="left" vertical="center"/>
    </xf>
    <xf numFmtId="0" fontId="26" fillId="24" borderId="52" xfId="0" applyFont="1" applyFill="1" applyBorder="1" applyAlignment="1">
      <alignment horizontal="left" vertical="center"/>
    </xf>
    <xf numFmtId="0" fontId="26" fillId="24" borderId="85" xfId="0" applyFont="1" applyFill="1" applyBorder="1" applyAlignment="1">
      <alignment horizontal="left" vertical="center"/>
    </xf>
    <xf numFmtId="0" fontId="33" fillId="24" borderId="38" xfId="0" applyFont="1" applyFill="1" applyBorder="1" applyAlignment="1">
      <alignment horizontal="left" vertical="center"/>
    </xf>
    <xf numFmtId="0" fontId="33" fillId="24" borderId="49" xfId="0" applyFont="1" applyFill="1" applyBorder="1" applyAlignment="1">
      <alignment horizontal="left" vertical="center"/>
    </xf>
    <xf numFmtId="0" fontId="33" fillId="24" borderId="62" xfId="0" applyFont="1" applyFill="1" applyBorder="1" applyAlignment="1">
      <alignment horizontal="left" vertical="center"/>
    </xf>
    <xf numFmtId="0" fontId="26" fillId="22" borderId="14" xfId="0" applyFont="1" applyFill="1" applyBorder="1" applyAlignment="1">
      <alignment horizontal="center" vertical="center"/>
    </xf>
    <xf numFmtId="0" fontId="26" fillId="22" borderId="15" xfId="0" applyFont="1" applyFill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49" fontId="27" fillId="0" borderId="94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19" xfId="0" applyFont="1" applyFill="1" applyBorder="1" applyAlignment="1">
      <alignment horizontal="center" vertical="center"/>
    </xf>
    <xf numFmtId="0" fontId="26" fillId="20" borderId="20" xfId="0" applyFont="1" applyFill="1" applyBorder="1" applyAlignment="1">
      <alignment horizontal="center" vertical="center"/>
    </xf>
    <xf numFmtId="49" fontId="26" fillId="20" borderId="18" xfId="0" applyNumberFormat="1" applyFont="1" applyFill="1" applyBorder="1" applyAlignment="1">
      <alignment horizontal="center" vertical="center"/>
    </xf>
    <xf numFmtId="49" fontId="26" fillId="20" borderId="10" xfId="0" applyNumberFormat="1" applyFont="1" applyFill="1" applyBorder="1" applyAlignment="1">
      <alignment horizontal="center" vertical="center"/>
    </xf>
    <xf numFmtId="49" fontId="39" fillId="20" borderId="19" xfId="0" applyNumberFormat="1" applyFont="1" applyFill="1" applyBorder="1" applyAlignment="1">
      <alignment horizontal="center" vertical="center"/>
    </xf>
    <xf numFmtId="49" fontId="39" fillId="20" borderId="11" xfId="0" applyNumberFormat="1" applyFont="1" applyFill="1" applyBorder="1" applyAlignment="1">
      <alignment horizontal="center" vertical="center"/>
    </xf>
    <xf numFmtId="0" fontId="39" fillId="20" borderId="19" xfId="0" applyFont="1" applyFill="1" applyBorder="1" applyAlignment="1">
      <alignment horizontal="center" vertical="center"/>
    </xf>
    <xf numFmtId="0" fontId="39" fillId="20" borderId="11" xfId="0" applyFont="1" applyFill="1" applyBorder="1" applyAlignment="1">
      <alignment horizontal="center" vertical="center"/>
    </xf>
    <xf numFmtId="49" fontId="26" fillId="0" borderId="0" xfId="0" applyNumberFormat="1" applyFont="1" applyFill="1" applyAlignment="1">
      <alignment horizontal="center" vertical="center" wrapText="1"/>
    </xf>
    <xf numFmtId="0" fontId="26" fillId="20" borderId="27" xfId="0" applyFont="1" applyFill="1" applyBorder="1" applyAlignment="1">
      <alignment horizontal="center" vertical="center" wrapText="1"/>
    </xf>
    <xf numFmtId="0" fontId="26" fillId="20" borderId="93" xfId="0" applyFont="1" applyFill="1" applyBorder="1" applyAlignment="1">
      <alignment horizontal="center" vertical="center" wrapText="1"/>
    </xf>
    <xf numFmtId="0" fontId="26" fillId="20" borderId="29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25" xfId="0" applyFont="1" applyFill="1" applyBorder="1" applyAlignment="1">
      <alignment horizontal="center" vertical="center" wrapText="1"/>
    </xf>
    <xf numFmtId="0" fontId="26" fillId="20" borderId="37" xfId="0" applyFont="1" applyFill="1" applyBorder="1" applyAlignment="1">
      <alignment horizontal="center" vertical="center" wrapText="1"/>
    </xf>
    <xf numFmtId="0" fontId="26" fillId="20" borderId="31" xfId="0" applyFont="1" applyFill="1" applyBorder="1" applyAlignment="1">
      <alignment horizontal="center" vertical="center" wrapText="1"/>
    </xf>
    <xf numFmtId="0" fontId="26" fillId="20" borderId="84" xfId="0" applyFont="1" applyFill="1" applyBorder="1" applyAlignment="1">
      <alignment horizontal="center" vertical="center" wrapText="1"/>
    </xf>
    <xf numFmtId="0" fontId="26" fillId="20" borderId="62" xfId="0" applyFont="1" applyFill="1" applyBorder="1" applyAlignment="1">
      <alignment horizontal="center" vertical="center" wrapText="1"/>
    </xf>
    <xf numFmtId="0" fontId="26" fillId="20" borderId="57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20" borderId="18" xfId="0" applyFont="1" applyFill="1" applyBorder="1" applyAlignment="1">
      <alignment horizontal="center" vertical="center"/>
    </xf>
    <xf numFmtId="0" fontId="26" fillId="20" borderId="23" xfId="0" applyFont="1" applyFill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/>
    </xf>
    <xf numFmtId="0" fontId="26" fillId="20" borderId="19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/>
    </xf>
    <xf numFmtId="0" fontId="26" fillId="20" borderId="19" xfId="0" applyFont="1" applyFill="1" applyBorder="1" applyAlignment="1">
      <alignment horizontal="center" vertical="center"/>
    </xf>
    <xf numFmtId="0" fontId="26" fillId="20" borderId="13" xfId="0" applyFont="1" applyFill="1" applyBorder="1" applyAlignment="1">
      <alignment horizontal="center" vertical="center"/>
    </xf>
    <xf numFmtId="0" fontId="26" fillId="20" borderId="39" xfId="0" applyFont="1" applyFill="1" applyBorder="1" applyAlignment="1">
      <alignment horizontal="center" vertical="center" wrapText="1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4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3" fontId="37" fillId="0" borderId="57" xfId="56" applyNumberFormat="1" applyFont="1" applyFill="1" applyBorder="1" applyAlignment="1">
      <alignment horizontal="center" vertical="center"/>
      <protection/>
    </xf>
    <xf numFmtId="3" fontId="37" fillId="0" borderId="43" xfId="56" applyNumberFormat="1" applyFont="1" applyFill="1" applyBorder="1" applyAlignment="1">
      <alignment horizontal="center" vertical="center"/>
      <protection/>
    </xf>
    <xf numFmtId="3" fontId="37" fillId="0" borderId="13" xfId="56" applyNumberFormat="1" applyFont="1" applyFill="1" applyBorder="1" applyAlignment="1">
      <alignment horizontal="center" vertical="center"/>
      <protection/>
    </xf>
    <xf numFmtId="0" fontId="40" fillId="0" borderId="43" xfId="56" applyFont="1" applyFill="1" applyBorder="1" applyAlignment="1">
      <alignment horizontal="center" wrapText="1"/>
      <protection/>
    </xf>
    <xf numFmtId="0" fontId="40" fillId="0" borderId="13" xfId="56" applyFont="1" applyFill="1" applyBorder="1" applyAlignment="1">
      <alignment horizontal="center" wrapText="1"/>
      <protection/>
    </xf>
    <xf numFmtId="0" fontId="40" fillId="0" borderId="57" xfId="56" applyFont="1" applyFill="1" applyBorder="1" applyAlignment="1">
      <alignment horizontal="center" wrapText="1"/>
      <protection/>
    </xf>
    <xf numFmtId="0" fontId="37" fillId="0" borderId="57" xfId="56" applyFont="1" applyFill="1" applyBorder="1" applyAlignment="1">
      <alignment horizontal="center" vertical="center" wrapText="1"/>
      <protection/>
    </xf>
    <xf numFmtId="0" fontId="37" fillId="0" borderId="43" xfId="56" applyFont="1" applyFill="1" applyBorder="1" applyAlignment="1">
      <alignment horizontal="center" vertical="center" wrapText="1"/>
      <protection/>
    </xf>
    <xf numFmtId="0" fontId="37" fillId="0" borderId="13" xfId="56" applyFont="1" applyFill="1" applyBorder="1" applyAlignment="1">
      <alignment horizontal="center" vertical="center" wrapText="1"/>
      <protection/>
    </xf>
    <xf numFmtId="3" fontId="37" fillId="0" borderId="24" xfId="56" applyNumberFormat="1" applyFont="1" applyFill="1" applyBorder="1" applyAlignment="1">
      <alignment horizontal="center" vertical="center"/>
      <protection/>
    </xf>
    <xf numFmtId="3" fontId="37" fillId="0" borderId="36" xfId="56" applyNumberFormat="1" applyFont="1" applyFill="1" applyBorder="1" applyAlignment="1">
      <alignment horizontal="center" vertical="center"/>
      <protection/>
    </xf>
    <xf numFmtId="0" fontId="37" fillId="0" borderId="78" xfId="56" applyFont="1" applyFill="1" applyBorder="1" applyAlignment="1">
      <alignment horizontal="center" vertical="center"/>
      <protection/>
    </xf>
    <xf numFmtId="0" fontId="37" fillId="0" borderId="41" xfId="56" applyFont="1" applyFill="1" applyBorder="1" applyAlignment="1">
      <alignment horizontal="center" vertical="center"/>
      <protection/>
    </xf>
    <xf numFmtId="0" fontId="37" fillId="0" borderId="23" xfId="56" applyFont="1" applyFill="1" applyBorder="1" applyAlignment="1">
      <alignment horizontal="center" vertical="center"/>
      <protection/>
    </xf>
    <xf numFmtId="49" fontId="37" fillId="0" borderId="57" xfId="56" applyNumberFormat="1" applyFont="1" applyFill="1" applyBorder="1" applyAlignment="1">
      <alignment horizontal="center" vertical="center"/>
      <protection/>
    </xf>
    <xf numFmtId="49" fontId="37" fillId="0" borderId="43" xfId="56" applyNumberFormat="1" applyFont="1" applyFill="1" applyBorder="1" applyAlignment="1">
      <alignment horizontal="center" vertical="center"/>
      <protection/>
    </xf>
    <xf numFmtId="49" fontId="37" fillId="0" borderId="13" xfId="56" applyNumberFormat="1" applyFont="1" applyFill="1" applyBorder="1" applyAlignment="1">
      <alignment horizontal="center" vertical="center"/>
      <protection/>
    </xf>
    <xf numFmtId="49" fontId="37" fillId="0" borderId="57" xfId="56" applyNumberFormat="1" applyFont="1" applyBorder="1" applyAlignment="1">
      <alignment horizontal="center" vertical="center" wrapText="1"/>
      <protection/>
    </xf>
    <xf numFmtId="49" fontId="37" fillId="0" borderId="43" xfId="56" applyNumberFormat="1" applyFont="1" applyBorder="1" applyAlignment="1">
      <alignment horizontal="center" vertical="center" wrapText="1"/>
      <protection/>
    </xf>
    <xf numFmtId="49" fontId="37" fillId="0" borderId="13" xfId="56" applyNumberFormat="1" applyFont="1" applyBorder="1" applyAlignment="1">
      <alignment horizontal="center" vertical="center" wrapText="1"/>
      <protection/>
    </xf>
    <xf numFmtId="0" fontId="37" fillId="0" borderId="57" xfId="56" applyFont="1" applyBorder="1" applyAlignment="1">
      <alignment horizontal="center" vertical="center" wrapText="1"/>
      <protection/>
    </xf>
    <xf numFmtId="0" fontId="37" fillId="0" borderId="43" xfId="56" applyFont="1" applyBorder="1" applyAlignment="1">
      <alignment horizontal="center" vertical="center" wrapText="1"/>
      <protection/>
    </xf>
    <xf numFmtId="0" fontId="37" fillId="0" borderId="13" xfId="56" applyFont="1" applyBorder="1" applyAlignment="1">
      <alignment horizontal="center" vertical="center" wrapText="1"/>
      <protection/>
    </xf>
    <xf numFmtId="3" fontId="37" fillId="0" borderId="57" xfId="56" applyNumberFormat="1" applyFont="1" applyBorder="1" applyAlignment="1">
      <alignment horizontal="center" vertical="center"/>
      <protection/>
    </xf>
    <xf numFmtId="3" fontId="37" fillId="0" borderId="43" xfId="56" applyNumberFormat="1" applyFont="1" applyBorder="1" applyAlignment="1">
      <alignment horizontal="center" vertical="center"/>
      <protection/>
    </xf>
    <xf numFmtId="3" fontId="37" fillId="0" borderId="13" xfId="56" applyNumberFormat="1" applyFont="1" applyBorder="1" applyAlignment="1">
      <alignment horizontal="center" vertical="center"/>
      <protection/>
    </xf>
    <xf numFmtId="3" fontId="37" fillId="0" borderId="98" xfId="56" applyNumberFormat="1" applyFont="1" applyFill="1" applyBorder="1" applyAlignment="1">
      <alignment horizontal="center" vertical="center"/>
      <protection/>
    </xf>
    <xf numFmtId="0" fontId="37" fillId="0" borderId="78" xfId="56" applyFont="1" applyBorder="1" applyAlignment="1">
      <alignment horizontal="center" vertical="center"/>
      <protection/>
    </xf>
    <xf numFmtId="0" fontId="37" fillId="0" borderId="41" xfId="56" applyFont="1" applyBorder="1" applyAlignment="1">
      <alignment horizontal="center" vertical="center"/>
      <protection/>
    </xf>
    <xf numFmtId="0" fontId="37" fillId="0" borderId="23" xfId="56" applyFont="1" applyBorder="1" applyAlignment="1">
      <alignment horizontal="center" vertical="center"/>
      <protection/>
    </xf>
    <xf numFmtId="49" fontId="37" fillId="0" borderId="57" xfId="56" applyNumberFormat="1" applyFont="1" applyBorder="1" applyAlignment="1">
      <alignment horizontal="center" vertical="center"/>
      <protection/>
    </xf>
    <xf numFmtId="49" fontId="37" fillId="0" borderId="43" xfId="56" applyNumberFormat="1" applyFont="1" applyBorder="1" applyAlignment="1">
      <alignment horizontal="center" vertical="center"/>
      <protection/>
    </xf>
    <xf numFmtId="49" fontId="37" fillId="0" borderId="13" xfId="56" applyNumberFormat="1" applyFont="1" applyBorder="1" applyAlignment="1">
      <alignment horizontal="center" vertical="center"/>
      <protection/>
    </xf>
    <xf numFmtId="0" fontId="37" fillId="0" borderId="98" xfId="56" applyFont="1" applyFill="1" applyBorder="1" applyAlignment="1">
      <alignment horizontal="center" vertical="center" wrapText="1"/>
      <protection/>
    </xf>
    <xf numFmtId="0" fontId="39" fillId="24" borderId="51" xfId="56" applyFont="1" applyFill="1" applyBorder="1" applyAlignment="1">
      <alignment horizontal="center" vertical="center"/>
      <protection/>
    </xf>
    <xf numFmtId="0" fontId="39" fillId="24" borderId="52" xfId="56" applyFont="1" applyFill="1" applyBorder="1" applyAlignment="1">
      <alignment horizontal="center" vertical="center"/>
      <protection/>
    </xf>
    <xf numFmtId="0" fontId="39" fillId="24" borderId="85" xfId="56" applyFont="1" applyFill="1" applyBorder="1" applyAlignment="1">
      <alignment horizontal="center" vertical="center"/>
      <protection/>
    </xf>
    <xf numFmtId="0" fontId="48" fillId="22" borderId="28" xfId="56" applyFont="1" applyFill="1" applyBorder="1" applyAlignment="1">
      <alignment horizontal="center" vertical="center"/>
      <protection/>
    </xf>
    <xf numFmtId="0" fontId="48" fillId="22" borderId="93" xfId="56" applyFont="1" applyFill="1" applyBorder="1" applyAlignment="1">
      <alignment horizontal="center" vertical="center"/>
      <protection/>
    </xf>
    <xf numFmtId="0" fontId="48" fillId="22" borderId="29" xfId="56" applyFont="1" applyFill="1" applyBorder="1" applyAlignment="1">
      <alignment horizontal="center" vertical="center"/>
      <protection/>
    </xf>
    <xf numFmtId="0" fontId="48" fillId="22" borderId="38" xfId="56" applyFont="1" applyFill="1" applyBorder="1" applyAlignment="1">
      <alignment horizontal="center" vertical="center"/>
      <protection/>
    </xf>
    <xf numFmtId="0" fontId="48" fillId="22" borderId="49" xfId="56" applyFont="1" applyFill="1" applyBorder="1" applyAlignment="1">
      <alignment horizontal="center" vertical="center"/>
      <protection/>
    </xf>
    <xf numFmtId="0" fontId="48" fillId="22" borderId="62" xfId="56" applyFont="1" applyFill="1" applyBorder="1" applyAlignment="1">
      <alignment horizontal="center" vertical="center"/>
      <protection/>
    </xf>
    <xf numFmtId="0" fontId="37" fillId="0" borderId="97" xfId="56" applyFont="1" applyFill="1" applyBorder="1" applyAlignment="1">
      <alignment horizontal="center" vertical="center"/>
      <protection/>
    </xf>
    <xf numFmtId="49" fontId="37" fillId="0" borderId="98" xfId="56" applyNumberFormat="1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right" vertical="center" wrapText="1"/>
    </xf>
    <xf numFmtId="0" fontId="39" fillId="0" borderId="0" xfId="56" applyFont="1" applyAlignment="1">
      <alignment horizontal="center" vertical="center" wrapText="1"/>
      <protection/>
    </xf>
    <xf numFmtId="0" fontId="40" fillId="0" borderId="57" xfId="56" applyFont="1" applyFill="1" applyBorder="1" applyAlignment="1">
      <alignment horizontal="center" vertical="center" wrapText="1"/>
      <protection/>
    </xf>
    <xf numFmtId="0" fontId="40" fillId="0" borderId="43" xfId="56" applyFont="1" applyFill="1" applyBorder="1" applyAlignment="1">
      <alignment horizontal="center" vertical="center" wrapText="1"/>
      <protection/>
    </xf>
    <xf numFmtId="0" fontId="40" fillId="0" borderId="13" xfId="56" applyFont="1" applyFill="1" applyBorder="1" applyAlignment="1">
      <alignment horizontal="center" vertical="center" wrapText="1"/>
      <protection/>
    </xf>
    <xf numFmtId="0" fontId="26" fillId="24" borderId="77" xfId="0" applyFont="1" applyFill="1" applyBorder="1" applyAlignment="1">
      <alignment horizontal="center" vertical="center" wrapText="1"/>
    </xf>
    <xf numFmtId="0" fontId="26" fillId="24" borderId="53" xfId="0" applyFont="1" applyFill="1" applyBorder="1" applyAlignment="1">
      <alignment horizontal="center" vertical="center" wrapText="1"/>
    </xf>
    <xf numFmtId="0" fontId="26" fillId="24" borderId="91" xfId="0" applyFont="1" applyFill="1" applyBorder="1" applyAlignment="1">
      <alignment horizontal="center" vertical="center" wrapText="1"/>
    </xf>
    <xf numFmtId="0" fontId="26" fillId="22" borderId="28" xfId="0" applyFont="1" applyFill="1" applyBorder="1" applyAlignment="1">
      <alignment horizontal="center" vertical="center" wrapText="1"/>
    </xf>
    <xf numFmtId="0" fontId="26" fillId="22" borderId="93" xfId="0" applyFont="1" applyFill="1" applyBorder="1" applyAlignment="1">
      <alignment horizontal="center" vertical="center" wrapText="1"/>
    </xf>
    <xf numFmtId="0" fontId="26" fillId="22" borderId="29" xfId="0" applyFont="1" applyFill="1" applyBorder="1" applyAlignment="1">
      <alignment horizontal="center" vertical="center" wrapText="1"/>
    </xf>
    <xf numFmtId="4" fontId="26" fillId="22" borderId="28" xfId="0" applyNumberFormat="1" applyFont="1" applyFill="1" applyBorder="1" applyAlignment="1">
      <alignment horizontal="center" vertical="center" wrapText="1"/>
    </xf>
    <xf numFmtId="0" fontId="26" fillId="22" borderId="38" xfId="0" applyFont="1" applyFill="1" applyBorder="1" applyAlignment="1">
      <alignment horizontal="center" vertical="center" wrapText="1"/>
    </xf>
    <xf numFmtId="0" fontId="26" fillId="22" borderId="49" xfId="0" applyFont="1" applyFill="1" applyBorder="1" applyAlignment="1">
      <alignment horizontal="center" vertical="center" wrapText="1"/>
    </xf>
    <xf numFmtId="0" fontId="26" fillId="22" borderId="62" xfId="0" applyFont="1" applyFill="1" applyBorder="1" applyAlignment="1">
      <alignment horizontal="center" vertical="center" wrapText="1"/>
    </xf>
    <xf numFmtId="0" fontId="27" fillId="22" borderId="93" xfId="0" applyFont="1" applyFill="1" applyBorder="1" applyAlignment="1">
      <alignment horizontal="center" vertical="center" wrapText="1"/>
    </xf>
    <xf numFmtId="0" fontId="27" fillId="22" borderId="29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0" borderId="39" xfId="0" applyFont="1" applyFill="1" applyBorder="1" applyAlignment="1">
      <alignment horizontal="center" vertical="center" wrapText="1"/>
    </xf>
    <xf numFmtId="49" fontId="26" fillId="20" borderId="19" xfId="0" applyNumberFormat="1" applyFont="1" applyFill="1" applyBorder="1" applyAlignment="1">
      <alignment horizontal="center" vertical="center"/>
    </xf>
    <xf numFmtId="49" fontId="26" fillId="20" borderId="11" xfId="0" applyNumberFormat="1" applyFont="1" applyFill="1" applyBorder="1" applyAlignment="1">
      <alignment horizontal="center" vertical="center"/>
    </xf>
    <xf numFmtId="49" fontId="26" fillId="22" borderId="38" xfId="0" applyNumberFormat="1" applyFont="1" applyFill="1" applyBorder="1" applyAlignment="1">
      <alignment horizontal="center" vertical="center"/>
    </xf>
    <xf numFmtId="49" fontId="26" fillId="22" borderId="49" xfId="0" applyNumberFormat="1" applyFont="1" applyFill="1" applyBorder="1" applyAlignment="1">
      <alignment horizontal="center" vertical="center"/>
    </xf>
    <xf numFmtId="49" fontId="26" fillId="22" borderId="62" xfId="0" applyNumberFormat="1" applyFont="1" applyFill="1" applyBorder="1" applyAlignment="1">
      <alignment horizontal="center" vertical="center"/>
    </xf>
    <xf numFmtId="49" fontId="26" fillId="22" borderId="22" xfId="0" applyNumberFormat="1" applyFont="1" applyFill="1" applyBorder="1" applyAlignment="1">
      <alignment horizontal="center" vertical="center"/>
    </xf>
    <xf numFmtId="49" fontId="26" fillId="22" borderId="50" xfId="0" applyNumberFormat="1" applyFont="1" applyFill="1" applyBorder="1" applyAlignment="1">
      <alignment horizontal="center" vertical="center"/>
    </xf>
    <xf numFmtId="49" fontId="26" fillId="22" borderId="86" xfId="0" applyNumberFormat="1" applyFont="1" applyFill="1" applyBorder="1" applyAlignment="1">
      <alignment horizontal="center" vertical="center"/>
    </xf>
    <xf numFmtId="0" fontId="26" fillId="20" borderId="20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24" borderId="51" xfId="53" applyFont="1" applyFill="1" applyBorder="1" applyAlignment="1">
      <alignment horizontal="center" vertical="center"/>
      <protection/>
    </xf>
    <xf numFmtId="0" fontId="26" fillId="24" borderId="52" xfId="53" applyFont="1" applyFill="1" applyBorder="1" applyAlignment="1">
      <alignment horizontal="center" vertical="center"/>
      <protection/>
    </xf>
    <xf numFmtId="0" fontId="26" fillId="24" borderId="85" xfId="53" applyFont="1" applyFill="1" applyBorder="1" applyAlignment="1">
      <alignment horizontal="center" vertical="center"/>
      <protection/>
    </xf>
    <xf numFmtId="0" fontId="26" fillId="0" borderId="0" xfId="53" applyFont="1" applyAlignment="1">
      <alignment horizontal="center" vertical="center"/>
      <protection/>
    </xf>
    <xf numFmtId="0" fontId="26" fillId="24" borderId="87" xfId="0" applyFont="1" applyFill="1" applyBorder="1" applyAlignment="1">
      <alignment horizontal="center" vertical="center"/>
    </xf>
    <xf numFmtId="0" fontId="26" fillId="24" borderId="88" xfId="0" applyFont="1" applyFill="1" applyBorder="1" applyAlignment="1">
      <alignment horizontal="center" vertical="center"/>
    </xf>
    <xf numFmtId="0" fontId="26" fillId="24" borderId="89" xfId="0" applyFont="1" applyFill="1" applyBorder="1" applyAlignment="1">
      <alignment horizontal="center" vertical="center"/>
    </xf>
    <xf numFmtId="0" fontId="26" fillId="24" borderId="54" xfId="0" applyFont="1" applyFill="1" applyBorder="1" applyAlignment="1">
      <alignment horizontal="center" vertical="center"/>
    </xf>
    <xf numFmtId="0" fontId="26" fillId="24" borderId="55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left" vertical="center"/>
    </xf>
    <xf numFmtId="0" fontId="26" fillId="24" borderId="21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0" borderId="0" xfId="52" applyFont="1" applyAlignment="1">
      <alignment horizontal="center" vertical="center"/>
      <protection/>
    </xf>
    <xf numFmtId="0" fontId="26" fillId="24" borderId="47" xfId="0" applyFont="1" applyFill="1" applyBorder="1" applyAlignment="1">
      <alignment horizontal="center" vertical="center"/>
    </xf>
    <xf numFmtId="0" fontId="26" fillId="24" borderId="41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26" fillId="0" borderId="0" xfId="55" applyFont="1" applyAlignment="1">
      <alignment horizontal="center" vertical="center" wrapText="1"/>
      <protection/>
    </xf>
    <xf numFmtId="0" fontId="26" fillId="0" borderId="0" xfId="54" applyFont="1" applyAlignment="1">
      <alignment horizontal="right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undusze" xfId="52"/>
    <cellStyle name="Normalny_niewygasy 2006" xfId="53"/>
    <cellStyle name="Normalny_tabele2007" xfId="54"/>
    <cellStyle name="Normalny_zaklady opieki zdrowotnej" xfId="55"/>
    <cellStyle name="Normalny_zalaczniki_" xfId="56"/>
    <cellStyle name="Normalny_Zmiany w budżecie 2006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57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1" max="1" width="14.375" style="75" customWidth="1"/>
    <col min="2" max="2" width="17.00390625" style="75" customWidth="1"/>
    <col min="3" max="3" width="13.75390625" style="73" customWidth="1"/>
    <col min="4" max="4" width="13.875" style="73" customWidth="1"/>
    <col min="5" max="5" width="14.25390625" style="73" customWidth="1"/>
    <col min="6" max="6" width="13.625" style="73" customWidth="1"/>
    <col min="7" max="7" width="17.25390625" style="73" customWidth="1"/>
    <col min="8" max="8" width="5.25390625" style="73" customWidth="1"/>
    <col min="9" max="9" width="13.875" style="73" customWidth="1"/>
    <col min="10" max="10" width="13.375" style="73" customWidth="1"/>
    <col min="11" max="16384" width="9.125" style="73" customWidth="1"/>
  </cols>
  <sheetData>
    <row r="1" spans="1:6" ht="26.25" customHeight="1">
      <c r="A1" s="73"/>
      <c r="B1" s="73"/>
      <c r="F1" s="74" t="s">
        <v>849</v>
      </c>
    </row>
    <row r="2" spans="1:6" ht="26.25" customHeight="1">
      <c r="A2" s="72"/>
      <c r="B2" s="72"/>
      <c r="C2" s="72"/>
      <c r="D2" s="72"/>
      <c r="E2" s="72"/>
      <c r="F2" s="72"/>
    </row>
    <row r="3" spans="1:6" ht="36" customHeight="1">
      <c r="A3" s="1400" t="s">
        <v>519</v>
      </c>
      <c r="B3" s="1400"/>
      <c r="C3" s="1400"/>
      <c r="D3" s="1400"/>
      <c r="E3" s="1400"/>
      <c r="F3" s="1400"/>
    </row>
    <row r="4" spans="6:8" ht="18" customHeight="1" thickBot="1">
      <c r="F4" s="76" t="s">
        <v>1426</v>
      </c>
      <c r="G4" s="1400"/>
      <c r="H4" s="1400"/>
    </row>
    <row r="5" spans="1:8" s="77" customFormat="1" ht="18" customHeight="1">
      <c r="A5" s="1402" t="s">
        <v>700</v>
      </c>
      <c r="B5" s="1404" t="s">
        <v>1408</v>
      </c>
      <c r="C5" s="1406" t="s">
        <v>536</v>
      </c>
      <c r="D5" s="1407"/>
      <c r="E5" s="1406" t="s">
        <v>537</v>
      </c>
      <c r="F5" s="1408"/>
      <c r="G5" s="1400"/>
      <c r="H5" s="1400"/>
    </row>
    <row r="6" spans="1:6" s="80" customFormat="1" ht="18" customHeight="1">
      <c r="A6" s="1403"/>
      <c r="B6" s="1405"/>
      <c r="C6" s="78" t="s">
        <v>701</v>
      </c>
      <c r="D6" s="78" t="s">
        <v>702</v>
      </c>
      <c r="E6" s="78" t="s">
        <v>701</v>
      </c>
      <c r="F6" s="79" t="s">
        <v>702</v>
      </c>
    </row>
    <row r="7" spans="1:6" s="85" customFormat="1" ht="13.5" customHeight="1">
      <c r="A7" s="81">
        <v>1</v>
      </c>
      <c r="B7" s="82">
        <v>2</v>
      </c>
      <c r="C7" s="83">
        <v>3</v>
      </c>
      <c r="D7" s="83">
        <v>4</v>
      </c>
      <c r="E7" s="83">
        <v>5</v>
      </c>
      <c r="F7" s="84">
        <v>6</v>
      </c>
    </row>
    <row r="8" spans="1:6" s="80" customFormat="1" ht="18" customHeight="1">
      <c r="A8" s="1396" t="s">
        <v>703</v>
      </c>
      <c r="B8" s="1397"/>
      <c r="C8" s="1394">
        <v>200787009</v>
      </c>
      <c r="D8" s="1395"/>
      <c r="E8" s="1394">
        <v>191987009</v>
      </c>
      <c r="F8" s="1401"/>
    </row>
    <row r="9" spans="1:10" s="90" customFormat="1" ht="18" customHeight="1">
      <c r="A9" s="86" t="s">
        <v>4</v>
      </c>
      <c r="B9" s="87" t="s">
        <v>5</v>
      </c>
      <c r="C9" s="88">
        <v>0</v>
      </c>
      <c r="D9" s="88">
        <v>0</v>
      </c>
      <c r="E9" s="88">
        <v>-4179205</v>
      </c>
      <c r="F9" s="89">
        <f>-E9</f>
        <v>4179205</v>
      </c>
      <c r="I9" s="91"/>
      <c r="J9" s="91"/>
    </row>
    <row r="10" spans="1:10" ht="18" customHeight="1">
      <c r="A10" s="86" t="s">
        <v>6</v>
      </c>
      <c r="B10" s="87" t="s">
        <v>7</v>
      </c>
      <c r="C10" s="88">
        <v>0</v>
      </c>
      <c r="D10" s="88">
        <v>1516781</v>
      </c>
      <c r="E10" s="88">
        <v>-2000000</v>
      </c>
      <c r="F10" s="89">
        <v>3516781</v>
      </c>
      <c r="H10" s="90"/>
      <c r="I10" s="91"/>
      <c r="J10" s="91"/>
    </row>
    <row r="11" spans="1:10" s="90" customFormat="1" ht="18" customHeight="1">
      <c r="A11" s="86" t="s">
        <v>8</v>
      </c>
      <c r="B11" s="87" t="s">
        <v>9</v>
      </c>
      <c r="C11" s="88">
        <v>0</v>
      </c>
      <c r="D11" s="88">
        <v>0</v>
      </c>
      <c r="E11" s="88">
        <v>-616976</v>
      </c>
      <c r="F11" s="89">
        <f>-E11</f>
        <v>616976</v>
      </c>
      <c r="I11" s="91"/>
      <c r="J11" s="91"/>
    </row>
    <row r="12" spans="1:10" s="90" customFormat="1" ht="18" customHeight="1">
      <c r="A12" s="86" t="s">
        <v>10</v>
      </c>
      <c r="B12" s="87" t="s">
        <v>11</v>
      </c>
      <c r="C12" s="88">
        <v>0</v>
      </c>
      <c r="D12" s="88">
        <v>0</v>
      </c>
      <c r="E12" s="88">
        <v>-17622</v>
      </c>
      <c r="F12" s="89">
        <f>-E12</f>
        <v>17622</v>
      </c>
      <c r="I12" s="91"/>
      <c r="J12" s="91"/>
    </row>
    <row r="13" spans="1:10" s="90" customFormat="1" ht="18" customHeight="1">
      <c r="A13" s="86" t="s">
        <v>12</v>
      </c>
      <c r="B13" s="87" t="s">
        <v>13</v>
      </c>
      <c r="C13" s="88">
        <v>0</v>
      </c>
      <c r="D13" s="88">
        <v>0</v>
      </c>
      <c r="E13" s="88">
        <v>-100000</v>
      </c>
      <c r="F13" s="89">
        <v>100000</v>
      </c>
      <c r="I13" s="91"/>
      <c r="J13" s="91"/>
    </row>
    <row r="14" spans="1:10" ht="18" customHeight="1">
      <c r="A14" s="86" t="s">
        <v>15</v>
      </c>
      <c r="B14" s="87" t="s">
        <v>14</v>
      </c>
      <c r="C14" s="88">
        <v>0</v>
      </c>
      <c r="D14" s="88">
        <v>0</v>
      </c>
      <c r="E14" s="88">
        <v>-297655</v>
      </c>
      <c r="F14" s="89">
        <f>-E14</f>
        <v>297655</v>
      </c>
      <c r="H14" s="90"/>
      <c r="I14" s="91"/>
      <c r="J14" s="91"/>
    </row>
    <row r="15" spans="1:10" s="90" customFormat="1" ht="18" customHeight="1">
      <c r="A15" s="86" t="s">
        <v>16</v>
      </c>
      <c r="B15" s="87" t="s">
        <v>17</v>
      </c>
      <c r="C15" s="88">
        <v>0</v>
      </c>
      <c r="D15" s="88">
        <v>505810</v>
      </c>
      <c r="E15" s="88">
        <v>0</v>
      </c>
      <c r="F15" s="89">
        <v>505810</v>
      </c>
      <c r="I15" s="91"/>
      <c r="J15" s="91"/>
    </row>
    <row r="16" spans="1:10" ht="18" customHeight="1">
      <c r="A16" s="92" t="s">
        <v>18</v>
      </c>
      <c r="B16" s="87" t="s">
        <v>19</v>
      </c>
      <c r="C16" s="88">
        <v>0</v>
      </c>
      <c r="D16" s="88">
        <v>0</v>
      </c>
      <c r="E16" s="88">
        <v>-386287</v>
      </c>
      <c r="F16" s="89">
        <f>-E16</f>
        <v>386287</v>
      </c>
      <c r="H16" s="90"/>
      <c r="I16" s="91"/>
      <c r="J16" s="91"/>
    </row>
    <row r="17" spans="1:10" ht="18" customHeight="1">
      <c r="A17" s="92" t="s">
        <v>20</v>
      </c>
      <c r="B17" s="87" t="s">
        <v>21</v>
      </c>
      <c r="C17" s="88">
        <v>-7983883</v>
      </c>
      <c r="D17" s="88">
        <v>15730753</v>
      </c>
      <c r="E17" s="88">
        <v>-131910</v>
      </c>
      <c r="F17" s="89">
        <v>7878780</v>
      </c>
      <c r="H17" s="90"/>
      <c r="I17" s="91"/>
      <c r="J17" s="91"/>
    </row>
    <row r="18" spans="1:10" s="90" customFormat="1" ht="18" customHeight="1">
      <c r="A18" s="92" t="s">
        <v>22</v>
      </c>
      <c r="B18" s="87" t="s">
        <v>23</v>
      </c>
      <c r="C18" s="88">
        <v>0</v>
      </c>
      <c r="D18" s="88">
        <v>0</v>
      </c>
      <c r="E18" s="88">
        <v>-443686</v>
      </c>
      <c r="F18" s="89">
        <f>-E18</f>
        <v>443686</v>
      </c>
      <c r="I18" s="91"/>
      <c r="J18" s="91"/>
    </row>
    <row r="19" spans="1:10" ht="18" customHeight="1">
      <c r="A19" s="92" t="s">
        <v>24</v>
      </c>
      <c r="B19" s="87" t="s">
        <v>25</v>
      </c>
      <c r="C19" s="88">
        <v>0</v>
      </c>
      <c r="D19" s="88">
        <v>101706</v>
      </c>
      <c r="E19" s="88">
        <v>0</v>
      </c>
      <c r="F19" s="89">
        <f>D19</f>
        <v>101706</v>
      </c>
      <c r="H19" s="90"/>
      <c r="I19" s="91"/>
      <c r="J19" s="91"/>
    </row>
    <row r="20" spans="1:10" s="90" customFormat="1" ht="18" customHeight="1">
      <c r="A20" s="92" t="s">
        <v>26</v>
      </c>
      <c r="B20" s="87" t="s">
        <v>27</v>
      </c>
      <c r="C20" s="88">
        <v>0</v>
      </c>
      <c r="D20" s="88">
        <v>0</v>
      </c>
      <c r="E20" s="88">
        <v>-848811</v>
      </c>
      <c r="F20" s="89">
        <f>-E20</f>
        <v>848811</v>
      </c>
      <c r="I20" s="91"/>
      <c r="J20" s="91"/>
    </row>
    <row r="21" spans="1:10" ht="18" customHeight="1">
      <c r="A21" s="92" t="s">
        <v>28</v>
      </c>
      <c r="B21" s="87" t="s">
        <v>29</v>
      </c>
      <c r="C21" s="88">
        <v>0</v>
      </c>
      <c r="D21" s="88">
        <v>0</v>
      </c>
      <c r="E21" s="88">
        <v>-87527</v>
      </c>
      <c r="F21" s="89">
        <f>-E21</f>
        <v>87527</v>
      </c>
      <c r="H21" s="90"/>
      <c r="I21" s="91"/>
      <c r="J21" s="91"/>
    </row>
    <row r="22" spans="1:10" ht="18" customHeight="1">
      <c r="A22" s="92" t="s">
        <v>28</v>
      </c>
      <c r="B22" s="87" t="s">
        <v>30</v>
      </c>
      <c r="C22" s="88">
        <v>-122</v>
      </c>
      <c r="D22" s="88">
        <v>122</v>
      </c>
      <c r="E22" s="88">
        <v>-122</v>
      </c>
      <c r="F22" s="89">
        <f>-E22</f>
        <v>122</v>
      </c>
      <c r="G22" s="90"/>
      <c r="H22" s="90"/>
      <c r="I22" s="91"/>
      <c r="J22" s="91"/>
    </row>
    <row r="23" spans="1:10" ht="18" customHeight="1">
      <c r="A23" s="92" t="s">
        <v>31</v>
      </c>
      <c r="B23" s="87" t="s">
        <v>32</v>
      </c>
      <c r="C23" s="88">
        <v>-932117</v>
      </c>
      <c r="D23" s="88">
        <v>1828377</v>
      </c>
      <c r="E23" s="88">
        <v>-6745015</v>
      </c>
      <c r="F23" s="89">
        <v>14189275</v>
      </c>
      <c r="H23" s="90"/>
      <c r="I23" s="91"/>
      <c r="J23" s="91"/>
    </row>
    <row r="24" spans="1:10" s="90" customFormat="1" ht="18" customHeight="1">
      <c r="A24" s="92" t="s">
        <v>33</v>
      </c>
      <c r="B24" s="87" t="s">
        <v>34</v>
      </c>
      <c r="C24" s="88">
        <v>-2054000</v>
      </c>
      <c r="D24" s="88">
        <v>2204883.63</v>
      </c>
      <c r="E24" s="88">
        <v>0</v>
      </c>
      <c r="F24" s="89">
        <v>150883.63</v>
      </c>
      <c r="I24" s="91"/>
      <c r="J24" s="91"/>
    </row>
    <row r="25" spans="1:10" s="93" customFormat="1" ht="18" customHeight="1">
      <c r="A25" s="92" t="s">
        <v>33</v>
      </c>
      <c r="B25" s="87" t="s">
        <v>35</v>
      </c>
      <c r="C25" s="88">
        <v>0</v>
      </c>
      <c r="D25" s="88">
        <v>0</v>
      </c>
      <c r="E25" s="88">
        <v>-372989</v>
      </c>
      <c r="F25" s="89">
        <v>372989</v>
      </c>
      <c r="H25" s="90"/>
      <c r="I25" s="91"/>
      <c r="J25" s="91"/>
    </row>
    <row r="26" spans="1:10" s="90" customFormat="1" ht="18" customHeight="1">
      <c r="A26" s="92" t="s">
        <v>36</v>
      </c>
      <c r="B26" s="87" t="s">
        <v>37</v>
      </c>
      <c r="C26" s="88">
        <v>0</v>
      </c>
      <c r="D26" s="88">
        <v>0</v>
      </c>
      <c r="E26" s="88">
        <v>-300000</v>
      </c>
      <c r="F26" s="89">
        <v>300000</v>
      </c>
      <c r="I26" s="91"/>
      <c r="J26" s="91"/>
    </row>
    <row r="27" spans="1:10" s="93" customFormat="1" ht="18" customHeight="1">
      <c r="A27" s="92" t="s">
        <v>38</v>
      </c>
      <c r="B27" s="87" t="s">
        <v>39</v>
      </c>
      <c r="C27" s="94">
        <v>0</v>
      </c>
      <c r="D27" s="88">
        <v>0</v>
      </c>
      <c r="E27" s="94">
        <v>-246799</v>
      </c>
      <c r="F27" s="89">
        <v>246799</v>
      </c>
      <c r="H27" s="90"/>
      <c r="I27" s="91"/>
      <c r="J27" s="91"/>
    </row>
    <row r="28" spans="1:10" s="90" customFormat="1" ht="18" customHeight="1">
      <c r="A28" s="92" t="s">
        <v>40</v>
      </c>
      <c r="B28" s="87" t="s">
        <v>41</v>
      </c>
      <c r="C28" s="88">
        <v>0</v>
      </c>
      <c r="D28" s="88">
        <v>24750</v>
      </c>
      <c r="E28" s="88">
        <v>0</v>
      </c>
      <c r="F28" s="89">
        <v>24750</v>
      </c>
      <c r="I28" s="91"/>
      <c r="J28" s="91"/>
    </row>
    <row r="29" spans="1:10" s="93" customFormat="1" ht="18" customHeight="1">
      <c r="A29" s="92" t="s">
        <v>40</v>
      </c>
      <c r="B29" s="87" t="s">
        <v>42</v>
      </c>
      <c r="C29" s="88">
        <v>-4091666</v>
      </c>
      <c r="D29" s="88">
        <v>938788</v>
      </c>
      <c r="E29" s="88">
        <v>-6818489</v>
      </c>
      <c r="F29" s="89">
        <v>3665611</v>
      </c>
      <c r="H29" s="90"/>
      <c r="I29" s="91"/>
      <c r="J29" s="91"/>
    </row>
    <row r="30" spans="1:10" s="93" customFormat="1" ht="18" customHeight="1">
      <c r="A30" s="92" t="s">
        <v>43</v>
      </c>
      <c r="B30" s="87" t="s">
        <v>44</v>
      </c>
      <c r="C30" s="88">
        <v>0</v>
      </c>
      <c r="D30" s="88">
        <v>0</v>
      </c>
      <c r="E30" s="88">
        <v>-534600</v>
      </c>
      <c r="F30" s="89">
        <f>-E30</f>
        <v>534600</v>
      </c>
      <c r="H30" s="90"/>
      <c r="I30" s="91"/>
      <c r="J30" s="91"/>
    </row>
    <row r="31" spans="1:10" s="93" customFormat="1" ht="18" customHeight="1">
      <c r="A31" s="92" t="s">
        <v>1442</v>
      </c>
      <c r="B31" s="87" t="s">
        <v>45</v>
      </c>
      <c r="C31" s="88">
        <v>0</v>
      </c>
      <c r="D31" s="88">
        <v>201665</v>
      </c>
      <c r="E31" s="88">
        <v>0</v>
      </c>
      <c r="F31" s="89">
        <f>D31</f>
        <v>201665</v>
      </c>
      <c r="H31" s="90"/>
      <c r="I31" s="91"/>
      <c r="J31" s="91"/>
    </row>
    <row r="32" spans="1:10" s="93" customFormat="1" ht="18" customHeight="1">
      <c r="A32" s="92" t="s">
        <v>1442</v>
      </c>
      <c r="B32" s="87" t="s">
        <v>46</v>
      </c>
      <c r="C32" s="88">
        <v>0</v>
      </c>
      <c r="D32" s="88">
        <v>0</v>
      </c>
      <c r="E32" s="88">
        <v>-55790</v>
      </c>
      <c r="F32" s="89">
        <f>-E32</f>
        <v>55790</v>
      </c>
      <c r="H32" s="90"/>
      <c r="I32" s="91"/>
      <c r="J32" s="91"/>
    </row>
    <row r="33" spans="1:10" s="93" customFormat="1" ht="18" customHeight="1">
      <c r="A33" s="92" t="s">
        <v>985</v>
      </c>
      <c r="B33" s="87" t="s">
        <v>986</v>
      </c>
      <c r="C33" s="88">
        <v>0</v>
      </c>
      <c r="D33" s="88">
        <v>0</v>
      </c>
      <c r="E33" s="88">
        <v>-38773</v>
      </c>
      <c r="F33" s="89">
        <v>38773</v>
      </c>
      <c r="H33" s="90"/>
      <c r="I33" s="91"/>
      <c r="J33" s="91"/>
    </row>
    <row r="34" spans="1:10" s="93" customFormat="1" ht="18" customHeight="1">
      <c r="A34" s="92" t="s">
        <v>987</v>
      </c>
      <c r="B34" s="87" t="s">
        <v>343</v>
      </c>
      <c r="C34" s="88">
        <v>0</v>
      </c>
      <c r="D34" s="88">
        <v>6000</v>
      </c>
      <c r="E34" s="88">
        <v>-170000</v>
      </c>
      <c r="F34" s="89">
        <v>176000</v>
      </c>
      <c r="H34" s="90"/>
      <c r="I34" s="91"/>
      <c r="J34" s="91"/>
    </row>
    <row r="35" spans="1:10" s="93" customFormat="1" ht="18" customHeight="1">
      <c r="A35" s="92" t="s">
        <v>988</v>
      </c>
      <c r="B35" s="87" t="s">
        <v>989</v>
      </c>
      <c r="C35" s="88">
        <v>0</v>
      </c>
      <c r="D35" s="88">
        <v>95827</v>
      </c>
      <c r="E35" s="88">
        <v>0</v>
      </c>
      <c r="F35" s="89">
        <v>95827</v>
      </c>
      <c r="H35" s="90"/>
      <c r="I35" s="91"/>
      <c r="J35" s="91"/>
    </row>
    <row r="36" spans="1:10" s="93" customFormat="1" ht="18" customHeight="1">
      <c r="A36" s="92" t="s">
        <v>990</v>
      </c>
      <c r="B36" s="87" t="s">
        <v>991</v>
      </c>
      <c r="C36" s="88">
        <v>0</v>
      </c>
      <c r="D36" s="88">
        <v>0</v>
      </c>
      <c r="E36" s="88">
        <v>-4128065</v>
      </c>
      <c r="F36" s="89">
        <v>4128065</v>
      </c>
      <c r="H36" s="90"/>
      <c r="I36" s="91"/>
      <c r="J36" s="91"/>
    </row>
    <row r="37" spans="1:10" s="93" customFormat="1" ht="18" customHeight="1">
      <c r="A37" s="92" t="s">
        <v>992</v>
      </c>
      <c r="B37" s="87" t="s">
        <v>993</v>
      </c>
      <c r="C37" s="88">
        <v>0</v>
      </c>
      <c r="D37" s="88">
        <v>4900</v>
      </c>
      <c r="E37" s="88">
        <v>0</v>
      </c>
      <c r="F37" s="89">
        <v>4900</v>
      </c>
      <c r="H37" s="90"/>
      <c r="I37" s="91"/>
      <c r="J37" s="91"/>
    </row>
    <row r="38" spans="1:10" s="93" customFormat="1" ht="18" customHeight="1">
      <c r="A38" s="92" t="s">
        <v>992</v>
      </c>
      <c r="B38" s="87" t="s">
        <v>994</v>
      </c>
      <c r="C38" s="88">
        <v>0</v>
      </c>
      <c r="D38" s="88">
        <v>0</v>
      </c>
      <c r="E38" s="88">
        <v>-1008689</v>
      </c>
      <c r="F38" s="89">
        <v>1008689</v>
      </c>
      <c r="H38" s="90"/>
      <c r="I38" s="91"/>
      <c r="J38" s="91"/>
    </row>
    <row r="39" spans="1:10" s="93" customFormat="1" ht="18" customHeight="1">
      <c r="A39" s="92" t="s">
        <v>995</v>
      </c>
      <c r="B39" s="87" t="s">
        <v>996</v>
      </c>
      <c r="C39" s="88">
        <v>0</v>
      </c>
      <c r="D39" s="88">
        <v>0</v>
      </c>
      <c r="E39" s="88">
        <v>-152756</v>
      </c>
      <c r="F39" s="89">
        <v>152756</v>
      </c>
      <c r="H39" s="90"/>
      <c r="I39" s="91"/>
      <c r="J39" s="91"/>
    </row>
    <row r="40" spans="1:10" s="93" customFormat="1" ht="18" customHeight="1">
      <c r="A40" s="92" t="s">
        <v>997</v>
      </c>
      <c r="B40" s="87" t="s">
        <v>568</v>
      </c>
      <c r="C40" s="88">
        <v>-554534</v>
      </c>
      <c r="D40" s="88">
        <v>2505563</v>
      </c>
      <c r="E40" s="88">
        <v>-726304</v>
      </c>
      <c r="F40" s="89">
        <v>2785773</v>
      </c>
      <c r="H40" s="90"/>
      <c r="I40" s="91"/>
      <c r="J40" s="91"/>
    </row>
    <row r="41" spans="1:10" s="93" customFormat="1" ht="18" customHeight="1">
      <c r="A41" s="92" t="s">
        <v>997</v>
      </c>
      <c r="B41" s="87" t="s">
        <v>998</v>
      </c>
      <c r="C41" s="88">
        <v>0</v>
      </c>
      <c r="D41" s="88">
        <v>128541</v>
      </c>
      <c r="E41" s="88">
        <v>0</v>
      </c>
      <c r="F41" s="89">
        <v>128541</v>
      </c>
      <c r="H41" s="90"/>
      <c r="I41" s="91"/>
      <c r="J41" s="91"/>
    </row>
    <row r="42" spans="1:10" s="93" customFormat="1" ht="18" customHeight="1">
      <c r="A42" s="92" t="s">
        <v>997</v>
      </c>
      <c r="B42" s="87" t="s">
        <v>999</v>
      </c>
      <c r="C42" s="88">
        <v>0</v>
      </c>
      <c r="D42" s="88">
        <v>0</v>
      </c>
      <c r="E42" s="88">
        <v>-2003708</v>
      </c>
      <c r="F42" s="89">
        <v>2003708</v>
      </c>
      <c r="H42" s="90"/>
      <c r="I42" s="91"/>
      <c r="J42" s="91"/>
    </row>
    <row r="43" spans="1:10" s="93" customFormat="1" ht="18" customHeight="1">
      <c r="A43" s="92" t="s">
        <v>550</v>
      </c>
      <c r="B43" s="87" t="s">
        <v>551</v>
      </c>
      <c r="C43" s="88">
        <v>-11455746</v>
      </c>
      <c r="D43" s="88">
        <v>9566199</v>
      </c>
      <c r="E43" s="88">
        <v>-1996902</v>
      </c>
      <c r="F43" s="89">
        <v>107355</v>
      </c>
      <c r="H43" s="90"/>
      <c r="I43" s="91"/>
      <c r="J43" s="91"/>
    </row>
    <row r="44" spans="1:10" s="93" customFormat="1" ht="18" customHeight="1">
      <c r="A44" s="92" t="s">
        <v>552</v>
      </c>
      <c r="B44" s="87" t="s">
        <v>553</v>
      </c>
      <c r="C44" s="88">
        <v>-1252</v>
      </c>
      <c r="D44" s="88">
        <v>352676</v>
      </c>
      <c r="E44" s="88">
        <v>-1252</v>
      </c>
      <c r="F44" s="89">
        <v>352676</v>
      </c>
      <c r="H44" s="90"/>
      <c r="I44" s="91"/>
      <c r="J44" s="91"/>
    </row>
    <row r="45" spans="1:10" s="93" customFormat="1" ht="18" customHeight="1">
      <c r="A45" s="92" t="s">
        <v>552</v>
      </c>
      <c r="B45" s="87" t="s">
        <v>554</v>
      </c>
      <c r="C45" s="88">
        <v>0</v>
      </c>
      <c r="D45" s="88">
        <v>0</v>
      </c>
      <c r="E45" s="88">
        <v>-1061769</v>
      </c>
      <c r="F45" s="89">
        <v>1061769</v>
      </c>
      <c r="H45" s="90"/>
      <c r="I45" s="91"/>
      <c r="J45" s="91"/>
    </row>
    <row r="46" spans="1:10" s="93" customFormat="1" ht="18" customHeight="1">
      <c r="A46" s="92" t="s">
        <v>555</v>
      </c>
      <c r="B46" s="87" t="s">
        <v>556</v>
      </c>
      <c r="C46" s="88">
        <v>-7993</v>
      </c>
      <c r="D46" s="88">
        <v>79891.29</v>
      </c>
      <c r="E46" s="88">
        <v>-7993</v>
      </c>
      <c r="F46" s="89">
        <v>79891.29</v>
      </c>
      <c r="H46" s="90"/>
      <c r="I46" s="91"/>
      <c r="J46" s="91"/>
    </row>
    <row r="47" spans="1:10" s="93" customFormat="1" ht="18" customHeight="1">
      <c r="A47" s="92" t="s">
        <v>557</v>
      </c>
      <c r="B47" s="87" t="s">
        <v>558</v>
      </c>
      <c r="C47" s="88">
        <v>0</v>
      </c>
      <c r="D47" s="88">
        <v>0</v>
      </c>
      <c r="E47" s="88">
        <v>-1750975</v>
      </c>
      <c r="F47" s="89">
        <v>1750975</v>
      </c>
      <c r="H47" s="90"/>
      <c r="I47" s="91"/>
      <c r="J47" s="91"/>
    </row>
    <row r="48" spans="1:10" s="93" customFormat="1" ht="18" customHeight="1">
      <c r="A48" s="92" t="s">
        <v>560</v>
      </c>
      <c r="B48" s="87" t="s">
        <v>561</v>
      </c>
      <c r="C48" s="88">
        <v>-126952</v>
      </c>
      <c r="D48" s="88">
        <v>169967</v>
      </c>
      <c r="E48" s="106">
        <v>-126952</v>
      </c>
      <c r="F48" s="89">
        <v>169967</v>
      </c>
      <c r="H48" s="90"/>
      <c r="I48" s="91"/>
      <c r="J48" s="91"/>
    </row>
    <row r="49" spans="1:10" s="93" customFormat="1" ht="18" customHeight="1">
      <c r="A49" s="92" t="s">
        <v>562</v>
      </c>
      <c r="B49" s="87" t="s">
        <v>563</v>
      </c>
      <c r="C49" s="88">
        <v>0</v>
      </c>
      <c r="D49" s="88">
        <v>0</v>
      </c>
      <c r="E49" s="88">
        <v>-364820</v>
      </c>
      <c r="F49" s="89">
        <v>364820</v>
      </c>
      <c r="H49" s="90"/>
      <c r="I49" s="91"/>
      <c r="J49" s="91"/>
    </row>
    <row r="50" spans="1:10" s="93" customFormat="1" ht="18" customHeight="1">
      <c r="A50" s="92" t="s">
        <v>564</v>
      </c>
      <c r="B50" s="87" t="s">
        <v>565</v>
      </c>
      <c r="C50" s="88">
        <v>0</v>
      </c>
      <c r="D50" s="88">
        <v>0</v>
      </c>
      <c r="E50" s="88">
        <v>-794756</v>
      </c>
      <c r="F50" s="89">
        <v>794756</v>
      </c>
      <c r="H50" s="90"/>
      <c r="I50" s="91"/>
      <c r="J50" s="91"/>
    </row>
    <row r="51" spans="1:10" s="93" customFormat="1" ht="18" customHeight="1">
      <c r="A51" s="92" t="s">
        <v>566</v>
      </c>
      <c r="B51" s="87" t="s">
        <v>567</v>
      </c>
      <c r="C51" s="88">
        <v>0</v>
      </c>
      <c r="D51" s="88">
        <v>0</v>
      </c>
      <c r="E51" s="88">
        <v>-41210</v>
      </c>
      <c r="F51" s="89">
        <v>41210</v>
      </c>
      <c r="H51" s="90"/>
      <c r="I51" s="91"/>
      <c r="J51" s="91"/>
    </row>
    <row r="52" spans="1:6" s="80" customFormat="1" ht="18" customHeight="1">
      <c r="A52" s="1396" t="s">
        <v>334</v>
      </c>
      <c r="B52" s="1397"/>
      <c r="C52" s="95">
        <f>SUM(C9:C51)</f>
        <v>-27208265</v>
      </c>
      <c r="D52" s="95">
        <f>SUM(D9:D51)</f>
        <v>35963199.919999994</v>
      </c>
      <c r="E52" s="95">
        <f>SUM(E9:E51)</f>
        <v>-38558407</v>
      </c>
      <c r="F52" s="105">
        <f>SUM(F9:F51)</f>
        <v>53969781.919999994</v>
      </c>
    </row>
    <row r="53" spans="1:6" s="80" customFormat="1" ht="18" customHeight="1">
      <c r="A53" s="1396" t="s">
        <v>704</v>
      </c>
      <c r="B53" s="1397"/>
      <c r="C53" s="1394">
        <f>SUM(C52:D52)</f>
        <v>8754934.919999994</v>
      </c>
      <c r="D53" s="1395"/>
      <c r="E53" s="1394">
        <f>SUM(E52:F52)</f>
        <v>15411374.919999994</v>
      </c>
      <c r="F53" s="1401"/>
    </row>
    <row r="54" spans="1:6" s="80" customFormat="1" ht="18" customHeight="1" thickBot="1">
      <c r="A54" s="1398" t="s">
        <v>705</v>
      </c>
      <c r="B54" s="1399"/>
      <c r="C54" s="1391">
        <f>SUM(C8,C53)</f>
        <v>209541943.92</v>
      </c>
      <c r="D54" s="1392"/>
      <c r="E54" s="1391">
        <f>SUM(E8,E53)</f>
        <v>207398383.92</v>
      </c>
      <c r="F54" s="1393"/>
    </row>
    <row r="55" ht="12.75" customHeight="1"/>
    <row r="56" spans="2:6" ht="12.75">
      <c r="B56" s="75" t="s">
        <v>47</v>
      </c>
      <c r="C56" s="1389">
        <v>209541943.92</v>
      </c>
      <c r="D56" s="1389"/>
      <c r="E56" s="1389">
        <v>207398383.92</v>
      </c>
      <c r="F56" s="1389"/>
    </row>
    <row r="57" spans="2:6" ht="12.75">
      <c r="B57" s="75" t="s">
        <v>876</v>
      </c>
      <c r="C57" s="1389">
        <f>C54-C56</f>
        <v>0</v>
      </c>
      <c r="D57" s="1390"/>
      <c r="E57" s="1389">
        <f>E54-E56</f>
        <v>0</v>
      </c>
      <c r="F57" s="1390"/>
    </row>
  </sheetData>
  <sheetProtection password="CF93" sheet="1" formatRows="0" insertColumns="0" insertRows="0" insertHyperlinks="0" deleteColumns="0" deleteRows="0" sort="0" autoFilter="0" pivotTables="0"/>
  <mergeCells count="21">
    <mergeCell ref="G4:G5"/>
    <mergeCell ref="H4:H5"/>
    <mergeCell ref="E5:F5"/>
    <mergeCell ref="C53:D53"/>
    <mergeCell ref="E53:F53"/>
    <mergeCell ref="A3:F3"/>
    <mergeCell ref="E8:F8"/>
    <mergeCell ref="A5:A6"/>
    <mergeCell ref="B5:B6"/>
    <mergeCell ref="C5:D5"/>
    <mergeCell ref="C54:D54"/>
    <mergeCell ref="E54:F54"/>
    <mergeCell ref="C8:D8"/>
    <mergeCell ref="A8:B8"/>
    <mergeCell ref="A54:B54"/>
    <mergeCell ref="A52:B52"/>
    <mergeCell ref="A53:B53"/>
    <mergeCell ref="C56:D56"/>
    <mergeCell ref="E56:F56"/>
    <mergeCell ref="C57:D57"/>
    <mergeCell ref="E57:F5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J109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L27" sqref="L27"/>
    </sheetView>
  </sheetViews>
  <sheetFormatPr defaultColWidth="9.00390625" defaultRowHeight="12.75"/>
  <cols>
    <col min="1" max="1" width="3.375" style="7" customWidth="1"/>
    <col min="2" max="2" width="7.375" style="7" customWidth="1"/>
    <col min="3" max="3" width="42.625" style="6" customWidth="1"/>
    <col min="4" max="4" width="12.25390625" style="6" customWidth="1"/>
    <col min="5" max="5" width="12.625" style="6" customWidth="1"/>
    <col min="6" max="6" width="6.125" style="6" customWidth="1"/>
    <col min="7" max="7" width="6.375" style="9" hidden="1" customWidth="1"/>
    <col min="8" max="8" width="11.75390625" style="17" customWidth="1"/>
    <col min="9" max="9" width="10.00390625" style="15" customWidth="1"/>
    <col min="10" max="10" width="9.125" style="15" customWidth="1"/>
    <col min="11" max="16384" width="9.125" style="6" customWidth="1"/>
  </cols>
  <sheetData>
    <row r="1" spans="1:10" s="36" customFormat="1" ht="13.5">
      <c r="A1" s="43"/>
      <c r="B1" s="43"/>
      <c r="E1" s="1436" t="s">
        <v>853</v>
      </c>
      <c r="F1" s="1436"/>
      <c r="G1" s="639"/>
      <c r="H1" s="1050"/>
      <c r="I1" s="35"/>
      <c r="J1" s="35"/>
    </row>
    <row r="2" spans="1:10" s="36" customFormat="1" ht="13.5">
      <c r="A2" s="43"/>
      <c r="B2" s="43"/>
      <c r="E2" s="47"/>
      <c r="F2" s="47"/>
      <c r="G2" s="639"/>
      <c r="H2" s="1050"/>
      <c r="I2" s="35"/>
      <c r="J2" s="35"/>
    </row>
    <row r="3" spans="1:10" s="36" customFormat="1" ht="13.5">
      <c r="A3" s="1357" t="s">
        <v>1245</v>
      </c>
      <c r="B3" s="1357"/>
      <c r="C3" s="1357"/>
      <c r="D3" s="1357"/>
      <c r="E3" s="1357"/>
      <c r="F3" s="1357"/>
      <c r="G3" s="639"/>
      <c r="H3" s="1050"/>
      <c r="I3" s="35"/>
      <c r="J3" s="35"/>
    </row>
    <row r="4" spans="1:10" s="36" customFormat="1" ht="5.25" customHeight="1">
      <c r="A4" s="46"/>
      <c r="B4" s="46"/>
      <c r="C4" s="46"/>
      <c r="D4" s="46"/>
      <c r="E4" s="46"/>
      <c r="F4" s="46"/>
      <c r="G4" s="639"/>
      <c r="H4" s="1050"/>
      <c r="I4" s="35"/>
      <c r="J4" s="35"/>
    </row>
    <row r="5" spans="1:10" s="36" customFormat="1" ht="28.5" customHeight="1" thickBot="1">
      <c r="A5" s="1443" t="s">
        <v>461</v>
      </c>
      <c r="B5" s="1444"/>
      <c r="C5" s="1444"/>
      <c r="D5" s="1444"/>
      <c r="E5" s="1444"/>
      <c r="F5" s="1071" t="s">
        <v>1426</v>
      </c>
      <c r="G5" s="639"/>
      <c r="H5" s="1050"/>
      <c r="I5" s="35"/>
      <c r="J5" s="35"/>
    </row>
    <row r="6" spans="1:10" s="631" customFormat="1" ht="17.25" customHeight="1">
      <c r="A6" s="677" t="s">
        <v>338</v>
      </c>
      <c r="B6" s="678" t="s">
        <v>1427</v>
      </c>
      <c r="C6" s="679" t="s">
        <v>255</v>
      </c>
      <c r="D6" s="50" t="s">
        <v>1429</v>
      </c>
      <c r="E6" s="926" t="s">
        <v>1430</v>
      </c>
      <c r="F6" s="51" t="s">
        <v>726</v>
      </c>
      <c r="G6" s="592"/>
      <c r="H6" s="1051"/>
      <c r="I6" s="1052"/>
      <c r="J6" s="1052"/>
    </row>
    <row r="7" spans="1:10" s="1075" customFormat="1" ht="11.25" customHeight="1">
      <c r="A7" s="1053">
        <v>1</v>
      </c>
      <c r="B7" s="1054">
        <v>2</v>
      </c>
      <c r="C7" s="1054">
        <v>3</v>
      </c>
      <c r="D7" s="1054">
        <v>4</v>
      </c>
      <c r="E7" s="1055">
        <v>5</v>
      </c>
      <c r="F7" s="1056">
        <v>6</v>
      </c>
      <c r="G7" s="1072"/>
      <c r="H7" s="1073"/>
      <c r="I7" s="1074"/>
      <c r="J7" s="1074"/>
    </row>
    <row r="8" spans="1:10" s="36" customFormat="1" ht="18" customHeight="1">
      <c r="A8" s="1429" t="s">
        <v>1202</v>
      </c>
      <c r="B8" s="1430"/>
      <c r="C8" s="1431"/>
      <c r="D8" s="603">
        <f>SUM(D9,D10)</f>
        <v>1250000</v>
      </c>
      <c r="E8" s="603">
        <f>SUM(E9,E10)</f>
        <v>1250000</v>
      </c>
      <c r="F8" s="1060">
        <f>E8/D8*100</f>
        <v>100</v>
      </c>
      <c r="G8" s="639"/>
      <c r="H8" s="1050"/>
      <c r="I8" s="35"/>
      <c r="J8" s="35"/>
    </row>
    <row r="9" spans="1:10" s="36" customFormat="1" ht="40.5" customHeight="1">
      <c r="A9" s="30" t="s">
        <v>341</v>
      </c>
      <c r="B9" s="32">
        <v>70001</v>
      </c>
      <c r="C9" s="1076" t="s">
        <v>1139</v>
      </c>
      <c r="D9" s="610">
        <f>SUM(9W!D69)</f>
        <v>400000</v>
      </c>
      <c r="E9" s="610">
        <f>SUM(9W!E69)</f>
        <v>400000</v>
      </c>
      <c r="F9" s="1061">
        <f>E9/D9*100</f>
        <v>100</v>
      </c>
      <c r="G9" s="639" t="s">
        <v>498</v>
      </c>
      <c r="H9" s="1050"/>
      <c r="I9" s="35"/>
      <c r="J9" s="35"/>
    </row>
    <row r="10" spans="1:10" s="36" customFormat="1" ht="93.75" customHeight="1" thickBot="1">
      <c r="A10" s="620" t="s">
        <v>342</v>
      </c>
      <c r="B10" s="649">
        <v>92605</v>
      </c>
      <c r="C10" s="1077" t="s">
        <v>1140</v>
      </c>
      <c r="D10" s="625">
        <v>850000</v>
      </c>
      <c r="E10" s="625">
        <v>850000</v>
      </c>
      <c r="F10" s="1070">
        <f>E10/D10*100</f>
        <v>100</v>
      </c>
      <c r="G10" s="639" t="s">
        <v>498</v>
      </c>
      <c r="H10" s="1050"/>
      <c r="I10" s="35"/>
      <c r="J10" s="35"/>
    </row>
    <row r="11" spans="1:10" s="36" customFormat="1" ht="17.25" customHeight="1" thickBot="1" thickTop="1">
      <c r="A11" s="1432" t="s">
        <v>1205</v>
      </c>
      <c r="B11" s="1433"/>
      <c r="C11" s="1434"/>
      <c r="D11" s="651">
        <f>SUM(D8)</f>
        <v>1250000</v>
      </c>
      <c r="E11" s="651">
        <f>SUM(E8)</f>
        <v>1250000</v>
      </c>
      <c r="F11" s="1078">
        <f>E11/D11*100</f>
        <v>100</v>
      </c>
      <c r="G11" s="639"/>
      <c r="H11" s="1050"/>
      <c r="I11" s="35"/>
      <c r="J11" s="35"/>
    </row>
    <row r="12" spans="1:10" s="36" customFormat="1" ht="17.25" customHeight="1">
      <c r="A12" s="43"/>
      <c r="B12" s="43"/>
      <c r="F12" s="590"/>
      <c r="G12" s="639"/>
      <c r="H12" s="1050"/>
      <c r="I12" s="35"/>
      <c r="J12" s="35"/>
    </row>
    <row r="13" spans="1:10" s="639" customFormat="1" ht="43.5" customHeight="1" thickBot="1">
      <c r="A13" s="1435" t="s">
        <v>306</v>
      </c>
      <c r="B13" s="1435"/>
      <c r="C13" s="1435"/>
      <c r="D13" s="1435"/>
      <c r="E13" s="1435"/>
      <c r="F13" s="1435"/>
      <c r="H13" s="1050"/>
      <c r="I13" s="632"/>
      <c r="J13" s="632"/>
    </row>
    <row r="14" spans="1:10" s="631" customFormat="1" ht="19.5" customHeight="1">
      <c r="A14" s="48" t="s">
        <v>338</v>
      </c>
      <c r="B14" s="49" t="s">
        <v>1427</v>
      </c>
      <c r="C14" s="679" t="s">
        <v>255</v>
      </c>
      <c r="D14" s="50" t="s">
        <v>1429</v>
      </c>
      <c r="E14" s="926" t="s">
        <v>1430</v>
      </c>
      <c r="F14" s="51" t="s">
        <v>726</v>
      </c>
      <c r="G14" s="592"/>
      <c r="H14" s="1051"/>
      <c r="I14" s="1052"/>
      <c r="J14" s="1052"/>
    </row>
    <row r="15" spans="1:10" s="1059" customFormat="1" ht="10.5" customHeight="1">
      <c r="A15" s="1053">
        <v>1</v>
      </c>
      <c r="B15" s="1054">
        <v>2</v>
      </c>
      <c r="C15" s="1054">
        <v>3</v>
      </c>
      <c r="D15" s="1054">
        <v>4</v>
      </c>
      <c r="E15" s="1055">
        <v>5</v>
      </c>
      <c r="F15" s="1056">
        <v>6</v>
      </c>
      <c r="G15" s="55"/>
      <c r="H15" s="1057"/>
      <c r="I15" s="1058"/>
      <c r="J15" s="1058"/>
    </row>
    <row r="16" spans="1:10" s="36" customFormat="1" ht="18.75" customHeight="1">
      <c r="A16" s="1429" t="s">
        <v>1202</v>
      </c>
      <c r="B16" s="1430"/>
      <c r="C16" s="1431"/>
      <c r="D16" s="603">
        <f>SUM(D17,D18,D19,D20,D21,D22,D23,D24,D25,D26,D27,D28,D29,D30)</f>
        <v>10452781</v>
      </c>
      <c r="E16" s="603">
        <f>SUM(E17,E18,E19,E20,E21,E22,E23,E24,E25,E26,E27,E28,E29,E30)</f>
        <v>10388722.41</v>
      </c>
      <c r="F16" s="1060">
        <f>E16/D16*100</f>
        <v>99.38716222984102</v>
      </c>
      <c r="G16" s="639"/>
      <c r="H16" s="1050"/>
      <c r="I16" s="35"/>
      <c r="J16" s="35"/>
    </row>
    <row r="17" spans="1:10" s="36" customFormat="1" ht="30" customHeight="1">
      <c r="A17" s="30" t="s">
        <v>341</v>
      </c>
      <c r="B17" s="32">
        <v>80101</v>
      </c>
      <c r="C17" s="31" t="s">
        <v>207</v>
      </c>
      <c r="D17" s="611">
        <f>SUM(9W!D205)</f>
        <v>267272</v>
      </c>
      <c r="E17" s="611">
        <f>SUM(9W!E205)</f>
        <v>267271.29</v>
      </c>
      <c r="F17" s="1061">
        <f aca="true" t="shared" si="0" ref="F17:F46">E17/D17*100</f>
        <v>99.99973435301864</v>
      </c>
      <c r="G17" s="1050" t="s">
        <v>499</v>
      </c>
      <c r="H17" s="35"/>
      <c r="I17" s="35"/>
      <c r="J17" s="35"/>
    </row>
    <row r="18" spans="1:10" s="36" customFormat="1" ht="27.75" customHeight="1">
      <c r="A18" s="30" t="s">
        <v>342</v>
      </c>
      <c r="B18" s="32">
        <v>80103</v>
      </c>
      <c r="C18" s="31" t="s">
        <v>207</v>
      </c>
      <c r="D18" s="611">
        <f>SUM(9W!D213)</f>
        <v>36932</v>
      </c>
      <c r="E18" s="611">
        <f>SUM(9W!E213)</f>
        <v>36931.55</v>
      </c>
      <c r="F18" s="1061">
        <f t="shared" si="0"/>
        <v>99.99878154446009</v>
      </c>
      <c r="G18" s="1050" t="s">
        <v>499</v>
      </c>
      <c r="H18" s="1062"/>
      <c r="I18" s="1063"/>
      <c r="J18" s="35"/>
    </row>
    <row r="19" spans="1:10" s="36" customFormat="1" ht="24" customHeight="1">
      <c r="A19" s="30" t="s">
        <v>433</v>
      </c>
      <c r="B19" s="32">
        <v>80104</v>
      </c>
      <c r="C19" s="1064" t="s">
        <v>1361</v>
      </c>
      <c r="D19" s="611">
        <v>5882646</v>
      </c>
      <c r="E19" s="611">
        <v>5882646</v>
      </c>
      <c r="F19" s="1061">
        <f t="shared" si="0"/>
        <v>100</v>
      </c>
      <c r="G19" s="1065" t="s">
        <v>307</v>
      </c>
      <c r="H19" s="1050"/>
      <c r="I19" s="35"/>
      <c r="J19" s="35"/>
    </row>
    <row r="20" spans="1:10" s="36" customFormat="1" ht="24" customHeight="1">
      <c r="A20" s="30" t="s">
        <v>440</v>
      </c>
      <c r="B20" s="32">
        <v>80104</v>
      </c>
      <c r="C20" s="1064" t="s">
        <v>170</v>
      </c>
      <c r="D20" s="611">
        <v>81720</v>
      </c>
      <c r="E20" s="611">
        <v>80816.64</v>
      </c>
      <c r="F20" s="1061">
        <f t="shared" si="0"/>
        <v>98.89456681350954</v>
      </c>
      <c r="G20" s="1065" t="s">
        <v>499</v>
      </c>
      <c r="H20" s="1050"/>
      <c r="I20" s="35"/>
      <c r="J20" s="35"/>
    </row>
    <row r="21" spans="1:10" s="36" customFormat="1" ht="24" customHeight="1">
      <c r="A21" s="30" t="s">
        <v>441</v>
      </c>
      <c r="B21" s="32">
        <v>80105</v>
      </c>
      <c r="C21" s="1064" t="s">
        <v>1228</v>
      </c>
      <c r="D21" s="611">
        <f>SUM(9W!D224)</f>
        <v>210280</v>
      </c>
      <c r="E21" s="611">
        <f>SUM(9W!E224)</f>
        <v>194410</v>
      </c>
      <c r="F21" s="1061">
        <f t="shared" si="0"/>
        <v>92.45291991630208</v>
      </c>
      <c r="G21" s="1065" t="s">
        <v>499</v>
      </c>
      <c r="H21" s="1050"/>
      <c r="I21" s="35"/>
      <c r="J21" s="35"/>
    </row>
    <row r="22" spans="1:10" s="36" customFormat="1" ht="30" customHeight="1">
      <c r="A22" s="30" t="s">
        <v>442</v>
      </c>
      <c r="B22" s="32">
        <v>80110</v>
      </c>
      <c r="C22" s="31" t="s">
        <v>1214</v>
      </c>
      <c r="D22" s="611">
        <v>185000</v>
      </c>
      <c r="E22" s="665">
        <v>180052.8</v>
      </c>
      <c r="F22" s="1061">
        <f t="shared" si="0"/>
        <v>97.32583783783784</v>
      </c>
      <c r="G22" s="639" t="s">
        <v>499</v>
      </c>
      <c r="H22" s="1050"/>
      <c r="I22" s="35"/>
      <c r="J22" s="35"/>
    </row>
    <row r="23" spans="1:10" s="36" customFormat="1" ht="24.75" customHeight="1">
      <c r="A23" s="30" t="s">
        <v>529</v>
      </c>
      <c r="B23" s="32">
        <v>80110</v>
      </c>
      <c r="C23" s="1064" t="s">
        <v>1215</v>
      </c>
      <c r="D23" s="611">
        <v>79000</v>
      </c>
      <c r="E23" s="665">
        <v>74271.78</v>
      </c>
      <c r="F23" s="1061">
        <f t="shared" si="0"/>
        <v>94.01491139240507</v>
      </c>
      <c r="G23" s="639" t="s">
        <v>499</v>
      </c>
      <c r="H23" s="1050"/>
      <c r="I23" s="35"/>
      <c r="J23" s="35"/>
    </row>
    <row r="24" spans="1:10" s="36" customFormat="1" ht="24.75" customHeight="1">
      <c r="A24" s="30" t="s">
        <v>530</v>
      </c>
      <c r="B24" s="32">
        <v>80110</v>
      </c>
      <c r="C24" s="1064" t="s">
        <v>815</v>
      </c>
      <c r="D24" s="611">
        <v>24320</v>
      </c>
      <c r="E24" s="665">
        <v>21381.27</v>
      </c>
      <c r="F24" s="1061">
        <f t="shared" si="0"/>
        <v>87.91640625</v>
      </c>
      <c r="G24" s="639" t="s">
        <v>499</v>
      </c>
      <c r="H24" s="1050"/>
      <c r="I24" s="35"/>
      <c r="J24" s="35"/>
    </row>
    <row r="25" spans="1:10" s="36" customFormat="1" ht="24.75" customHeight="1">
      <c r="A25" s="30" t="s">
        <v>443</v>
      </c>
      <c r="B25" s="32">
        <v>80110</v>
      </c>
      <c r="C25" s="1064" t="s">
        <v>1216</v>
      </c>
      <c r="D25" s="610">
        <v>273216</v>
      </c>
      <c r="E25" s="612">
        <v>238846.08</v>
      </c>
      <c r="F25" s="1061">
        <f t="shared" si="0"/>
        <v>87.42023893183415</v>
      </c>
      <c r="G25" s="639" t="s">
        <v>464</v>
      </c>
      <c r="H25" s="1050"/>
      <c r="I25" s="35"/>
      <c r="J25" s="35"/>
    </row>
    <row r="26" spans="1:10" s="36" customFormat="1" ht="24.75" customHeight="1" hidden="1">
      <c r="A26" s="30" t="s">
        <v>445</v>
      </c>
      <c r="B26" s="647">
        <v>85153</v>
      </c>
      <c r="C26" s="716" t="s">
        <v>172</v>
      </c>
      <c r="D26" s="704"/>
      <c r="E26" s="1079"/>
      <c r="F26" s="1061" t="e">
        <f t="shared" si="0"/>
        <v>#DIV/0!</v>
      </c>
      <c r="G26" s="639" t="s">
        <v>501</v>
      </c>
      <c r="H26" s="1050"/>
      <c r="I26" s="35"/>
      <c r="J26" s="35"/>
    </row>
    <row r="27" spans="1:10" s="36" customFormat="1" ht="24.75" customHeight="1">
      <c r="A27" s="30" t="s">
        <v>445</v>
      </c>
      <c r="B27" s="647">
        <v>85154</v>
      </c>
      <c r="C27" s="716" t="s">
        <v>172</v>
      </c>
      <c r="D27" s="704">
        <v>6200</v>
      </c>
      <c r="E27" s="704">
        <v>5900</v>
      </c>
      <c r="F27" s="1061">
        <f>E27/D27*100</f>
        <v>95.16129032258065</v>
      </c>
      <c r="G27" s="639" t="s">
        <v>501</v>
      </c>
      <c r="H27" s="1050"/>
      <c r="I27" s="35"/>
      <c r="J27" s="35"/>
    </row>
    <row r="28" spans="1:10" s="36" customFormat="1" ht="24" customHeight="1">
      <c r="A28" s="30" t="s">
        <v>531</v>
      </c>
      <c r="B28" s="32">
        <v>92109</v>
      </c>
      <c r="C28" s="1064" t="s">
        <v>256</v>
      </c>
      <c r="D28" s="610">
        <v>1845695</v>
      </c>
      <c r="E28" s="610">
        <v>1845695</v>
      </c>
      <c r="F28" s="1061">
        <f t="shared" si="0"/>
        <v>100</v>
      </c>
      <c r="G28" s="639" t="s">
        <v>500</v>
      </c>
      <c r="H28" s="1050"/>
      <c r="I28" s="35"/>
      <c r="J28" s="35"/>
    </row>
    <row r="29" spans="1:10" s="36" customFormat="1" ht="24.75" customHeight="1">
      <c r="A29" s="30" t="s">
        <v>446</v>
      </c>
      <c r="B29" s="32">
        <v>92116</v>
      </c>
      <c r="C29" s="1064" t="s">
        <v>1362</v>
      </c>
      <c r="D29" s="610">
        <f>SUM(9W!D423)</f>
        <v>1170500</v>
      </c>
      <c r="E29" s="610">
        <v>1170500</v>
      </c>
      <c r="F29" s="1061">
        <f t="shared" si="0"/>
        <v>100</v>
      </c>
      <c r="G29" s="639" t="s">
        <v>500</v>
      </c>
      <c r="H29" s="1050"/>
      <c r="I29" s="35"/>
      <c r="J29" s="35"/>
    </row>
    <row r="30" spans="1:10" s="36" customFormat="1" ht="24.75" customHeight="1">
      <c r="A30" s="30" t="s">
        <v>447</v>
      </c>
      <c r="B30" s="32">
        <v>92118</v>
      </c>
      <c r="C30" s="1064" t="s">
        <v>1363</v>
      </c>
      <c r="D30" s="610">
        <f>SUM(9W!D426)</f>
        <v>390000</v>
      </c>
      <c r="E30" s="610">
        <v>390000</v>
      </c>
      <c r="F30" s="1061">
        <f t="shared" si="0"/>
        <v>100</v>
      </c>
      <c r="G30" s="639" t="s">
        <v>500</v>
      </c>
      <c r="H30" s="1050"/>
      <c r="I30" s="35"/>
      <c r="J30" s="35"/>
    </row>
    <row r="31" spans="1:10" s="36" customFormat="1" ht="18" customHeight="1">
      <c r="A31" s="1437" t="s">
        <v>1203</v>
      </c>
      <c r="B31" s="1438"/>
      <c r="C31" s="1439"/>
      <c r="D31" s="1066">
        <f>SUM(D32,D33,D34,D35,D36,D37,D38,D39,D40,D41,D42,D43,D44,D45)</f>
        <v>2601750</v>
      </c>
      <c r="E31" s="1066">
        <f>SUM(E32,E33,E34,E35,E36,E37,E38,E39,E40,E41,E42,E43,E44,E45)</f>
        <v>2236450.81</v>
      </c>
      <c r="F31" s="1067">
        <f t="shared" si="0"/>
        <v>85.95948150283463</v>
      </c>
      <c r="G31" s="639"/>
      <c r="H31" s="1050"/>
      <c r="I31" s="35"/>
      <c r="J31" s="35"/>
    </row>
    <row r="32" spans="1:10" s="36" customFormat="1" ht="30" customHeight="1">
      <c r="A32" s="30" t="s">
        <v>532</v>
      </c>
      <c r="B32" s="32">
        <v>80120</v>
      </c>
      <c r="C32" s="31" t="s">
        <v>1323</v>
      </c>
      <c r="D32" s="611">
        <v>218400</v>
      </c>
      <c r="E32" s="665">
        <v>175693.38</v>
      </c>
      <c r="F32" s="1061">
        <f t="shared" si="0"/>
        <v>80.44568681318681</v>
      </c>
      <c r="G32" s="639" t="s">
        <v>499</v>
      </c>
      <c r="H32" s="1050"/>
      <c r="I32" s="35"/>
      <c r="J32" s="35"/>
    </row>
    <row r="33" spans="1:10" s="36" customFormat="1" ht="28.5" customHeight="1">
      <c r="A33" s="30" t="s">
        <v>448</v>
      </c>
      <c r="B33" s="32">
        <v>80120</v>
      </c>
      <c r="C33" s="1064" t="s">
        <v>1324</v>
      </c>
      <c r="D33" s="611">
        <v>304200</v>
      </c>
      <c r="E33" s="665">
        <v>285405.84</v>
      </c>
      <c r="F33" s="1061">
        <f t="shared" si="0"/>
        <v>93.821775147929</v>
      </c>
      <c r="G33" s="639" t="s">
        <v>499</v>
      </c>
      <c r="H33" s="1050"/>
      <c r="I33" s="35"/>
      <c r="J33" s="35"/>
    </row>
    <row r="34" spans="1:10" s="36" customFormat="1" ht="30" customHeight="1">
      <c r="A34" s="30" t="s">
        <v>449</v>
      </c>
      <c r="B34" s="647">
        <v>80120</v>
      </c>
      <c r="C34" s="716" t="s">
        <v>816</v>
      </c>
      <c r="D34" s="666">
        <v>162240</v>
      </c>
      <c r="E34" s="1068">
        <v>147689.85</v>
      </c>
      <c r="F34" s="705">
        <f t="shared" si="0"/>
        <v>91.03171227810651</v>
      </c>
      <c r="G34" s="639" t="s">
        <v>499</v>
      </c>
      <c r="H34" s="1050"/>
      <c r="I34" s="35"/>
      <c r="J34" s="35"/>
    </row>
    <row r="35" spans="1:10" s="36" customFormat="1" ht="30" customHeight="1">
      <c r="A35" s="30" t="s">
        <v>450</v>
      </c>
      <c r="B35" s="647">
        <v>80120</v>
      </c>
      <c r="C35" s="716" t="s">
        <v>915</v>
      </c>
      <c r="D35" s="666">
        <v>96120</v>
      </c>
      <c r="E35" s="1068">
        <v>57606.36</v>
      </c>
      <c r="F35" s="705">
        <f t="shared" si="0"/>
        <v>59.93171036204744</v>
      </c>
      <c r="G35" s="639" t="s">
        <v>499</v>
      </c>
      <c r="H35" s="1050"/>
      <c r="I35" s="35"/>
      <c r="J35" s="35"/>
    </row>
    <row r="36" spans="1:10" s="36" customFormat="1" ht="42.75" customHeight="1">
      <c r="A36" s="30" t="s">
        <v>451</v>
      </c>
      <c r="B36" s="32">
        <v>80120</v>
      </c>
      <c r="C36" s="31" t="s">
        <v>171</v>
      </c>
      <c r="D36" s="611">
        <v>180960</v>
      </c>
      <c r="E36" s="665">
        <v>138483.21</v>
      </c>
      <c r="F36" s="1061">
        <f t="shared" si="0"/>
        <v>76.52697281167107</v>
      </c>
      <c r="G36" s="639" t="s">
        <v>499</v>
      </c>
      <c r="H36" s="1050"/>
      <c r="I36" s="35"/>
      <c r="J36" s="35"/>
    </row>
    <row r="37" spans="1:10" s="36" customFormat="1" ht="30" customHeight="1">
      <c r="A37" s="30" t="s">
        <v>454</v>
      </c>
      <c r="B37" s="32">
        <v>80120</v>
      </c>
      <c r="C37" s="31" t="s">
        <v>817</v>
      </c>
      <c r="D37" s="611">
        <v>73440</v>
      </c>
      <c r="E37" s="665">
        <v>35077.14</v>
      </c>
      <c r="F37" s="1061">
        <f t="shared" si="0"/>
        <v>47.762990196078434</v>
      </c>
      <c r="G37" s="639" t="s">
        <v>499</v>
      </c>
      <c r="H37" s="1050"/>
      <c r="I37" s="35"/>
      <c r="J37" s="35"/>
    </row>
    <row r="38" spans="1:10" s="36" customFormat="1" ht="38.25" customHeight="1">
      <c r="A38" s="30" t="s">
        <v>455</v>
      </c>
      <c r="B38" s="32">
        <v>80120</v>
      </c>
      <c r="C38" s="31" t="s">
        <v>1229</v>
      </c>
      <c r="D38" s="611">
        <v>64320</v>
      </c>
      <c r="E38" s="665">
        <v>37674.72</v>
      </c>
      <c r="F38" s="1061">
        <f t="shared" si="0"/>
        <v>58.57388059701493</v>
      </c>
      <c r="G38" s="639" t="s">
        <v>499</v>
      </c>
      <c r="H38" s="1050"/>
      <c r="I38" s="35"/>
      <c r="J38" s="35"/>
    </row>
    <row r="39" spans="1:10" s="36" customFormat="1" ht="30" customHeight="1" hidden="1">
      <c r="A39" s="30" t="s">
        <v>456</v>
      </c>
      <c r="B39" s="32">
        <v>80130</v>
      </c>
      <c r="C39" s="31" t="s">
        <v>916</v>
      </c>
      <c r="D39" s="610">
        <v>0</v>
      </c>
      <c r="E39" s="612">
        <v>0</v>
      </c>
      <c r="F39" s="1061" t="e">
        <f>E39/D39*100</f>
        <v>#DIV/0!</v>
      </c>
      <c r="G39" s="639" t="s">
        <v>499</v>
      </c>
      <c r="H39" s="1050"/>
      <c r="I39" s="35"/>
      <c r="J39" s="35"/>
    </row>
    <row r="40" spans="1:10" s="36" customFormat="1" ht="39.75" customHeight="1">
      <c r="A40" s="30" t="s">
        <v>456</v>
      </c>
      <c r="B40" s="32">
        <v>80130</v>
      </c>
      <c r="C40" s="31" t="s">
        <v>1230</v>
      </c>
      <c r="D40" s="611">
        <v>614510</v>
      </c>
      <c r="E40" s="665">
        <v>547038.74</v>
      </c>
      <c r="F40" s="1061">
        <f t="shared" si="0"/>
        <v>89.0203153732242</v>
      </c>
      <c r="G40" s="639" t="s">
        <v>464</v>
      </c>
      <c r="H40" s="1050"/>
      <c r="I40" s="35"/>
      <c r="J40" s="35"/>
    </row>
    <row r="41" spans="1:10" s="36" customFormat="1" ht="30" customHeight="1">
      <c r="A41" s="30" t="s">
        <v>457</v>
      </c>
      <c r="B41" s="32">
        <v>80130</v>
      </c>
      <c r="C41" s="31" t="s">
        <v>208</v>
      </c>
      <c r="D41" s="611">
        <v>200000</v>
      </c>
      <c r="E41" s="665">
        <v>149274.38</v>
      </c>
      <c r="F41" s="1061">
        <f t="shared" si="0"/>
        <v>74.63719</v>
      </c>
      <c r="G41" s="639" t="s">
        <v>464</v>
      </c>
      <c r="H41" s="1050"/>
      <c r="I41" s="35"/>
      <c r="J41" s="35"/>
    </row>
    <row r="42" spans="1:10" s="36" customFormat="1" ht="30" customHeight="1">
      <c r="A42" s="30" t="s">
        <v>298</v>
      </c>
      <c r="B42" s="647">
        <v>85111</v>
      </c>
      <c r="C42" s="716" t="s">
        <v>309</v>
      </c>
      <c r="D42" s="704">
        <v>53300</v>
      </c>
      <c r="E42" s="704">
        <v>53107.97</v>
      </c>
      <c r="F42" s="705">
        <f t="shared" si="0"/>
        <v>99.63971857410881</v>
      </c>
      <c r="G42" s="639" t="s">
        <v>501</v>
      </c>
      <c r="I42" s="35"/>
      <c r="J42" s="35"/>
    </row>
    <row r="43" spans="1:10" s="36" customFormat="1" ht="30" customHeight="1">
      <c r="A43" s="30" t="s">
        <v>299</v>
      </c>
      <c r="B43" s="32">
        <v>85117</v>
      </c>
      <c r="C43" s="31" t="s">
        <v>1232</v>
      </c>
      <c r="D43" s="610">
        <v>71071</v>
      </c>
      <c r="E43" s="610">
        <v>69815.98</v>
      </c>
      <c r="F43" s="1061">
        <f t="shared" si="0"/>
        <v>98.23413206511798</v>
      </c>
      <c r="G43" s="639" t="s">
        <v>501</v>
      </c>
      <c r="H43" s="1050"/>
      <c r="I43" s="35"/>
      <c r="J43" s="35"/>
    </row>
    <row r="44" spans="1:10" s="36" customFormat="1" ht="30" customHeight="1">
      <c r="A44" s="30" t="s">
        <v>300</v>
      </c>
      <c r="B44" s="1080">
        <v>85311</v>
      </c>
      <c r="C44" s="1081" t="s">
        <v>497</v>
      </c>
      <c r="D44" s="666">
        <f>SUM(9W!D640)</f>
        <v>41100</v>
      </c>
      <c r="E44" s="666">
        <f>SUM(9W!E640)</f>
        <v>41100</v>
      </c>
      <c r="F44" s="705">
        <f>E44/D44*100</f>
        <v>100</v>
      </c>
      <c r="G44" s="639" t="s">
        <v>463</v>
      </c>
      <c r="H44" s="1050"/>
      <c r="I44" s="35"/>
      <c r="J44" s="35"/>
    </row>
    <row r="45" spans="1:10" s="36" customFormat="1" ht="39.75" customHeight="1" thickBot="1">
      <c r="A45" s="620" t="s">
        <v>301</v>
      </c>
      <c r="B45" s="649">
        <v>85419</v>
      </c>
      <c r="C45" s="1069" t="s">
        <v>961</v>
      </c>
      <c r="D45" s="625">
        <f>SUM(9W!D690)</f>
        <v>522089</v>
      </c>
      <c r="E45" s="625">
        <f>SUM(9W!E690)</f>
        <v>498483.24</v>
      </c>
      <c r="F45" s="1070">
        <f t="shared" si="0"/>
        <v>95.47859464574047</v>
      </c>
      <c r="G45" s="639" t="s">
        <v>499</v>
      </c>
      <c r="H45" s="1050"/>
      <c r="I45" s="35"/>
      <c r="J45" s="35"/>
    </row>
    <row r="46" spans="1:10" s="36" customFormat="1" ht="18.75" customHeight="1" thickBot="1" thickTop="1">
      <c r="A46" s="1432" t="s">
        <v>1204</v>
      </c>
      <c r="B46" s="1433"/>
      <c r="C46" s="1434"/>
      <c r="D46" s="651">
        <f>SUM(D16,D31)</f>
        <v>13054531</v>
      </c>
      <c r="E46" s="651">
        <f>SUM(E16,E31)</f>
        <v>12625173.22</v>
      </c>
      <c r="F46" s="1078">
        <f t="shared" si="0"/>
        <v>96.71104400456822</v>
      </c>
      <c r="G46" s="639"/>
      <c r="H46" s="1050"/>
      <c r="I46" s="35"/>
      <c r="J46" s="35"/>
    </row>
    <row r="47" ht="35.25" customHeight="1"/>
    <row r="48" spans="1:10" s="36" customFormat="1" ht="39" customHeight="1" thickBot="1">
      <c r="A48" s="1435" t="s">
        <v>1313</v>
      </c>
      <c r="B48" s="1435"/>
      <c r="C48" s="1435"/>
      <c r="D48" s="1435"/>
      <c r="E48" s="1435"/>
      <c r="F48" s="1435"/>
      <c r="G48" s="639"/>
      <c r="H48" s="1050"/>
      <c r="I48" s="35"/>
      <c r="J48" s="35"/>
    </row>
    <row r="49" spans="1:10" s="631" customFormat="1" ht="20.25" customHeight="1">
      <c r="A49" s="48" t="s">
        <v>338</v>
      </c>
      <c r="B49" s="49" t="s">
        <v>1427</v>
      </c>
      <c r="C49" s="679" t="s">
        <v>255</v>
      </c>
      <c r="D49" s="50" t="s">
        <v>1429</v>
      </c>
      <c r="E49" s="926" t="s">
        <v>1430</v>
      </c>
      <c r="F49" s="51" t="s">
        <v>726</v>
      </c>
      <c r="G49" s="592"/>
      <c r="H49" s="1051"/>
      <c r="I49" s="1052"/>
      <c r="J49" s="1052"/>
    </row>
    <row r="50" spans="1:10" s="1059" customFormat="1" ht="9.75" customHeight="1">
      <c r="A50" s="1053">
        <v>1</v>
      </c>
      <c r="B50" s="1054">
        <v>2</v>
      </c>
      <c r="C50" s="1054">
        <v>3</v>
      </c>
      <c r="D50" s="1054">
        <v>4</v>
      </c>
      <c r="E50" s="1055">
        <v>5</v>
      </c>
      <c r="F50" s="1056">
        <v>6</v>
      </c>
      <c r="G50" s="55"/>
      <c r="H50" s="1057"/>
      <c r="I50" s="1058"/>
      <c r="J50" s="1058"/>
    </row>
    <row r="51" spans="1:10" s="36" customFormat="1" ht="15.75" customHeight="1">
      <c r="A51" s="1429" t="s">
        <v>1202</v>
      </c>
      <c r="B51" s="1430"/>
      <c r="C51" s="1431"/>
      <c r="D51" s="603">
        <f>SUM(D52,D53,D54,D55,D56,D57,D58,D59,D60,D61,D62,D63,D64,D65)</f>
        <v>2707807</v>
      </c>
      <c r="E51" s="603">
        <f>SUM(E52,E53,E54,E55,E56,E57,E58,E59,E60,E61,E62,E63,E64,E65)</f>
        <v>2691875.13</v>
      </c>
      <c r="F51" s="1060">
        <f>E51/D51*100</f>
        <v>99.4116319959288</v>
      </c>
      <c r="G51" s="639"/>
      <c r="H51" s="1050"/>
      <c r="I51" s="35"/>
      <c r="J51" s="35"/>
    </row>
    <row r="52" spans="1:7" ht="24" customHeight="1" hidden="1">
      <c r="A52" s="8" t="s">
        <v>341</v>
      </c>
      <c r="B52" s="16">
        <v>75095</v>
      </c>
      <c r="C52" s="22" t="s">
        <v>609</v>
      </c>
      <c r="D52" s="20">
        <f>SUM(9W!D138)</f>
        <v>0</v>
      </c>
      <c r="E52" s="20">
        <f>SUM(9W!E138)</f>
        <v>0</v>
      </c>
      <c r="F52" s="21" t="e">
        <f aca="true" t="shared" si="1" ref="F52:F70">E52/D52*100</f>
        <v>#DIV/0!</v>
      </c>
      <c r="G52" s="9" t="s">
        <v>459</v>
      </c>
    </row>
    <row r="53" spans="1:7" ht="24" customHeight="1" hidden="1">
      <c r="A53" s="8" t="s">
        <v>342</v>
      </c>
      <c r="B53" s="16">
        <v>80113</v>
      </c>
      <c r="C53" s="22" t="s">
        <v>328</v>
      </c>
      <c r="D53" s="20"/>
      <c r="E53" s="20"/>
      <c r="F53" s="21" t="e">
        <f t="shared" si="1"/>
        <v>#DIV/0!</v>
      </c>
      <c r="G53" s="9" t="s">
        <v>459</v>
      </c>
    </row>
    <row r="54" spans="1:7" ht="24" customHeight="1" hidden="1">
      <c r="A54" s="8" t="s">
        <v>342</v>
      </c>
      <c r="B54" s="16">
        <v>80195</v>
      </c>
      <c r="C54" s="22" t="s">
        <v>257</v>
      </c>
      <c r="D54" s="20">
        <f>SUM(9W!D251)</f>
        <v>0</v>
      </c>
      <c r="E54" s="20">
        <f>SUM(9W!E251)</f>
        <v>0</v>
      </c>
      <c r="F54" s="21" t="e">
        <f t="shared" si="1"/>
        <v>#DIV/0!</v>
      </c>
      <c r="G54" s="9" t="s">
        <v>459</v>
      </c>
    </row>
    <row r="55" spans="1:10" s="36" customFormat="1" ht="24" customHeight="1">
      <c r="A55" s="30" t="s">
        <v>341</v>
      </c>
      <c r="B55" s="32">
        <v>85149</v>
      </c>
      <c r="C55" s="1064" t="s">
        <v>909</v>
      </c>
      <c r="D55" s="610">
        <f>SUM(9W!D259)</f>
        <v>14000</v>
      </c>
      <c r="E55" s="610">
        <f>SUM(9W!E259)</f>
        <v>12980.58</v>
      </c>
      <c r="F55" s="1061">
        <f t="shared" si="1"/>
        <v>92.71842857142857</v>
      </c>
      <c r="G55" s="639" t="s">
        <v>459</v>
      </c>
      <c r="H55" s="1050"/>
      <c r="I55" s="35"/>
      <c r="J55" s="35"/>
    </row>
    <row r="56" spans="1:7" ht="35.25" customHeight="1" hidden="1">
      <c r="A56" s="8" t="s">
        <v>441</v>
      </c>
      <c r="B56" s="16">
        <v>85152</v>
      </c>
      <c r="C56" s="123" t="s">
        <v>1226</v>
      </c>
      <c r="D56" s="20"/>
      <c r="E56" s="20"/>
      <c r="F56" s="21" t="e">
        <f t="shared" si="1"/>
        <v>#DIV/0!</v>
      </c>
      <c r="G56" s="9" t="s">
        <v>459</v>
      </c>
    </row>
    <row r="57" spans="1:7" ht="30" customHeight="1" hidden="1">
      <c r="A57" s="8" t="s">
        <v>442</v>
      </c>
      <c r="B57" s="23">
        <v>85153</v>
      </c>
      <c r="C57" s="24" t="s">
        <v>1225</v>
      </c>
      <c r="D57" s="25"/>
      <c r="E57" s="25"/>
      <c r="F57" s="124" t="e">
        <f t="shared" si="1"/>
        <v>#DIV/0!</v>
      </c>
      <c r="G57" s="9" t="s">
        <v>459</v>
      </c>
    </row>
    <row r="58" spans="1:10" s="36" customFormat="1" ht="24.75" customHeight="1">
      <c r="A58" s="30" t="s">
        <v>342</v>
      </c>
      <c r="B58" s="32">
        <v>85154</v>
      </c>
      <c r="C58" s="1064" t="s">
        <v>1217</v>
      </c>
      <c r="D58" s="610">
        <v>515000</v>
      </c>
      <c r="E58" s="610">
        <v>513942.42</v>
      </c>
      <c r="F58" s="1061">
        <f t="shared" si="1"/>
        <v>99.79464466019418</v>
      </c>
      <c r="G58" s="1082" t="s">
        <v>1315</v>
      </c>
      <c r="H58" s="1050"/>
      <c r="I58" s="35"/>
      <c r="J58" s="35"/>
    </row>
    <row r="59" spans="1:10" s="36" customFormat="1" ht="24" customHeight="1">
      <c r="A59" s="30" t="s">
        <v>433</v>
      </c>
      <c r="B59" s="647">
        <v>85195</v>
      </c>
      <c r="C59" s="716" t="s">
        <v>818</v>
      </c>
      <c r="D59" s="704">
        <f>SUM(9W!D278)</f>
        <v>20000</v>
      </c>
      <c r="E59" s="704">
        <f>SUM(9W!E278)</f>
        <v>20000</v>
      </c>
      <c r="F59" s="705">
        <f t="shared" si="1"/>
        <v>100</v>
      </c>
      <c r="G59" s="639" t="s">
        <v>460</v>
      </c>
      <c r="H59" s="1050"/>
      <c r="I59" s="35"/>
      <c r="J59" s="35"/>
    </row>
    <row r="60" spans="1:10" s="36" customFormat="1" ht="24" customHeight="1">
      <c r="A60" s="30" t="s">
        <v>440</v>
      </c>
      <c r="B60" s="616">
        <v>85203</v>
      </c>
      <c r="C60" s="629" t="s">
        <v>1097</v>
      </c>
      <c r="D60" s="611">
        <f>SUM(9W!D292)</f>
        <v>139007</v>
      </c>
      <c r="E60" s="611">
        <f>SUM(9W!E292)</f>
        <v>135273</v>
      </c>
      <c r="F60" s="1061">
        <f t="shared" si="1"/>
        <v>97.3138043407886</v>
      </c>
      <c r="G60" s="639" t="s">
        <v>459</v>
      </c>
      <c r="H60" s="1050"/>
      <c r="I60" s="35"/>
      <c r="J60" s="35"/>
    </row>
    <row r="61" spans="1:10" s="36" customFormat="1" ht="24" customHeight="1">
      <c r="A61" s="30" t="s">
        <v>441</v>
      </c>
      <c r="B61" s="647">
        <v>85395</v>
      </c>
      <c r="C61" s="703" t="s">
        <v>1218</v>
      </c>
      <c r="D61" s="704">
        <f>SUM(9W!D353)</f>
        <v>552000</v>
      </c>
      <c r="E61" s="704">
        <f>SUM(9W!E353)</f>
        <v>549957.44</v>
      </c>
      <c r="F61" s="705">
        <f t="shared" si="1"/>
        <v>99.62997101449275</v>
      </c>
      <c r="G61" s="1082" t="s">
        <v>1315</v>
      </c>
      <c r="H61" s="1050"/>
      <c r="I61" s="35"/>
      <c r="J61" s="35"/>
    </row>
    <row r="62" spans="1:10" s="36" customFormat="1" ht="24" customHeight="1">
      <c r="A62" s="30" t="s">
        <v>442</v>
      </c>
      <c r="B62" s="647">
        <v>90013</v>
      </c>
      <c r="C62" s="703" t="s">
        <v>942</v>
      </c>
      <c r="D62" s="704">
        <f>SUM(9W!D396)</f>
        <v>305000</v>
      </c>
      <c r="E62" s="704">
        <f>SUM(9W!E396)</f>
        <v>305000.02</v>
      </c>
      <c r="F62" s="705">
        <f t="shared" si="1"/>
        <v>100.00000655737706</v>
      </c>
      <c r="G62" s="639" t="s">
        <v>459</v>
      </c>
      <c r="H62" s="1050"/>
      <c r="I62" s="35"/>
      <c r="J62" s="35"/>
    </row>
    <row r="63" spans="1:10" s="36" customFormat="1" ht="24" customHeight="1">
      <c r="A63" s="30" t="s">
        <v>529</v>
      </c>
      <c r="B63" s="647">
        <v>90095</v>
      </c>
      <c r="C63" s="716" t="s">
        <v>1231</v>
      </c>
      <c r="D63" s="704">
        <f>SUM(9W!D411)</f>
        <v>40000</v>
      </c>
      <c r="E63" s="704">
        <f>SUM(9W!E411)</f>
        <v>32000</v>
      </c>
      <c r="F63" s="705">
        <f t="shared" si="1"/>
        <v>80</v>
      </c>
      <c r="G63" s="1065" t="s">
        <v>793</v>
      </c>
      <c r="H63" s="1050"/>
      <c r="I63" s="35"/>
      <c r="J63" s="35"/>
    </row>
    <row r="64" spans="1:10" s="36" customFormat="1" ht="24" customHeight="1">
      <c r="A64" s="30" t="s">
        <v>530</v>
      </c>
      <c r="B64" s="32">
        <v>92195</v>
      </c>
      <c r="C64" s="31" t="s">
        <v>902</v>
      </c>
      <c r="D64" s="610">
        <f>SUM(9W!D439)</f>
        <v>61300</v>
      </c>
      <c r="E64" s="610">
        <f>SUM(9W!E439)</f>
        <v>61221.67</v>
      </c>
      <c r="F64" s="1061">
        <f t="shared" si="1"/>
        <v>99.87221859706362</v>
      </c>
      <c r="G64" s="639" t="s">
        <v>459</v>
      </c>
      <c r="H64" s="1050"/>
      <c r="I64" s="35"/>
      <c r="J64" s="35"/>
    </row>
    <row r="65" spans="1:10" s="36" customFormat="1" ht="24" customHeight="1">
      <c r="A65" s="30" t="s">
        <v>443</v>
      </c>
      <c r="B65" s="32">
        <v>92605</v>
      </c>
      <c r="C65" s="1064" t="s">
        <v>253</v>
      </c>
      <c r="D65" s="610">
        <v>1061500</v>
      </c>
      <c r="E65" s="610">
        <v>1061500</v>
      </c>
      <c r="F65" s="1061">
        <f t="shared" si="1"/>
        <v>100</v>
      </c>
      <c r="G65" s="639" t="s">
        <v>459</v>
      </c>
      <c r="H65" s="1050"/>
      <c r="I65" s="35"/>
      <c r="J65" s="35"/>
    </row>
    <row r="66" spans="1:10" s="36" customFormat="1" ht="17.25" customHeight="1">
      <c r="A66" s="1429" t="s">
        <v>1203</v>
      </c>
      <c r="B66" s="1430"/>
      <c r="C66" s="1431"/>
      <c r="D66" s="603">
        <f>SUM(D67,D68,D69)</f>
        <v>1018420</v>
      </c>
      <c r="E66" s="603">
        <f>SUM(E67,E68,E69)</f>
        <v>1009142.93</v>
      </c>
      <c r="F66" s="1060">
        <f t="shared" si="1"/>
        <v>99.08907228844681</v>
      </c>
      <c r="G66" s="639"/>
      <c r="H66" s="1050"/>
      <c r="I66" s="35"/>
      <c r="J66" s="35"/>
    </row>
    <row r="67" spans="1:10" s="36" customFormat="1" ht="30" customHeight="1">
      <c r="A67" s="30" t="s">
        <v>445</v>
      </c>
      <c r="B67" s="32">
        <v>85201</v>
      </c>
      <c r="C67" s="31" t="s">
        <v>1227</v>
      </c>
      <c r="D67" s="610">
        <f>SUM(9W!D600)</f>
        <v>894890</v>
      </c>
      <c r="E67" s="610">
        <f>SUM(9W!E600)</f>
        <v>894036.04</v>
      </c>
      <c r="F67" s="1061">
        <f t="shared" si="1"/>
        <v>99.90457374649398</v>
      </c>
      <c r="G67" s="639" t="s">
        <v>462</v>
      </c>
      <c r="H67" s="1050"/>
      <c r="I67" s="35"/>
      <c r="J67" s="35"/>
    </row>
    <row r="68" spans="1:10" s="36" customFormat="1" ht="24" customHeight="1">
      <c r="A68" s="30" t="s">
        <v>531</v>
      </c>
      <c r="B68" s="616">
        <v>85204</v>
      </c>
      <c r="C68" s="629" t="s">
        <v>1098</v>
      </c>
      <c r="D68" s="611">
        <f>SUM(9W!D613)</f>
        <v>87530</v>
      </c>
      <c r="E68" s="611">
        <f>SUM(9W!E613)</f>
        <v>79106.89</v>
      </c>
      <c r="F68" s="1061">
        <f>E68/D68*100</f>
        <v>90.37688792414029</v>
      </c>
      <c r="G68" s="639" t="s">
        <v>462</v>
      </c>
      <c r="H68" s="1050"/>
      <c r="I68" s="35"/>
      <c r="J68" s="35"/>
    </row>
    <row r="69" spans="1:10" s="36" customFormat="1" ht="24.75" customHeight="1" thickBot="1">
      <c r="A69" s="620" t="s">
        <v>446</v>
      </c>
      <c r="B69" s="1083">
        <v>85321</v>
      </c>
      <c r="C69" s="1084" t="s">
        <v>905</v>
      </c>
      <c r="D69" s="658">
        <f>SUM(9W!D643)</f>
        <v>36000</v>
      </c>
      <c r="E69" s="658">
        <f>SUM(9W!E643)</f>
        <v>36000</v>
      </c>
      <c r="F69" s="1070">
        <f>E69/D69*100</f>
        <v>100</v>
      </c>
      <c r="G69" s="639" t="s">
        <v>462</v>
      </c>
      <c r="H69" s="1050"/>
      <c r="I69" s="35"/>
      <c r="J69" s="35"/>
    </row>
    <row r="70" spans="1:10" s="36" customFormat="1" ht="18" customHeight="1" thickBot="1" thickTop="1">
      <c r="A70" s="1432" t="s">
        <v>1204</v>
      </c>
      <c r="B70" s="1433"/>
      <c r="C70" s="1434"/>
      <c r="D70" s="651">
        <f>SUM(D51,D66)</f>
        <v>3726227</v>
      </c>
      <c r="E70" s="651">
        <f>SUM(E51,E66)</f>
        <v>3701018.06</v>
      </c>
      <c r="F70" s="1078">
        <f t="shared" si="1"/>
        <v>99.32347277822848</v>
      </c>
      <c r="G70" s="639"/>
      <c r="H70" s="1050"/>
      <c r="I70" s="35"/>
      <c r="J70" s="35"/>
    </row>
    <row r="71" spans="1:10" s="36" customFormat="1" ht="33.75" customHeight="1">
      <c r="A71" s="43"/>
      <c r="B71" s="43"/>
      <c r="G71" s="639"/>
      <c r="H71" s="1050"/>
      <c r="I71" s="35"/>
      <c r="J71" s="35"/>
    </row>
    <row r="72" spans="1:10" s="36" customFormat="1" ht="29.25" customHeight="1" thickBot="1">
      <c r="A72" s="1435" t="s">
        <v>1141</v>
      </c>
      <c r="B72" s="1435"/>
      <c r="C72" s="1435"/>
      <c r="D72" s="1435"/>
      <c r="E72" s="1435"/>
      <c r="F72" s="1435"/>
      <c r="G72" s="639"/>
      <c r="H72" s="1050"/>
      <c r="I72" s="35"/>
      <c r="J72" s="35"/>
    </row>
    <row r="73" spans="1:10" s="36" customFormat="1" ht="17.25" customHeight="1">
      <c r="A73" s="48" t="s">
        <v>338</v>
      </c>
      <c r="B73" s="49" t="s">
        <v>1427</v>
      </c>
      <c r="C73" s="679" t="s">
        <v>255</v>
      </c>
      <c r="D73" s="50" t="s">
        <v>1429</v>
      </c>
      <c r="E73" s="926" t="s">
        <v>1430</v>
      </c>
      <c r="F73" s="51" t="s">
        <v>1431</v>
      </c>
      <c r="G73" s="639"/>
      <c r="H73" s="1050"/>
      <c r="I73" s="35"/>
      <c r="J73" s="35"/>
    </row>
    <row r="74" spans="1:10" s="36" customFormat="1" ht="12" customHeight="1">
      <c r="A74" s="1053">
        <v>1</v>
      </c>
      <c r="B74" s="1054">
        <v>2</v>
      </c>
      <c r="C74" s="1054">
        <v>3</v>
      </c>
      <c r="D74" s="1054">
        <v>4</v>
      </c>
      <c r="E74" s="1055">
        <v>5</v>
      </c>
      <c r="F74" s="1056">
        <v>6</v>
      </c>
      <c r="G74" s="639"/>
      <c r="H74" s="1050"/>
      <c r="I74" s="35"/>
      <c r="J74" s="35"/>
    </row>
    <row r="75" spans="1:10" s="36" customFormat="1" ht="18" customHeight="1">
      <c r="A75" s="1429" t="s">
        <v>1202</v>
      </c>
      <c r="B75" s="1430"/>
      <c r="C75" s="1431"/>
      <c r="D75" s="603">
        <f>SUM(D76)</f>
        <v>1000</v>
      </c>
      <c r="E75" s="603">
        <f>SUM(E76)</f>
        <v>467.85</v>
      </c>
      <c r="F75" s="1060">
        <f aca="true" t="shared" si="2" ref="F75:F80">E75/D75*100</f>
        <v>46.785000000000004</v>
      </c>
      <c r="G75" s="639"/>
      <c r="H75" s="1050"/>
      <c r="I75" s="35"/>
      <c r="J75" s="35"/>
    </row>
    <row r="76" spans="1:10" s="36" customFormat="1" ht="24" customHeight="1">
      <c r="A76" s="30" t="s">
        <v>341</v>
      </c>
      <c r="B76" s="609" t="s">
        <v>894</v>
      </c>
      <c r="C76" s="31" t="s">
        <v>895</v>
      </c>
      <c r="D76" s="610">
        <f>SUM(9W!D16)</f>
        <v>1000</v>
      </c>
      <c r="E76" s="610">
        <f>SUM(9W!E16)</f>
        <v>467.85</v>
      </c>
      <c r="F76" s="1061">
        <f t="shared" si="2"/>
        <v>46.785000000000004</v>
      </c>
      <c r="G76" s="639" t="s">
        <v>1314</v>
      </c>
      <c r="H76" s="1050"/>
      <c r="I76" s="35"/>
      <c r="J76" s="35"/>
    </row>
    <row r="77" spans="1:10" s="36" customFormat="1" ht="18" customHeight="1">
      <c r="A77" s="1429" t="s">
        <v>1203</v>
      </c>
      <c r="B77" s="1430"/>
      <c r="C77" s="1431"/>
      <c r="D77" s="603">
        <f>SUM(D78,D79)</f>
        <v>122000</v>
      </c>
      <c r="E77" s="603">
        <f>SUM(E78,E79)</f>
        <v>121916.14</v>
      </c>
      <c r="F77" s="1060">
        <f t="shared" si="2"/>
        <v>99.93126229508196</v>
      </c>
      <c r="G77" s="639"/>
      <c r="H77" s="1050"/>
      <c r="I77" s="35"/>
      <c r="J77" s="35"/>
    </row>
    <row r="78" spans="1:10" s="36" customFormat="1" ht="24" customHeight="1">
      <c r="A78" s="30" t="s">
        <v>342</v>
      </c>
      <c r="B78" s="32">
        <v>75405</v>
      </c>
      <c r="C78" s="31" t="s">
        <v>925</v>
      </c>
      <c r="D78" s="610">
        <f>SUM(9W!D506)</f>
        <v>112000</v>
      </c>
      <c r="E78" s="610">
        <f>SUM(9W!E506)</f>
        <v>111917.14</v>
      </c>
      <c r="F78" s="1061">
        <f t="shared" si="2"/>
        <v>99.92601785714285</v>
      </c>
      <c r="G78" s="639" t="s">
        <v>308</v>
      </c>
      <c r="H78" s="1050"/>
      <c r="I78" s="35"/>
      <c r="J78" s="35"/>
    </row>
    <row r="79" spans="1:10" s="36" customFormat="1" ht="24" customHeight="1" thickBot="1">
      <c r="A79" s="620" t="s">
        <v>433</v>
      </c>
      <c r="B79" s="649">
        <v>75406</v>
      </c>
      <c r="C79" s="1069" t="s">
        <v>1419</v>
      </c>
      <c r="D79" s="625">
        <f>SUM(9W!D511)</f>
        <v>10000</v>
      </c>
      <c r="E79" s="625">
        <f>SUM(9W!E511)</f>
        <v>9999</v>
      </c>
      <c r="F79" s="1070">
        <f t="shared" si="2"/>
        <v>99.99</v>
      </c>
      <c r="G79" s="639" t="s">
        <v>308</v>
      </c>
      <c r="H79" s="1050"/>
      <c r="I79" s="35"/>
      <c r="J79" s="35"/>
    </row>
    <row r="80" spans="1:10" s="36" customFormat="1" ht="17.25" customHeight="1" thickBot="1" thickTop="1">
      <c r="A80" s="1432" t="s">
        <v>1205</v>
      </c>
      <c r="B80" s="1433"/>
      <c r="C80" s="1434"/>
      <c r="D80" s="651">
        <f>SUM(D75,D77)</f>
        <v>123000</v>
      </c>
      <c r="E80" s="651">
        <f>SUM(E75,E77)</f>
        <v>122383.99</v>
      </c>
      <c r="F80" s="1078">
        <f t="shared" si="2"/>
        <v>99.49917886178862</v>
      </c>
      <c r="G80" s="639"/>
      <c r="H80" s="1050"/>
      <c r="I80" s="35"/>
      <c r="J80" s="35"/>
    </row>
    <row r="81" spans="1:10" s="36" customFormat="1" ht="30" customHeight="1">
      <c r="A81" s="43"/>
      <c r="B81" s="43"/>
      <c r="G81" s="639"/>
      <c r="H81" s="1050"/>
      <c r="I81" s="35"/>
      <c r="J81" s="35"/>
    </row>
    <row r="82" spans="1:10" s="36" customFormat="1" ht="48.75" customHeight="1" thickBot="1">
      <c r="A82" s="1435" t="s">
        <v>794</v>
      </c>
      <c r="B82" s="1435"/>
      <c r="C82" s="1435"/>
      <c r="D82" s="1435"/>
      <c r="E82" s="1435"/>
      <c r="F82" s="1435"/>
      <c r="G82" s="1016"/>
      <c r="H82" s="1050"/>
      <c r="I82" s="35"/>
      <c r="J82" s="35"/>
    </row>
    <row r="83" spans="1:10" s="36" customFormat="1" ht="20.25" customHeight="1">
      <c r="A83" s="48" t="s">
        <v>338</v>
      </c>
      <c r="B83" s="49" t="s">
        <v>1427</v>
      </c>
      <c r="C83" s="679" t="s">
        <v>255</v>
      </c>
      <c r="D83" s="50" t="s">
        <v>1429</v>
      </c>
      <c r="E83" s="926" t="s">
        <v>1430</v>
      </c>
      <c r="F83" s="51" t="s">
        <v>1431</v>
      </c>
      <c r="G83" s="639"/>
      <c r="H83" s="1050"/>
      <c r="I83" s="35"/>
      <c r="J83" s="35"/>
    </row>
    <row r="84" spans="1:10" s="1059" customFormat="1" ht="10.5" customHeight="1">
      <c r="A84" s="1053">
        <v>1</v>
      </c>
      <c r="B84" s="1054">
        <v>2</v>
      </c>
      <c r="C84" s="1054">
        <v>3</v>
      </c>
      <c r="D84" s="1054">
        <v>4</v>
      </c>
      <c r="E84" s="1055">
        <v>5</v>
      </c>
      <c r="F84" s="1056">
        <v>6</v>
      </c>
      <c r="G84" s="55"/>
      <c r="H84" s="1057"/>
      <c r="I84" s="1058"/>
      <c r="J84" s="1058"/>
    </row>
    <row r="85" spans="1:10" s="36" customFormat="1" ht="18.75" customHeight="1">
      <c r="A85" s="1429" t="s">
        <v>1202</v>
      </c>
      <c r="B85" s="1430"/>
      <c r="C85" s="1431"/>
      <c r="D85" s="603">
        <f>SUM(D86,D88,D91,D92)</f>
        <v>1403850</v>
      </c>
      <c r="E85" s="603">
        <f>SUM(E86,E88,E91,E92)</f>
        <v>913591.7</v>
      </c>
      <c r="F85" s="1060">
        <f>E85/D85*100</f>
        <v>65.07758663674895</v>
      </c>
      <c r="G85" s="639"/>
      <c r="H85" s="1050"/>
      <c r="I85" s="35"/>
      <c r="J85" s="35"/>
    </row>
    <row r="86" spans="1:10" s="36" customFormat="1" ht="24" customHeight="1">
      <c r="A86" s="30" t="s">
        <v>341</v>
      </c>
      <c r="B86" s="32">
        <v>70001</v>
      </c>
      <c r="C86" s="31" t="s">
        <v>430</v>
      </c>
      <c r="D86" s="610">
        <f>SUM(9W!D71)</f>
        <v>822000</v>
      </c>
      <c r="E86" s="610">
        <f>SUM(9W!E71)</f>
        <v>331758.5</v>
      </c>
      <c r="F86" s="1061">
        <f aca="true" t="shared" si="3" ref="F86:F97">E86/D86*100</f>
        <v>40.35991484184915</v>
      </c>
      <c r="G86" s="639" t="s">
        <v>502</v>
      </c>
      <c r="H86" s="1050"/>
      <c r="I86" s="35"/>
      <c r="J86" s="35"/>
    </row>
    <row r="87" spans="1:10" s="36" customFormat="1" ht="24" customHeight="1" hidden="1">
      <c r="A87" s="30" t="s">
        <v>342</v>
      </c>
      <c r="B87" s="32">
        <v>80104</v>
      </c>
      <c r="C87" s="31" t="s">
        <v>1361</v>
      </c>
      <c r="D87" s="610"/>
      <c r="E87" s="610"/>
      <c r="F87" s="1061" t="e">
        <f t="shared" si="3"/>
        <v>#DIV/0!</v>
      </c>
      <c r="G87" s="639" t="s">
        <v>502</v>
      </c>
      <c r="H87" s="1050"/>
      <c r="I87" s="35"/>
      <c r="J87" s="35"/>
    </row>
    <row r="88" spans="1:10" s="36" customFormat="1" ht="24" customHeight="1">
      <c r="A88" s="30" t="s">
        <v>342</v>
      </c>
      <c r="B88" s="32">
        <v>92109</v>
      </c>
      <c r="C88" s="1064" t="s">
        <v>256</v>
      </c>
      <c r="D88" s="610">
        <f>SUM(9W!D420)</f>
        <v>60000</v>
      </c>
      <c r="E88" s="610">
        <f>SUM(9W!E420)</f>
        <v>60000</v>
      </c>
      <c r="F88" s="1061">
        <f t="shared" si="3"/>
        <v>100</v>
      </c>
      <c r="G88" s="639" t="s">
        <v>503</v>
      </c>
      <c r="H88" s="1050"/>
      <c r="I88" s="35"/>
      <c r="J88" s="35"/>
    </row>
    <row r="89" spans="1:10" s="36" customFormat="1" ht="24" customHeight="1" hidden="1">
      <c r="A89" s="30" t="s">
        <v>440</v>
      </c>
      <c r="B89" s="32">
        <v>92116</v>
      </c>
      <c r="C89" s="1064" t="s">
        <v>1362</v>
      </c>
      <c r="D89" s="610"/>
      <c r="E89" s="610"/>
      <c r="F89" s="1061" t="e">
        <f t="shared" si="3"/>
        <v>#DIV/0!</v>
      </c>
      <c r="G89" s="639" t="s">
        <v>1310</v>
      </c>
      <c r="H89" s="1050"/>
      <c r="I89" s="35"/>
      <c r="J89" s="35"/>
    </row>
    <row r="90" spans="1:10" s="36" customFormat="1" ht="24" customHeight="1" hidden="1">
      <c r="A90" s="30" t="s">
        <v>441</v>
      </c>
      <c r="B90" s="32">
        <v>92118</v>
      </c>
      <c r="C90" s="1064" t="s">
        <v>1363</v>
      </c>
      <c r="D90" s="610"/>
      <c r="E90" s="610"/>
      <c r="F90" s="1061" t="e">
        <f t="shared" si="3"/>
        <v>#DIV/0!</v>
      </c>
      <c r="G90" s="639" t="s">
        <v>1311</v>
      </c>
      <c r="H90" s="1050"/>
      <c r="I90" s="35"/>
      <c r="J90" s="35"/>
    </row>
    <row r="91" spans="1:10" s="36" customFormat="1" ht="24" customHeight="1">
      <c r="A91" s="30" t="s">
        <v>433</v>
      </c>
      <c r="B91" s="32">
        <v>92120</v>
      </c>
      <c r="C91" s="1064" t="s">
        <v>1309</v>
      </c>
      <c r="D91" s="610">
        <f>SUM(9W!D432)</f>
        <v>131850</v>
      </c>
      <c r="E91" s="610">
        <f>SUM(9W!E432)</f>
        <v>131833.2</v>
      </c>
      <c r="F91" s="1061">
        <f t="shared" si="3"/>
        <v>99.98725824800911</v>
      </c>
      <c r="G91" s="639" t="s">
        <v>1312</v>
      </c>
      <c r="H91" s="1050"/>
      <c r="I91" s="35"/>
      <c r="J91" s="35"/>
    </row>
    <row r="92" spans="1:10" s="36" customFormat="1" ht="24" customHeight="1">
      <c r="A92" s="30" t="s">
        <v>440</v>
      </c>
      <c r="B92" s="32">
        <v>92605</v>
      </c>
      <c r="C92" s="1064" t="s">
        <v>903</v>
      </c>
      <c r="D92" s="610">
        <f>SUM(9W!D453)</f>
        <v>390000</v>
      </c>
      <c r="E92" s="610">
        <f>SUM(9W!E453)</f>
        <v>390000</v>
      </c>
      <c r="F92" s="1061">
        <f t="shared" si="3"/>
        <v>100</v>
      </c>
      <c r="G92" s="639" t="s">
        <v>502</v>
      </c>
      <c r="H92" s="1050"/>
      <c r="I92" s="35"/>
      <c r="J92" s="35"/>
    </row>
    <row r="93" spans="1:10" s="639" customFormat="1" ht="20.25" customHeight="1">
      <c r="A93" s="1429" t="s">
        <v>1203</v>
      </c>
      <c r="B93" s="1430"/>
      <c r="C93" s="1431"/>
      <c r="D93" s="1085">
        <f>SUM(D94,D95,D96)</f>
        <v>353029</v>
      </c>
      <c r="E93" s="1085">
        <f>SUM(E94,E95,E96)</f>
        <v>323661.04</v>
      </c>
      <c r="F93" s="1060">
        <f>E93/D93*100</f>
        <v>91.68114800767076</v>
      </c>
      <c r="H93" s="1050"/>
      <c r="I93" s="632"/>
      <c r="J93" s="632"/>
    </row>
    <row r="94" spans="1:10" s="639" customFormat="1" ht="20.25" customHeight="1">
      <c r="A94" s="30" t="s">
        <v>441</v>
      </c>
      <c r="B94" s="32">
        <v>75405</v>
      </c>
      <c r="C94" s="31" t="s">
        <v>508</v>
      </c>
      <c r="D94" s="610">
        <f>SUM(9W!D508)</f>
        <v>25000</v>
      </c>
      <c r="E94" s="610">
        <f>SUM(9W!E508)</f>
        <v>25000</v>
      </c>
      <c r="F94" s="1061">
        <f>E94/D94*100</f>
        <v>100</v>
      </c>
      <c r="G94" s="639" t="s">
        <v>507</v>
      </c>
      <c r="H94" s="1050"/>
      <c r="I94" s="632"/>
      <c r="J94" s="632"/>
    </row>
    <row r="95" spans="1:10" s="36" customFormat="1" ht="31.5" customHeight="1">
      <c r="A95" s="30" t="s">
        <v>442</v>
      </c>
      <c r="B95" s="32">
        <v>85111</v>
      </c>
      <c r="C95" s="31" t="s">
        <v>309</v>
      </c>
      <c r="D95" s="610">
        <f>SUM(9W!D576)</f>
        <v>295425</v>
      </c>
      <c r="E95" s="610">
        <f>SUM(9W!E576)</f>
        <v>266057.6</v>
      </c>
      <c r="F95" s="1061">
        <f>E95/D95*100</f>
        <v>90.05927054243885</v>
      </c>
      <c r="G95" s="639" t="s">
        <v>503</v>
      </c>
      <c r="H95" s="42"/>
      <c r="I95" s="35"/>
      <c r="J95" s="35"/>
    </row>
    <row r="96" spans="1:10" s="36" customFormat="1" ht="29.25" customHeight="1" thickBot="1">
      <c r="A96" s="620" t="s">
        <v>529</v>
      </c>
      <c r="B96" s="649">
        <v>85117</v>
      </c>
      <c r="C96" s="1069" t="s">
        <v>1232</v>
      </c>
      <c r="D96" s="625">
        <f>SUM(9W!D584)</f>
        <v>32604</v>
      </c>
      <c r="E96" s="625">
        <f>SUM(9W!E584)</f>
        <v>32603.44</v>
      </c>
      <c r="F96" s="1070">
        <f>E96/D96*100</f>
        <v>99.99828241933506</v>
      </c>
      <c r="G96" s="639" t="s">
        <v>503</v>
      </c>
      <c r="H96" s="1050"/>
      <c r="I96" s="35"/>
      <c r="J96" s="35"/>
    </row>
    <row r="97" spans="1:10" s="639" customFormat="1" ht="18" customHeight="1" thickBot="1" thickTop="1">
      <c r="A97" s="1432" t="s">
        <v>1204</v>
      </c>
      <c r="B97" s="1433"/>
      <c r="C97" s="1434"/>
      <c r="D97" s="651">
        <f>SUM(D85,D93)</f>
        <v>1756879</v>
      </c>
      <c r="E97" s="651">
        <f>SUM(E85,E93)</f>
        <v>1237252.74</v>
      </c>
      <c r="F97" s="1078">
        <f t="shared" si="3"/>
        <v>70.42333251180075</v>
      </c>
      <c r="H97" s="1050"/>
      <c r="I97" s="632"/>
      <c r="J97" s="632"/>
    </row>
    <row r="98" spans="1:10" s="18" customFormat="1" ht="21" customHeight="1" thickBot="1">
      <c r="A98" s="26"/>
      <c r="B98" s="26"/>
      <c r="C98" s="26"/>
      <c r="D98" s="27"/>
      <c r="E98" s="27"/>
      <c r="F98" s="28"/>
      <c r="H98" s="19"/>
      <c r="I98" s="69"/>
      <c r="J98" s="69"/>
    </row>
    <row r="99" spans="1:10" s="1059" customFormat="1" ht="18" customHeight="1">
      <c r="A99" s="1440" t="s">
        <v>255</v>
      </c>
      <c r="B99" s="1441"/>
      <c r="C99" s="1442"/>
      <c r="D99" s="1086" t="s">
        <v>741</v>
      </c>
      <c r="E99" s="1087" t="s">
        <v>742</v>
      </c>
      <c r="F99" s="1088" t="s">
        <v>1431</v>
      </c>
      <c r="G99" s="55"/>
      <c r="H99" s="1057"/>
      <c r="I99" s="1058"/>
      <c r="J99" s="1058"/>
    </row>
    <row r="100" spans="1:10" s="1050" customFormat="1" ht="22.5" customHeight="1">
      <c r="A100" s="1452" t="s">
        <v>1304</v>
      </c>
      <c r="B100" s="1453"/>
      <c r="C100" s="1454"/>
      <c r="D100" s="1089">
        <f>SUM(D11,D46,D70,D80)</f>
        <v>18153758</v>
      </c>
      <c r="E100" s="1089">
        <f>SUM(E11,E46,E70,E80)</f>
        <v>17698575.27</v>
      </c>
      <c r="F100" s="1090">
        <f>E100/D100*100</f>
        <v>97.49262532859588</v>
      </c>
      <c r="I100" s="1091"/>
      <c r="J100" s="1091"/>
    </row>
    <row r="101" spans="1:10" s="1050" customFormat="1" ht="22.5" customHeight="1" thickBot="1">
      <c r="A101" s="1446" t="s">
        <v>505</v>
      </c>
      <c r="B101" s="1447"/>
      <c r="C101" s="1448"/>
      <c r="D101" s="1092">
        <f>SUM(D97)</f>
        <v>1756879</v>
      </c>
      <c r="E101" s="1092">
        <f>SUM(E97)</f>
        <v>1237252.74</v>
      </c>
      <c r="F101" s="1093">
        <f>E101/D101*100</f>
        <v>70.42333251180075</v>
      </c>
      <c r="I101" s="1091"/>
      <c r="J101" s="1091"/>
    </row>
    <row r="102" spans="1:10" s="639" customFormat="1" ht="22.5" customHeight="1" thickBot="1" thickTop="1">
      <c r="A102" s="1449" t="s">
        <v>1224</v>
      </c>
      <c r="B102" s="1450"/>
      <c r="C102" s="1451"/>
      <c r="D102" s="1094">
        <f>SUM(D100,D101)</f>
        <v>19910637</v>
      </c>
      <c r="E102" s="1094">
        <f>SUM(E100,E101)</f>
        <v>18935828.009999998</v>
      </c>
      <c r="F102" s="1095">
        <f>E102/D102*100</f>
        <v>95.10407934211244</v>
      </c>
      <c r="H102" s="1050"/>
      <c r="I102" s="632"/>
      <c r="J102" s="632"/>
    </row>
    <row r="103" spans="1:10" s="592" customFormat="1" ht="46.5" customHeight="1">
      <c r="A103" s="1445" t="s">
        <v>1142</v>
      </c>
      <c r="B103" s="1445"/>
      <c r="C103" s="1445"/>
      <c r="D103" s="1445"/>
      <c r="E103" s="1445"/>
      <c r="F103" s="1445"/>
      <c r="I103" s="1096"/>
      <c r="J103" s="1096"/>
    </row>
    <row r="104" spans="1:10" s="36" customFormat="1" ht="13.5">
      <c r="A104" s="43"/>
      <c r="B104" s="43"/>
      <c r="C104" s="44" t="s">
        <v>1316</v>
      </c>
      <c r="D104" s="35">
        <v>18153758</v>
      </c>
      <c r="E104" s="35">
        <v>17698575.27</v>
      </c>
      <c r="G104" s="639"/>
      <c r="H104" s="1050"/>
      <c r="I104" s="35"/>
      <c r="J104" s="35"/>
    </row>
    <row r="105" spans="1:10" s="36" customFormat="1" ht="13.5">
      <c r="A105" s="43"/>
      <c r="B105" s="43"/>
      <c r="C105" s="44" t="s">
        <v>1317</v>
      </c>
      <c r="D105" s="35">
        <v>1756879</v>
      </c>
      <c r="E105" s="35">
        <v>1237252.74</v>
      </c>
      <c r="G105" s="639"/>
      <c r="H105" s="1050"/>
      <c r="I105" s="35"/>
      <c r="J105" s="35"/>
    </row>
    <row r="106" spans="1:10" s="36" customFormat="1" ht="13.5">
      <c r="A106" s="43"/>
      <c r="B106" s="43"/>
      <c r="D106" s="35"/>
      <c r="E106" s="35"/>
      <c r="G106" s="639"/>
      <c r="H106" s="1050"/>
      <c r="I106" s="35"/>
      <c r="J106" s="35"/>
    </row>
    <row r="107" spans="1:10" s="36" customFormat="1" ht="13.5">
      <c r="A107" s="43"/>
      <c r="B107" s="43"/>
      <c r="C107" s="44" t="s">
        <v>465</v>
      </c>
      <c r="D107" s="35">
        <f>D104-D100</f>
        <v>0</v>
      </c>
      <c r="E107" s="35">
        <f>E104-E100</f>
        <v>0</v>
      </c>
      <c r="G107" s="639"/>
      <c r="H107" s="1050"/>
      <c r="I107" s="35"/>
      <c r="J107" s="35"/>
    </row>
    <row r="108" spans="1:10" s="36" customFormat="1" ht="13.5">
      <c r="A108" s="43"/>
      <c r="B108" s="43"/>
      <c r="C108" s="44" t="s">
        <v>496</v>
      </c>
      <c r="D108" s="35">
        <f>D105-D101</f>
        <v>0</v>
      </c>
      <c r="E108" s="35">
        <f>E105-E101</f>
        <v>0</v>
      </c>
      <c r="G108" s="639"/>
      <c r="H108" s="1050"/>
      <c r="I108" s="35"/>
      <c r="J108" s="35"/>
    </row>
    <row r="109" spans="1:10" s="36" customFormat="1" ht="13.5">
      <c r="A109" s="43"/>
      <c r="B109" s="43"/>
      <c r="G109" s="639"/>
      <c r="H109" s="1050"/>
      <c r="I109" s="35"/>
      <c r="J109" s="35"/>
    </row>
  </sheetData>
  <sheetProtection password="CF93" sheet="1" formatRows="0" insertColumns="0" insertRows="0" insertHyperlinks="0" deleteColumns="0" deleteRows="0" sort="0" autoFilter="0" pivotTables="0"/>
  <mergeCells count="26">
    <mergeCell ref="A99:C99"/>
    <mergeCell ref="A5:E5"/>
    <mergeCell ref="A103:F103"/>
    <mergeCell ref="A70:C70"/>
    <mergeCell ref="A93:C93"/>
    <mergeCell ref="A101:C101"/>
    <mergeCell ref="A102:C102"/>
    <mergeCell ref="A51:C51"/>
    <mergeCell ref="A66:C66"/>
    <mergeCell ref="A100:C100"/>
    <mergeCell ref="A48:F48"/>
    <mergeCell ref="A82:F82"/>
    <mergeCell ref="E1:F1"/>
    <mergeCell ref="A46:C46"/>
    <mergeCell ref="A16:C16"/>
    <mergeCell ref="A31:C31"/>
    <mergeCell ref="A8:C8"/>
    <mergeCell ref="A11:C11"/>
    <mergeCell ref="A3:F3"/>
    <mergeCell ref="A13:F13"/>
    <mergeCell ref="A85:C85"/>
    <mergeCell ref="A97:C97"/>
    <mergeCell ref="A72:F72"/>
    <mergeCell ref="A77:C77"/>
    <mergeCell ref="A80:C80"/>
    <mergeCell ref="A75:C75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H19"/>
  <sheetViews>
    <sheetView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375" style="36" customWidth="1"/>
    <col min="2" max="2" width="9.125" style="36" customWidth="1"/>
    <col min="3" max="3" width="10.125" style="36" customWidth="1"/>
    <col min="4" max="4" width="7.125" style="6" customWidth="1"/>
    <col min="5" max="5" width="25.75390625" style="6" customWidth="1"/>
    <col min="6" max="6" width="11.875" style="6" customWidth="1"/>
    <col min="7" max="7" width="10.625" style="6" customWidth="1"/>
    <col min="8" max="8" width="5.25390625" style="6" customWidth="1"/>
    <col min="9" max="16384" width="9.125" style="6" customWidth="1"/>
  </cols>
  <sheetData>
    <row r="1" spans="6:8" s="36" customFormat="1" ht="12.75">
      <c r="F1" s="639"/>
      <c r="G1" s="1436" t="s">
        <v>854</v>
      </c>
      <c r="H1" s="1436"/>
    </row>
    <row r="2" s="36" customFormat="1" ht="24" customHeight="1"/>
    <row r="3" spans="1:8" s="36" customFormat="1" ht="12.75">
      <c r="A3" s="1357" t="s">
        <v>906</v>
      </c>
      <c r="B3" s="1357"/>
      <c r="C3" s="1357"/>
      <c r="D3" s="1357"/>
      <c r="E3" s="1357"/>
      <c r="F3" s="1357"/>
      <c r="G3" s="1357"/>
      <c r="H3" s="1357"/>
    </row>
    <row r="4" spans="1:6" s="36" customFormat="1" ht="15" customHeight="1">
      <c r="A4" s="46"/>
      <c r="B4" s="46"/>
      <c r="C4" s="46"/>
      <c r="D4" s="46"/>
      <c r="E4" s="46"/>
      <c r="F4" s="46"/>
    </row>
    <row r="5" spans="6:8" s="36" customFormat="1" ht="13.5" thickBot="1">
      <c r="F5" s="44"/>
      <c r="G5" s="44"/>
      <c r="H5" s="44" t="s">
        <v>1426</v>
      </c>
    </row>
    <row r="6" spans="1:8" s="592" customFormat="1" ht="24" customHeight="1">
      <c r="A6" s="48" t="s">
        <v>338</v>
      </c>
      <c r="B6" s="49" t="s">
        <v>254</v>
      </c>
      <c r="C6" s="49" t="s">
        <v>1427</v>
      </c>
      <c r="D6" s="49" t="s">
        <v>259</v>
      </c>
      <c r="E6" s="49" t="s">
        <v>1206</v>
      </c>
      <c r="F6" s="49" t="s">
        <v>1429</v>
      </c>
      <c r="G6" s="641" t="s">
        <v>1430</v>
      </c>
      <c r="H6" s="642" t="s">
        <v>1431</v>
      </c>
    </row>
    <row r="7" spans="1:8" s="46" customFormat="1" ht="9.75" customHeight="1">
      <c r="A7" s="596">
        <v>1</v>
      </c>
      <c r="B7" s="597">
        <v>2</v>
      </c>
      <c r="C7" s="597">
        <v>3</v>
      </c>
      <c r="D7" s="597">
        <v>4</v>
      </c>
      <c r="E7" s="597">
        <v>5</v>
      </c>
      <c r="F7" s="597">
        <v>6</v>
      </c>
      <c r="G7" s="597">
        <v>7</v>
      </c>
      <c r="H7" s="643">
        <v>8</v>
      </c>
    </row>
    <row r="8" spans="1:8" s="36" customFormat="1" ht="30" customHeight="1">
      <c r="A8" s="1457" t="s">
        <v>341</v>
      </c>
      <c r="B8" s="1459">
        <v>750</v>
      </c>
      <c r="C8" s="1459">
        <v>75095</v>
      </c>
      <c r="D8" s="32">
        <v>4210</v>
      </c>
      <c r="E8" s="1459" t="s">
        <v>1207</v>
      </c>
      <c r="F8" s="610">
        <v>100</v>
      </c>
      <c r="G8" s="610">
        <v>99.98</v>
      </c>
      <c r="H8" s="34">
        <f aca="true" t="shared" si="0" ref="H8:H17">G8/F8*100</f>
        <v>99.98</v>
      </c>
    </row>
    <row r="9" spans="1:8" s="36" customFormat="1" ht="30" customHeight="1">
      <c r="A9" s="1458"/>
      <c r="B9" s="1460"/>
      <c r="C9" s="1460"/>
      <c r="D9" s="32">
        <v>4360</v>
      </c>
      <c r="E9" s="1460"/>
      <c r="F9" s="610">
        <v>250</v>
      </c>
      <c r="G9" s="610">
        <v>208.42</v>
      </c>
      <c r="H9" s="34">
        <f t="shared" si="0"/>
        <v>83.368</v>
      </c>
    </row>
    <row r="10" spans="1:8" s="36" customFormat="1" ht="30" customHeight="1">
      <c r="A10" s="1457" t="s">
        <v>342</v>
      </c>
      <c r="B10" s="1459">
        <v>750</v>
      </c>
      <c r="C10" s="1459">
        <v>75095</v>
      </c>
      <c r="D10" s="32">
        <v>4360</v>
      </c>
      <c r="E10" s="1459" t="s">
        <v>1208</v>
      </c>
      <c r="F10" s="610">
        <v>450</v>
      </c>
      <c r="G10" s="610">
        <v>273.28</v>
      </c>
      <c r="H10" s="34">
        <f t="shared" si="0"/>
        <v>60.72888888888889</v>
      </c>
    </row>
    <row r="11" spans="1:8" s="36" customFormat="1" ht="30" customHeight="1">
      <c r="A11" s="1458"/>
      <c r="B11" s="1460"/>
      <c r="C11" s="1460"/>
      <c r="D11" s="644">
        <v>4400</v>
      </c>
      <c r="E11" s="1460"/>
      <c r="F11" s="648">
        <v>3500</v>
      </c>
      <c r="G11" s="648">
        <v>3500</v>
      </c>
      <c r="H11" s="63">
        <f t="shared" si="0"/>
        <v>100</v>
      </c>
    </row>
    <row r="12" spans="1:8" s="36" customFormat="1" ht="30" customHeight="1">
      <c r="A12" s="1461"/>
      <c r="B12" s="1462"/>
      <c r="C12" s="1462"/>
      <c r="D12" s="644">
        <v>4740</v>
      </c>
      <c r="E12" s="1462"/>
      <c r="F12" s="648">
        <v>40</v>
      </c>
      <c r="G12" s="648">
        <v>0</v>
      </c>
      <c r="H12" s="63">
        <f t="shared" si="0"/>
        <v>0</v>
      </c>
    </row>
    <row r="13" spans="1:8" s="36" customFormat="1" ht="30" customHeight="1">
      <c r="A13" s="1457" t="s">
        <v>433</v>
      </c>
      <c r="B13" s="1459">
        <v>750</v>
      </c>
      <c r="C13" s="1459">
        <v>75095</v>
      </c>
      <c r="D13" s="32">
        <v>4210</v>
      </c>
      <c r="E13" s="1459" t="s">
        <v>1209</v>
      </c>
      <c r="F13" s="648">
        <v>1300</v>
      </c>
      <c r="G13" s="648">
        <v>999.68</v>
      </c>
      <c r="H13" s="63">
        <f t="shared" si="0"/>
        <v>76.89846153846153</v>
      </c>
    </row>
    <row r="14" spans="1:8" s="36" customFormat="1" ht="30" customHeight="1">
      <c r="A14" s="1458"/>
      <c r="B14" s="1460"/>
      <c r="C14" s="1460"/>
      <c r="D14" s="32">
        <v>4360</v>
      </c>
      <c r="E14" s="1460"/>
      <c r="F14" s="648">
        <v>100</v>
      </c>
      <c r="G14" s="648">
        <v>94.21</v>
      </c>
      <c r="H14" s="63">
        <f t="shared" si="0"/>
        <v>94.21</v>
      </c>
    </row>
    <row r="15" spans="1:8" s="36" customFormat="1" ht="30" customHeight="1">
      <c r="A15" s="1458"/>
      <c r="B15" s="1460"/>
      <c r="C15" s="1460"/>
      <c r="D15" s="32">
        <v>4400</v>
      </c>
      <c r="E15" s="1460"/>
      <c r="F15" s="610">
        <v>3500</v>
      </c>
      <c r="G15" s="610">
        <v>3500</v>
      </c>
      <c r="H15" s="34">
        <f t="shared" si="0"/>
        <v>100</v>
      </c>
    </row>
    <row r="16" spans="1:8" s="36" customFormat="1" ht="30" customHeight="1" thickBot="1">
      <c r="A16" s="1463"/>
      <c r="B16" s="1464"/>
      <c r="C16" s="1464"/>
      <c r="D16" s="649">
        <v>4740</v>
      </c>
      <c r="E16" s="1464"/>
      <c r="F16" s="625">
        <v>40</v>
      </c>
      <c r="G16" s="625">
        <v>37</v>
      </c>
      <c r="H16" s="650">
        <f t="shared" si="0"/>
        <v>92.5</v>
      </c>
    </row>
    <row r="17" spans="1:8" s="36" customFormat="1" ht="24" customHeight="1" thickBot="1" thickTop="1">
      <c r="A17" s="1455" t="s">
        <v>1210</v>
      </c>
      <c r="B17" s="1456"/>
      <c r="C17" s="1456"/>
      <c r="D17" s="1456"/>
      <c r="E17" s="1456"/>
      <c r="F17" s="651">
        <f>SUM(F8:F16)</f>
        <v>9280</v>
      </c>
      <c r="G17" s="651">
        <f>SUM(G8:G16)</f>
        <v>8712.57</v>
      </c>
      <c r="H17" s="652">
        <f t="shared" si="0"/>
        <v>93.8854525862069</v>
      </c>
    </row>
    <row r="19" ht="12.75">
      <c r="A19" s="42"/>
    </row>
  </sheetData>
  <sheetProtection password="CF93" sheet="1" formatRows="0" insertColumns="0" insertRows="0" insertHyperlinks="0" deleteColumns="0" deleteRows="0" sort="0" autoFilter="0" pivotTables="0"/>
  <mergeCells count="15">
    <mergeCell ref="E10:E12"/>
    <mergeCell ref="A13:A16"/>
    <mergeCell ref="B13:B16"/>
    <mergeCell ref="C13:C16"/>
    <mergeCell ref="E13:E16"/>
    <mergeCell ref="A17:E17"/>
    <mergeCell ref="G1:H1"/>
    <mergeCell ref="A3:H3"/>
    <mergeCell ref="A8:A9"/>
    <mergeCell ref="B8:B9"/>
    <mergeCell ref="C8:C9"/>
    <mergeCell ref="E8:E9"/>
    <mergeCell ref="A10:A12"/>
    <mergeCell ref="B10:B12"/>
    <mergeCell ref="C10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173"/>
  <sheetViews>
    <sheetView view="pageBreakPreview" zoomScaleSheetLayoutView="100" zoomScalePageLayoutView="0" workbookViewId="0" topLeftCell="A3">
      <pane ySplit="5" topLeftCell="BM8" activePane="bottomLeft" state="frozen"/>
      <selection pane="topLeft" activeCell="A3" sqref="A3"/>
      <selection pane="bottomLeft" activeCell="D26" sqref="D26"/>
    </sheetView>
  </sheetViews>
  <sheetFormatPr defaultColWidth="9.00390625" defaultRowHeight="12.75"/>
  <cols>
    <col min="1" max="1" width="4.75390625" style="513" customWidth="1"/>
    <col min="2" max="2" width="7.125" style="513" customWidth="1"/>
    <col min="3" max="3" width="23.00390625" style="514" customWidth="1"/>
    <col min="4" max="4" width="12.125" style="515" customWidth="1"/>
    <col min="5" max="5" width="12.25390625" style="515" customWidth="1"/>
    <col min="6" max="6" width="5.125" style="515" customWidth="1"/>
    <col min="7" max="7" width="12.125" style="516" customWidth="1"/>
    <col min="8" max="8" width="12.625" style="515" customWidth="1"/>
    <col min="9" max="9" width="5.625" style="516" customWidth="1"/>
    <col min="10" max="10" width="10.25390625" style="516" customWidth="1"/>
    <col min="11" max="11" width="15.875" style="515" customWidth="1"/>
    <col min="12" max="16384" width="9.125" style="515" customWidth="1"/>
  </cols>
  <sheetData>
    <row r="1" spans="8:9" ht="15.75" customHeight="1">
      <c r="H1" s="1466" t="s">
        <v>855</v>
      </c>
      <c r="I1" s="1466"/>
    </row>
    <row r="2" spans="8:9" ht="22.5" customHeight="1">
      <c r="H2" s="517"/>
      <c r="I2" s="517"/>
    </row>
    <row r="3" spans="1:9" ht="18.75" customHeight="1">
      <c r="A3" s="1479" t="s">
        <v>197</v>
      </c>
      <c r="B3" s="1479"/>
      <c r="C3" s="1479"/>
      <c r="D3" s="1479"/>
      <c r="E3" s="1479"/>
      <c r="F3" s="1479"/>
      <c r="G3" s="1479"/>
      <c r="H3" s="1479"/>
      <c r="I3" s="1479"/>
    </row>
    <row r="4" spans="8:9" ht="12.75" customHeight="1" thickBot="1">
      <c r="H4" s="1469" t="s">
        <v>1426</v>
      </c>
      <c r="I4" s="1469"/>
    </row>
    <row r="5" spans="1:10" s="518" customFormat="1" ht="20.25" customHeight="1">
      <c r="A5" s="1473" t="s">
        <v>254</v>
      </c>
      <c r="B5" s="1475" t="s">
        <v>1427</v>
      </c>
      <c r="C5" s="1477" t="s">
        <v>255</v>
      </c>
      <c r="D5" s="1470" t="s">
        <v>1344</v>
      </c>
      <c r="E5" s="1471"/>
      <c r="F5" s="1471"/>
      <c r="G5" s="1470" t="s">
        <v>1345</v>
      </c>
      <c r="H5" s="1471"/>
      <c r="I5" s="1472"/>
      <c r="J5" s="517"/>
    </row>
    <row r="6" spans="1:10" s="519" customFormat="1" ht="18.75" customHeight="1">
      <c r="A6" s="1474"/>
      <c r="B6" s="1476"/>
      <c r="C6" s="1478"/>
      <c r="D6" s="311" t="s">
        <v>1429</v>
      </c>
      <c r="E6" s="311" t="s">
        <v>1430</v>
      </c>
      <c r="F6" s="311" t="s">
        <v>1431</v>
      </c>
      <c r="G6" s="311" t="s">
        <v>331</v>
      </c>
      <c r="H6" s="311" t="s">
        <v>332</v>
      </c>
      <c r="I6" s="397" t="s">
        <v>1431</v>
      </c>
      <c r="J6" s="517"/>
    </row>
    <row r="7" spans="1:11" s="522" customFormat="1" ht="13.5" thickBot="1">
      <c r="A7" s="166">
        <v>1</v>
      </c>
      <c r="B7" s="167">
        <v>2</v>
      </c>
      <c r="C7" s="520">
        <v>3</v>
      </c>
      <c r="D7" s="169">
        <v>4</v>
      </c>
      <c r="E7" s="169">
        <v>5</v>
      </c>
      <c r="F7" s="169">
        <v>6</v>
      </c>
      <c r="G7" s="169">
        <v>7</v>
      </c>
      <c r="H7" s="169">
        <v>8</v>
      </c>
      <c r="I7" s="313">
        <v>9</v>
      </c>
      <c r="J7" s="517" t="s">
        <v>571</v>
      </c>
      <c r="K7" s="521" t="s">
        <v>1356</v>
      </c>
    </row>
    <row r="8" spans="1:10" s="519" customFormat="1" ht="22.5" customHeight="1">
      <c r="A8" s="523" t="s">
        <v>1432</v>
      </c>
      <c r="B8" s="524"/>
      <c r="C8" s="525" t="s">
        <v>891</v>
      </c>
      <c r="D8" s="526">
        <f>SUM(D9)</f>
        <v>34997.92</v>
      </c>
      <c r="E8" s="526">
        <f>SUM(E9)</f>
        <v>34997.92</v>
      </c>
      <c r="F8" s="527">
        <f aca="true" t="shared" si="0" ref="F8:F54">E8/D8*100</f>
        <v>100</v>
      </c>
      <c r="G8" s="528">
        <f>SUM(G9)</f>
        <v>34997.92</v>
      </c>
      <c r="H8" s="528">
        <f>SUM(H9)</f>
        <v>34997.92</v>
      </c>
      <c r="I8" s="529">
        <f>H8/G8*100</f>
        <v>100</v>
      </c>
      <c r="J8" s="517"/>
    </row>
    <row r="9" spans="1:10" s="538" customFormat="1" ht="19.5" customHeight="1">
      <c r="A9" s="530"/>
      <c r="B9" s="531" t="s">
        <v>896</v>
      </c>
      <c r="C9" s="532" t="s">
        <v>1433</v>
      </c>
      <c r="D9" s="533">
        <f>SUM(6D!E10)</f>
        <v>34997.92</v>
      </c>
      <c r="E9" s="533">
        <f>SUM(6D!F10)</f>
        <v>34997.92</v>
      </c>
      <c r="F9" s="534">
        <f t="shared" si="0"/>
        <v>100</v>
      </c>
      <c r="G9" s="535">
        <f>D9</f>
        <v>34997.92</v>
      </c>
      <c r="H9" s="535">
        <f>SUM('13DiW zlecone'!D13)</f>
        <v>34997.92</v>
      </c>
      <c r="I9" s="536">
        <f>H9/G9*100</f>
        <v>100</v>
      </c>
      <c r="J9" s="537">
        <f>G9-H9</f>
        <v>0</v>
      </c>
    </row>
    <row r="10" spans="1:10" s="522" customFormat="1" ht="20.25" customHeight="1" hidden="1">
      <c r="A10" s="539" t="s">
        <v>67</v>
      </c>
      <c r="B10" s="540"/>
      <c r="C10" s="541" t="s">
        <v>68</v>
      </c>
      <c r="D10" s="542">
        <f>SUM(D11)</f>
        <v>0</v>
      </c>
      <c r="E10" s="542">
        <f>SUM(E11)</f>
        <v>0</v>
      </c>
      <c r="F10" s="527" t="e">
        <f t="shared" si="0"/>
        <v>#DIV/0!</v>
      </c>
      <c r="G10" s="543">
        <f>SUM(G11)</f>
        <v>0</v>
      </c>
      <c r="H10" s="543">
        <f>SUM(H11)</f>
        <v>0</v>
      </c>
      <c r="I10" s="529" t="e">
        <f>H10/G10*100</f>
        <v>#DIV/0!</v>
      </c>
      <c r="J10" s="537"/>
    </row>
    <row r="11" spans="1:11" s="538" customFormat="1" ht="51.75" customHeight="1" hidden="1">
      <c r="A11" s="530"/>
      <c r="B11" s="531" t="s">
        <v>69</v>
      </c>
      <c r="C11" s="532" t="s">
        <v>127</v>
      </c>
      <c r="D11" s="533">
        <f>SUM(6D!E335,6D!E337)</f>
        <v>0</v>
      </c>
      <c r="E11" s="533">
        <f>SUM(6D!F335,6D!F337)</f>
        <v>0</v>
      </c>
      <c r="F11" s="534" t="e">
        <f t="shared" si="0"/>
        <v>#DIV/0!</v>
      </c>
      <c r="G11" s="544">
        <f>D11</f>
        <v>0</v>
      </c>
      <c r="H11" s="544"/>
      <c r="I11" s="536" t="e">
        <f>H11/G11*100</f>
        <v>#DIV/0!</v>
      </c>
      <c r="J11" s="537">
        <f>G11-H11</f>
        <v>0</v>
      </c>
      <c r="K11" s="545"/>
    </row>
    <row r="12" spans="1:10" s="522" customFormat="1" ht="30.75" customHeight="1">
      <c r="A12" s="539" t="s">
        <v>74</v>
      </c>
      <c r="B12" s="540"/>
      <c r="C12" s="541" t="s">
        <v>75</v>
      </c>
      <c r="D12" s="542">
        <f>SUM(D13)</f>
        <v>79000</v>
      </c>
      <c r="E12" s="542">
        <f>SUM(E13)</f>
        <v>74104.45000000001</v>
      </c>
      <c r="F12" s="527">
        <f t="shared" si="0"/>
        <v>93.8031012658228</v>
      </c>
      <c r="G12" s="543">
        <f>SUM(G13)</f>
        <v>79000</v>
      </c>
      <c r="H12" s="543">
        <f>SUM(H13)</f>
        <v>74104.45000000001</v>
      </c>
      <c r="I12" s="529">
        <f>H12/G12*100</f>
        <v>93.8031012658228</v>
      </c>
      <c r="J12" s="537"/>
    </row>
    <row r="13" spans="1:10" ht="29.25" customHeight="1">
      <c r="A13" s="546"/>
      <c r="B13" s="547" t="s">
        <v>76</v>
      </c>
      <c r="C13" s="548" t="s">
        <v>77</v>
      </c>
      <c r="D13" s="549">
        <f>SUM(6D!E66,6D!E340,6D!E341)</f>
        <v>79000</v>
      </c>
      <c r="E13" s="549">
        <f>SUM(6D!F66,6D!F340,6D!F341)</f>
        <v>74104.45000000001</v>
      </c>
      <c r="F13" s="534">
        <f t="shared" si="0"/>
        <v>93.8031012658228</v>
      </c>
      <c r="G13" s="544">
        <f>D13</f>
        <v>79000</v>
      </c>
      <c r="H13" s="544">
        <f>SUM('13DiW zlecone'!D41)+'14DiW porozumienia'!D13</f>
        <v>74104.45000000001</v>
      </c>
      <c r="I13" s="550">
        <f aca="true" t="shared" si="1" ref="I13:I44">H13/G13*100</f>
        <v>93.8031012658228</v>
      </c>
      <c r="J13" s="537">
        <f aca="true" t="shared" si="2" ref="J13:J57">G13-H13</f>
        <v>4895.549999999988</v>
      </c>
    </row>
    <row r="14" spans="1:10" s="518" customFormat="1" ht="23.25" customHeight="1">
      <c r="A14" s="551" t="s">
        <v>78</v>
      </c>
      <c r="B14" s="552"/>
      <c r="C14" s="553" t="s">
        <v>79</v>
      </c>
      <c r="D14" s="554">
        <f>SUM(D15,D16,D17)</f>
        <v>493780</v>
      </c>
      <c r="E14" s="554">
        <f>SUM(E15,E16,E17)</f>
        <v>493774.77</v>
      </c>
      <c r="F14" s="527">
        <f t="shared" si="0"/>
        <v>99.99894082384868</v>
      </c>
      <c r="G14" s="543">
        <f>SUM(G15,G16,G17)</f>
        <v>493780</v>
      </c>
      <c r="H14" s="543">
        <f>SUM(H15,H16,H17)</f>
        <v>493774.77</v>
      </c>
      <c r="I14" s="555">
        <f t="shared" si="1"/>
        <v>99.99894082384868</v>
      </c>
      <c r="J14" s="537"/>
    </row>
    <row r="15" spans="1:10" ht="39" customHeight="1">
      <c r="A15" s="546"/>
      <c r="B15" s="547" t="s">
        <v>80</v>
      </c>
      <c r="C15" s="548" t="s">
        <v>387</v>
      </c>
      <c r="D15" s="549">
        <f>SUM(6D!E344)</f>
        <v>121197</v>
      </c>
      <c r="E15" s="549">
        <f>SUM(6D!F344)</f>
        <v>121197</v>
      </c>
      <c r="F15" s="534">
        <f t="shared" si="0"/>
        <v>100</v>
      </c>
      <c r="G15" s="544">
        <f>D15</f>
        <v>121197</v>
      </c>
      <c r="H15" s="544">
        <f>SUM('13DiW zlecone'!D43)</f>
        <v>121197</v>
      </c>
      <c r="I15" s="550">
        <f t="shared" si="1"/>
        <v>100</v>
      </c>
      <c r="J15" s="537">
        <f t="shared" si="2"/>
        <v>0</v>
      </c>
    </row>
    <row r="16" spans="1:10" ht="30" customHeight="1">
      <c r="A16" s="546"/>
      <c r="B16" s="547" t="s">
        <v>81</v>
      </c>
      <c r="C16" s="548" t="s">
        <v>82</v>
      </c>
      <c r="D16" s="549">
        <f>SUM(6D!E347)</f>
        <v>11000</v>
      </c>
      <c r="E16" s="549">
        <f>SUM(6D!F347)</f>
        <v>11000</v>
      </c>
      <c r="F16" s="534">
        <f t="shared" si="0"/>
        <v>100</v>
      </c>
      <c r="G16" s="544">
        <f>D16</f>
        <v>11000</v>
      </c>
      <c r="H16" s="544">
        <f>SUM('13DiW zlecone'!D45)</f>
        <v>11000</v>
      </c>
      <c r="I16" s="550">
        <f t="shared" si="1"/>
        <v>100</v>
      </c>
      <c r="J16" s="537">
        <f t="shared" si="2"/>
        <v>0</v>
      </c>
    </row>
    <row r="17" spans="1:10" ht="19.5" customHeight="1">
      <c r="A17" s="546"/>
      <c r="B17" s="547" t="s">
        <v>83</v>
      </c>
      <c r="C17" s="556" t="s">
        <v>87</v>
      </c>
      <c r="D17" s="549">
        <f>SUM(6D!E349)</f>
        <v>361583</v>
      </c>
      <c r="E17" s="549">
        <f>SUM(6D!F349)</f>
        <v>361577.77</v>
      </c>
      <c r="F17" s="534">
        <f t="shared" si="0"/>
        <v>99.99855358244166</v>
      </c>
      <c r="G17" s="544">
        <f>D17</f>
        <v>361583</v>
      </c>
      <c r="H17" s="544">
        <f>SUM('13DiW zlecone'!D47)</f>
        <v>361577.77</v>
      </c>
      <c r="I17" s="550">
        <f t="shared" si="1"/>
        <v>99.99855358244166</v>
      </c>
      <c r="J17" s="537">
        <f t="shared" si="2"/>
        <v>5.2299999999813735</v>
      </c>
    </row>
    <row r="18" spans="1:10" s="518" customFormat="1" ht="24.75" customHeight="1">
      <c r="A18" s="551" t="s">
        <v>90</v>
      </c>
      <c r="B18" s="552"/>
      <c r="C18" s="553" t="s">
        <v>91</v>
      </c>
      <c r="D18" s="554">
        <f>SUM(D19,D20,D21)</f>
        <v>481495</v>
      </c>
      <c r="E18" s="554">
        <f>SUM(E19,E20,E21)</f>
        <v>481482.04000000004</v>
      </c>
      <c r="F18" s="527">
        <f t="shared" si="0"/>
        <v>99.99730838326462</v>
      </c>
      <c r="G18" s="543">
        <f>SUM(G19,G20,G21)</f>
        <v>481495</v>
      </c>
      <c r="H18" s="543">
        <f>SUM(H19,H20,H21)</f>
        <v>481482.04000000004</v>
      </c>
      <c r="I18" s="555">
        <f t="shared" si="1"/>
        <v>99.99730838326462</v>
      </c>
      <c r="J18" s="537"/>
    </row>
    <row r="19" spans="1:10" ht="21" customHeight="1">
      <c r="A19" s="546"/>
      <c r="B19" s="547" t="s">
        <v>92</v>
      </c>
      <c r="C19" s="556" t="s">
        <v>98</v>
      </c>
      <c r="D19" s="549">
        <f>SUM(6D!E82,6D!E352)</f>
        <v>451800</v>
      </c>
      <c r="E19" s="549">
        <f>SUM(6D!F82,6D!F352)</f>
        <v>451799.29000000004</v>
      </c>
      <c r="F19" s="534">
        <f t="shared" si="0"/>
        <v>99.99984285081895</v>
      </c>
      <c r="G19" s="544">
        <f>D19</f>
        <v>451800</v>
      </c>
      <c r="H19" s="544">
        <f>SUM('13DiW zlecone'!D15,'13DiW zlecone'!D49)</f>
        <v>451799.29000000004</v>
      </c>
      <c r="I19" s="550">
        <f t="shared" si="1"/>
        <v>99.99984285081895</v>
      </c>
      <c r="J19" s="537">
        <f t="shared" si="2"/>
        <v>0.7099999999627471</v>
      </c>
    </row>
    <row r="20" spans="1:10" ht="21" customHeight="1">
      <c r="A20" s="546"/>
      <c r="B20" s="547" t="s">
        <v>102</v>
      </c>
      <c r="C20" s="556" t="s">
        <v>957</v>
      </c>
      <c r="D20" s="549">
        <f>SUM(6D!E359,6D!E360)</f>
        <v>20748</v>
      </c>
      <c r="E20" s="549">
        <f>SUM(6D!F359,6D!F360)</f>
        <v>20747.74</v>
      </c>
      <c r="F20" s="534">
        <f t="shared" si="0"/>
        <v>99.99874686716794</v>
      </c>
      <c r="G20" s="544">
        <f>D20</f>
        <v>20748</v>
      </c>
      <c r="H20" s="544">
        <f>SUM('13DiW zlecone'!D51)+'14DiW porozumienia'!D21</f>
        <v>20747.739999999998</v>
      </c>
      <c r="I20" s="550">
        <f t="shared" si="1"/>
        <v>99.99874686716791</v>
      </c>
      <c r="J20" s="537">
        <f t="shared" si="2"/>
        <v>0.26000000000203727</v>
      </c>
    </row>
    <row r="21" spans="1:10" ht="21" customHeight="1">
      <c r="A21" s="546"/>
      <c r="B21" s="547" t="s">
        <v>58</v>
      </c>
      <c r="C21" s="225" t="s">
        <v>59</v>
      </c>
      <c r="D21" s="549">
        <f>6D!E93</f>
        <v>8947</v>
      </c>
      <c r="E21" s="549">
        <f>6D!F93</f>
        <v>8935.01</v>
      </c>
      <c r="F21" s="534">
        <f t="shared" si="0"/>
        <v>99.86598859953058</v>
      </c>
      <c r="G21" s="544">
        <f>D21</f>
        <v>8947</v>
      </c>
      <c r="H21" s="544">
        <f>SUM('13DiW zlecone'!D17)</f>
        <v>8935.01</v>
      </c>
      <c r="I21" s="550">
        <f t="shared" si="1"/>
        <v>99.86598859953058</v>
      </c>
      <c r="J21" s="537"/>
    </row>
    <row r="22" spans="1:10" s="518" customFormat="1" ht="63" customHeight="1">
      <c r="A22" s="551" t="s">
        <v>333</v>
      </c>
      <c r="B22" s="552"/>
      <c r="C22" s="553" t="s">
        <v>104</v>
      </c>
      <c r="D22" s="554">
        <f>SUM(D23,D24,D25)</f>
        <v>214078</v>
      </c>
      <c r="E22" s="554">
        <f>SUM(E23,E24,E25)</f>
        <v>167192.83000000002</v>
      </c>
      <c r="F22" s="527">
        <f t="shared" si="0"/>
        <v>78.09902465456517</v>
      </c>
      <c r="G22" s="543">
        <f>SUM(G23,G24,G25)</f>
        <v>214078</v>
      </c>
      <c r="H22" s="543">
        <f>SUM(H23,H24,H25)</f>
        <v>167192.83000000002</v>
      </c>
      <c r="I22" s="555">
        <f t="shared" si="1"/>
        <v>78.09902465456517</v>
      </c>
      <c r="J22" s="537"/>
    </row>
    <row r="23" spans="1:10" ht="44.25" customHeight="1">
      <c r="A23" s="557"/>
      <c r="B23" s="558" t="s">
        <v>275</v>
      </c>
      <c r="C23" s="548" t="s">
        <v>277</v>
      </c>
      <c r="D23" s="549">
        <f>SUM(6D!E108)</f>
        <v>6960</v>
      </c>
      <c r="E23" s="549">
        <f>SUM(6D!F108)</f>
        <v>6957.97</v>
      </c>
      <c r="F23" s="534">
        <f t="shared" si="0"/>
        <v>99.97083333333335</v>
      </c>
      <c r="G23" s="544">
        <f>D23</f>
        <v>6960</v>
      </c>
      <c r="H23" s="544">
        <f>SUM('13DiW zlecone'!D19)</f>
        <v>6957.97</v>
      </c>
      <c r="I23" s="550">
        <f t="shared" si="1"/>
        <v>99.97083333333335</v>
      </c>
      <c r="J23" s="537">
        <f t="shared" si="2"/>
        <v>2.0299999999997453</v>
      </c>
    </row>
    <row r="24" spans="1:10" ht="31.5" customHeight="1">
      <c r="A24" s="557"/>
      <c r="B24" s="558" t="s">
        <v>634</v>
      </c>
      <c r="C24" s="559" t="s">
        <v>635</v>
      </c>
      <c r="D24" s="549">
        <f>6D!E110</f>
        <v>92515</v>
      </c>
      <c r="E24" s="549">
        <f>6D!F110</f>
        <v>91566.69</v>
      </c>
      <c r="F24" s="560">
        <f>E24/D24*100</f>
        <v>98.97496622169378</v>
      </c>
      <c r="G24" s="544">
        <f>D24</f>
        <v>92515</v>
      </c>
      <c r="H24" s="544">
        <f>SUM('13DiW zlecone'!D21)</f>
        <v>91566.69</v>
      </c>
      <c r="I24" s="550">
        <f>H24/G24*100</f>
        <v>98.97496622169378</v>
      </c>
      <c r="J24" s="537">
        <f>G24-H24</f>
        <v>948.3099999999977</v>
      </c>
    </row>
    <row r="25" spans="1:10" ht="89.25" customHeight="1">
      <c r="A25" s="561"/>
      <c r="B25" s="562" t="s">
        <v>60</v>
      </c>
      <c r="C25" s="225" t="s">
        <v>61</v>
      </c>
      <c r="D25" s="533">
        <f>6D!E112</f>
        <v>114603</v>
      </c>
      <c r="E25" s="533">
        <f>6D!F112</f>
        <v>68668.17</v>
      </c>
      <c r="F25" s="560">
        <f>E25/D25*100</f>
        <v>59.918300568047954</v>
      </c>
      <c r="G25" s="544">
        <f>D25</f>
        <v>114603</v>
      </c>
      <c r="H25" s="535">
        <f>SUM('13DiW zlecone'!D23)</f>
        <v>68668.17</v>
      </c>
      <c r="I25" s="550">
        <f>H25/G25*100</f>
        <v>59.918300568047954</v>
      </c>
      <c r="J25" s="537"/>
    </row>
    <row r="26" spans="1:10" s="518" customFormat="1" ht="42" customHeight="1">
      <c r="A26" s="563" t="s">
        <v>105</v>
      </c>
      <c r="B26" s="564"/>
      <c r="C26" s="553" t="s">
        <v>211</v>
      </c>
      <c r="D26" s="554">
        <f>SUM(D27,D28,D29)</f>
        <v>3880436</v>
      </c>
      <c r="E26" s="554">
        <f>SUM(E27,E28,E29)</f>
        <v>3880400.98</v>
      </c>
      <c r="F26" s="527">
        <f t="shared" si="0"/>
        <v>99.99909752409265</v>
      </c>
      <c r="G26" s="543">
        <f>SUM(G27,G28,G29)</f>
        <v>3880436</v>
      </c>
      <c r="H26" s="543">
        <f>SUM(H27,H28,H29)</f>
        <v>3880400.98</v>
      </c>
      <c r="I26" s="555">
        <f t="shared" si="1"/>
        <v>99.99909752409265</v>
      </c>
      <c r="J26" s="537"/>
    </row>
    <row r="27" spans="1:10" ht="30" customHeight="1">
      <c r="A27" s="557"/>
      <c r="B27" s="558" t="s">
        <v>106</v>
      </c>
      <c r="C27" s="548" t="s">
        <v>403</v>
      </c>
      <c r="D27" s="549">
        <f>SUM(6D!E363,6D!E364)</f>
        <v>3865536</v>
      </c>
      <c r="E27" s="549">
        <f>SUM(6D!F363,6D!F364)</f>
        <v>3865527.47</v>
      </c>
      <c r="F27" s="534">
        <f t="shared" si="0"/>
        <v>99.99977933202537</v>
      </c>
      <c r="G27" s="544">
        <f>D27</f>
        <v>3865536</v>
      </c>
      <c r="H27" s="544">
        <f>SUM('13DiW zlecone'!D53)</f>
        <v>3865527.47</v>
      </c>
      <c r="I27" s="550">
        <f t="shared" si="1"/>
        <v>99.99977933202537</v>
      </c>
      <c r="J27" s="537">
        <f t="shared" si="2"/>
        <v>8.529999999795109</v>
      </c>
    </row>
    <row r="28" spans="1:10" ht="20.25" customHeight="1">
      <c r="A28" s="546"/>
      <c r="B28" s="547" t="s">
        <v>107</v>
      </c>
      <c r="C28" s="556" t="s">
        <v>108</v>
      </c>
      <c r="D28" s="549">
        <f>SUM(6D!E117)</f>
        <v>10000</v>
      </c>
      <c r="E28" s="549">
        <f>SUM(6D!F117)</f>
        <v>9973.51</v>
      </c>
      <c r="F28" s="560">
        <f t="shared" si="0"/>
        <v>99.7351</v>
      </c>
      <c r="G28" s="544">
        <f>D28</f>
        <v>10000</v>
      </c>
      <c r="H28" s="544">
        <f>SUM('13DiW zlecone'!D25)</f>
        <v>9973.51</v>
      </c>
      <c r="I28" s="550">
        <f t="shared" si="1"/>
        <v>99.7351</v>
      </c>
      <c r="J28" s="537">
        <f t="shared" si="2"/>
        <v>26.48999999999978</v>
      </c>
    </row>
    <row r="29" spans="1:10" ht="24.75" customHeight="1">
      <c r="A29" s="546"/>
      <c r="B29" s="547" t="s">
        <v>930</v>
      </c>
      <c r="C29" s="548" t="s">
        <v>931</v>
      </c>
      <c r="D29" s="549">
        <f>6D!E366</f>
        <v>4900</v>
      </c>
      <c r="E29" s="549">
        <f>6D!F366</f>
        <v>4900</v>
      </c>
      <c r="F29" s="560">
        <f t="shared" si="0"/>
        <v>100</v>
      </c>
      <c r="G29" s="544">
        <f>D29</f>
        <v>4900</v>
      </c>
      <c r="H29" s="544">
        <f>SUM('13DiW zlecone'!D55)</f>
        <v>4900</v>
      </c>
      <c r="I29" s="550">
        <f t="shared" si="1"/>
        <v>100</v>
      </c>
      <c r="J29" s="537"/>
    </row>
    <row r="30" spans="1:10" s="518" customFormat="1" ht="21.75" customHeight="1">
      <c r="A30" s="551" t="s">
        <v>112</v>
      </c>
      <c r="B30" s="552"/>
      <c r="C30" s="565" t="s">
        <v>113</v>
      </c>
      <c r="D30" s="554">
        <f>SUM(D31,D32)</f>
        <v>5288</v>
      </c>
      <c r="E30" s="554">
        <f>SUM(E31,E32)</f>
        <v>4736.51</v>
      </c>
      <c r="F30" s="527">
        <f t="shared" si="0"/>
        <v>89.57091527987897</v>
      </c>
      <c r="G30" s="543">
        <f>SUM(G31,G32)</f>
        <v>5288</v>
      </c>
      <c r="H30" s="543">
        <f>SUM(H31,H32)</f>
        <v>4736.51</v>
      </c>
      <c r="I30" s="555">
        <f t="shared" si="1"/>
        <v>89.57091527987897</v>
      </c>
      <c r="J30" s="537"/>
    </row>
    <row r="31" spans="1:10" ht="20.25" customHeight="1" hidden="1">
      <c r="A31" s="546"/>
      <c r="B31" s="547" t="s">
        <v>114</v>
      </c>
      <c r="C31" s="556" t="s">
        <v>115</v>
      </c>
      <c r="D31" s="549">
        <f>SUM(6D!E178)</f>
        <v>0</v>
      </c>
      <c r="E31" s="549">
        <f>SUM(6D!F178)</f>
        <v>0</v>
      </c>
      <c r="F31" s="534" t="e">
        <f t="shared" si="0"/>
        <v>#DIV/0!</v>
      </c>
      <c r="G31" s="544">
        <f>D31</f>
        <v>0</v>
      </c>
      <c r="H31" s="544"/>
      <c r="I31" s="550" t="e">
        <f t="shared" si="1"/>
        <v>#DIV/0!</v>
      </c>
      <c r="J31" s="537">
        <f t="shared" si="2"/>
        <v>0</v>
      </c>
    </row>
    <row r="32" spans="1:10" ht="20.25" customHeight="1">
      <c r="A32" s="546"/>
      <c r="B32" s="547" t="s">
        <v>980</v>
      </c>
      <c r="C32" s="556" t="s">
        <v>1433</v>
      </c>
      <c r="D32" s="549">
        <f>SUM(6D!E191,6D!E192,6D!E193,6D!E195,6D!E391,6D!E392)</f>
        <v>5288</v>
      </c>
      <c r="E32" s="549">
        <f>SUM(6D!F191,6D!F192,6D!F193,6D!F195,6D!F391,6D!F392)</f>
        <v>4736.51</v>
      </c>
      <c r="F32" s="534">
        <f t="shared" si="0"/>
        <v>89.57091527987897</v>
      </c>
      <c r="G32" s="544">
        <f>D32</f>
        <v>5288</v>
      </c>
      <c r="H32" s="544">
        <f>SUM('14DiW porozumienia'!D15)+1288</f>
        <v>4736.51</v>
      </c>
      <c r="I32" s="550">
        <f t="shared" si="1"/>
        <v>89.57091527987897</v>
      </c>
      <c r="J32" s="537">
        <f t="shared" si="2"/>
        <v>551.4899999999998</v>
      </c>
    </row>
    <row r="33" spans="1:10" s="518" customFormat="1" ht="20.25" customHeight="1">
      <c r="A33" s="551" t="s">
        <v>121</v>
      </c>
      <c r="B33" s="552"/>
      <c r="C33" s="566" t="s">
        <v>122</v>
      </c>
      <c r="D33" s="554">
        <f>SUM(D34,D35)</f>
        <v>917000</v>
      </c>
      <c r="E33" s="554">
        <f>SUM(E34,E35)</f>
        <v>852359.43</v>
      </c>
      <c r="F33" s="527">
        <f t="shared" si="0"/>
        <v>92.95086477644493</v>
      </c>
      <c r="G33" s="543">
        <f>SUM(G34,G35)</f>
        <v>917000</v>
      </c>
      <c r="H33" s="543">
        <f>SUM(H34,H35)</f>
        <v>852359.43</v>
      </c>
      <c r="I33" s="555">
        <f t="shared" si="1"/>
        <v>92.95086477644493</v>
      </c>
      <c r="J33" s="537"/>
    </row>
    <row r="34" spans="1:10" ht="52.5" customHeight="1">
      <c r="A34" s="557"/>
      <c r="B34" s="558" t="s">
        <v>324</v>
      </c>
      <c r="C34" s="548" t="s">
        <v>888</v>
      </c>
      <c r="D34" s="549">
        <f>SUM(6D!E397)</f>
        <v>903000</v>
      </c>
      <c r="E34" s="549">
        <f>SUM(6D!F397)</f>
        <v>843266.01</v>
      </c>
      <c r="F34" s="534">
        <f t="shared" si="0"/>
        <v>93.38494019933556</v>
      </c>
      <c r="G34" s="544">
        <f>D34</f>
        <v>903000</v>
      </c>
      <c r="H34" s="544">
        <f>SUM('13DiW zlecone'!D57)</f>
        <v>843266.01</v>
      </c>
      <c r="I34" s="550">
        <f t="shared" si="1"/>
        <v>93.38494019933556</v>
      </c>
      <c r="J34" s="537">
        <f t="shared" si="2"/>
        <v>59733.98999999999</v>
      </c>
    </row>
    <row r="35" spans="1:10" ht="21" customHeight="1">
      <c r="A35" s="557"/>
      <c r="B35" s="558" t="s">
        <v>1007</v>
      </c>
      <c r="C35" s="548" t="s">
        <v>1433</v>
      </c>
      <c r="D35" s="549">
        <f>SUM(6D!E206,6D!E207)</f>
        <v>14000</v>
      </c>
      <c r="E35" s="549">
        <f>SUM(6D!F206,6D!F207)</f>
        <v>9093.42</v>
      </c>
      <c r="F35" s="534">
        <f t="shared" si="0"/>
        <v>64.953</v>
      </c>
      <c r="G35" s="544">
        <f>D35</f>
        <v>14000</v>
      </c>
      <c r="H35" s="544">
        <f>SUM('13DiW zlecone'!D27)</f>
        <v>9093.42</v>
      </c>
      <c r="I35" s="550">
        <f t="shared" si="1"/>
        <v>64.953</v>
      </c>
      <c r="J35" s="537">
        <f t="shared" si="2"/>
        <v>4906.58</v>
      </c>
    </row>
    <row r="36" spans="1:10" s="518" customFormat="1" ht="21" customHeight="1">
      <c r="A36" s="567" t="s">
        <v>679</v>
      </c>
      <c r="B36" s="568"/>
      <c r="C36" s="541" t="s">
        <v>690</v>
      </c>
      <c r="D36" s="542">
        <f>SUM(D37,D38,D39,D40,D41,D42,D43,D44,D45,D46,D47)</f>
        <v>8685471</v>
      </c>
      <c r="E36" s="542">
        <f>SUM(E37,E38,E39,E40,E41,E42,E43,E44,E45,E46,E47)</f>
        <v>8627658.559999999</v>
      </c>
      <c r="F36" s="527">
        <f t="shared" si="0"/>
        <v>99.33437760600431</v>
      </c>
      <c r="G36" s="569">
        <f>SUM(G37,G38,G39,G40,G41,G42,G43,G44,G45,G46,G47)</f>
        <v>8685471</v>
      </c>
      <c r="H36" s="569">
        <f>SUM(H37,H38,H39,H40,H41,H42,H43,H44,H45,H46,H47)</f>
        <v>8627658.560000002</v>
      </c>
      <c r="I36" s="529">
        <f t="shared" si="1"/>
        <v>99.33437760600435</v>
      </c>
      <c r="J36" s="537"/>
    </row>
    <row r="37" spans="1:10" ht="19.5" customHeight="1">
      <c r="A37" s="561"/>
      <c r="B37" s="562" t="s">
        <v>691</v>
      </c>
      <c r="C37" s="532" t="s">
        <v>382</v>
      </c>
      <c r="D37" s="533">
        <f>SUM(6D!E217,6D!E403)</f>
        <v>129007</v>
      </c>
      <c r="E37" s="533">
        <f>SUM(6D!F217,6D!F403)</f>
        <v>125273</v>
      </c>
      <c r="F37" s="534">
        <f t="shared" si="0"/>
        <v>97.10558341795407</v>
      </c>
      <c r="G37" s="535">
        <f aca="true" t="shared" si="3" ref="G37:G47">D37</f>
        <v>129007</v>
      </c>
      <c r="H37" s="535">
        <f>SUM('13DiW zlecone'!D29)</f>
        <v>125273</v>
      </c>
      <c r="I37" s="536">
        <f t="shared" si="1"/>
        <v>97.10558341795407</v>
      </c>
      <c r="J37" s="537">
        <f t="shared" si="2"/>
        <v>3734</v>
      </c>
    </row>
    <row r="38" spans="1:10" ht="46.5" customHeight="1">
      <c r="A38" s="561"/>
      <c r="B38" s="562" t="s">
        <v>647</v>
      </c>
      <c r="C38" s="570" t="s">
        <v>493</v>
      </c>
      <c r="D38" s="533">
        <f>SUM(6D!E408)</f>
        <v>321000</v>
      </c>
      <c r="E38" s="533">
        <f>SUM(6D!F408)</f>
        <v>294097.77</v>
      </c>
      <c r="F38" s="534">
        <f t="shared" si="0"/>
        <v>91.61924299065421</v>
      </c>
      <c r="G38" s="535">
        <f t="shared" si="3"/>
        <v>321000</v>
      </c>
      <c r="H38" s="535">
        <f>SUM('13DiW zlecone'!D59)</f>
        <v>294097.77</v>
      </c>
      <c r="I38" s="536">
        <f t="shared" si="1"/>
        <v>91.61924299065421</v>
      </c>
      <c r="J38" s="537"/>
    </row>
    <row r="39" spans="1:10" ht="78.75" customHeight="1">
      <c r="A39" s="557"/>
      <c r="B39" s="558" t="s">
        <v>681</v>
      </c>
      <c r="C39" s="571" t="s">
        <v>1056</v>
      </c>
      <c r="D39" s="549">
        <f>SUM(6D!E224)</f>
        <v>5736806</v>
      </c>
      <c r="E39" s="549">
        <f>SUM(6D!F224)</f>
        <v>5725854.35</v>
      </c>
      <c r="F39" s="560">
        <f t="shared" si="0"/>
        <v>99.80909847744546</v>
      </c>
      <c r="G39" s="544">
        <f t="shared" si="3"/>
        <v>5736806</v>
      </c>
      <c r="H39" s="544">
        <f>SUM('13DiW zlecone'!D31)</f>
        <v>5725854.350000001</v>
      </c>
      <c r="I39" s="550">
        <f t="shared" si="1"/>
        <v>99.80909847744547</v>
      </c>
      <c r="J39" s="537">
        <f t="shared" si="2"/>
        <v>10951.649999999441</v>
      </c>
    </row>
    <row r="40" spans="1:10" ht="111.75" customHeight="1">
      <c r="A40" s="561"/>
      <c r="B40" s="562" t="s">
        <v>682</v>
      </c>
      <c r="C40" s="532" t="s">
        <v>799</v>
      </c>
      <c r="D40" s="533">
        <f>SUM(6D!E229,6D!E230)</f>
        <v>91930</v>
      </c>
      <c r="E40" s="533">
        <f>SUM(6D!F229,6D!F230)</f>
        <v>88879.42</v>
      </c>
      <c r="F40" s="534">
        <f t="shared" si="0"/>
        <v>96.68162732513869</v>
      </c>
      <c r="G40" s="535">
        <f t="shared" si="3"/>
        <v>91930</v>
      </c>
      <c r="H40" s="535">
        <f>SUM('13DiW zlecone'!D33)+67065.92</f>
        <v>88879.42</v>
      </c>
      <c r="I40" s="536">
        <f t="shared" si="1"/>
        <v>96.68162732513869</v>
      </c>
      <c r="J40" s="537">
        <f t="shared" si="2"/>
        <v>3050.5800000000017</v>
      </c>
    </row>
    <row r="41" spans="1:10" ht="41.25" customHeight="1">
      <c r="A41" s="557"/>
      <c r="B41" s="558" t="s">
        <v>683</v>
      </c>
      <c r="C41" s="548" t="s">
        <v>880</v>
      </c>
      <c r="D41" s="549">
        <f>SUM(6D!E234,6D!E235)</f>
        <v>305000</v>
      </c>
      <c r="E41" s="549">
        <f>SUM(6D!F234,6D!F235)</f>
        <v>293591.68</v>
      </c>
      <c r="F41" s="534">
        <f t="shared" si="0"/>
        <v>96.25956721311475</v>
      </c>
      <c r="G41" s="544">
        <f t="shared" si="3"/>
        <v>305000</v>
      </c>
      <c r="H41" s="544">
        <v>293591.68</v>
      </c>
      <c r="I41" s="550">
        <f t="shared" si="1"/>
        <v>96.25956721311475</v>
      </c>
      <c r="J41" s="537">
        <f t="shared" si="2"/>
        <v>11408.320000000007</v>
      </c>
    </row>
    <row r="42" spans="1:10" ht="23.25" customHeight="1">
      <c r="A42" s="557"/>
      <c r="B42" s="558" t="s">
        <v>644</v>
      </c>
      <c r="C42" s="572" t="s">
        <v>937</v>
      </c>
      <c r="D42" s="549">
        <f>SUM(6D!E240)</f>
        <v>773000</v>
      </c>
      <c r="E42" s="549">
        <f>SUM(6D!F240)</f>
        <v>772958.98</v>
      </c>
      <c r="F42" s="534">
        <f t="shared" si="0"/>
        <v>99.99469340232858</v>
      </c>
      <c r="G42" s="544">
        <f t="shared" si="3"/>
        <v>773000</v>
      </c>
      <c r="H42" s="544">
        <v>772958.98</v>
      </c>
      <c r="I42" s="550">
        <f t="shared" si="1"/>
        <v>99.99469340232858</v>
      </c>
      <c r="J42" s="537">
        <f t="shared" si="2"/>
        <v>41.02000000001863</v>
      </c>
    </row>
    <row r="43" spans="1:10" ht="26.25" customHeight="1">
      <c r="A43" s="557"/>
      <c r="B43" s="558" t="s">
        <v>1014</v>
      </c>
      <c r="C43" s="573" t="s">
        <v>1015</v>
      </c>
      <c r="D43" s="549">
        <f>SUM(6D!E410)</f>
        <v>8650</v>
      </c>
      <c r="E43" s="549">
        <f>SUM(6D!F410)</f>
        <v>7223.49</v>
      </c>
      <c r="F43" s="534">
        <f t="shared" si="0"/>
        <v>83.5085549132948</v>
      </c>
      <c r="G43" s="544">
        <f t="shared" si="3"/>
        <v>8650</v>
      </c>
      <c r="H43" s="544">
        <v>7223.49</v>
      </c>
      <c r="I43" s="550">
        <f t="shared" si="1"/>
        <v>83.5085549132948</v>
      </c>
      <c r="J43" s="537">
        <f t="shared" si="2"/>
        <v>1426.5100000000002</v>
      </c>
    </row>
    <row r="44" spans="1:10" ht="21" customHeight="1">
      <c r="A44" s="546"/>
      <c r="B44" s="547" t="s">
        <v>685</v>
      </c>
      <c r="C44" s="556" t="s">
        <v>131</v>
      </c>
      <c r="D44" s="549">
        <f>SUM(6D!E244)</f>
        <v>615748</v>
      </c>
      <c r="E44" s="549">
        <f>SUM(6D!F244)</f>
        <v>615747.65</v>
      </c>
      <c r="F44" s="534">
        <f t="shared" si="0"/>
        <v>99.99994315856488</v>
      </c>
      <c r="G44" s="544">
        <f t="shared" si="3"/>
        <v>615748</v>
      </c>
      <c r="H44" s="544">
        <v>615747.65</v>
      </c>
      <c r="I44" s="550">
        <f t="shared" si="1"/>
        <v>99.99994315856488</v>
      </c>
      <c r="J44" s="537">
        <f t="shared" si="2"/>
        <v>0.34999999997671694</v>
      </c>
    </row>
    <row r="45" spans="1:10" ht="54" customHeight="1" hidden="1">
      <c r="A45" s="546"/>
      <c r="B45" s="547" t="s">
        <v>1200</v>
      </c>
      <c r="C45" s="548" t="s">
        <v>1201</v>
      </c>
      <c r="D45" s="549">
        <f>SUM(6D!E412)</f>
        <v>0</v>
      </c>
      <c r="E45" s="549">
        <f>SUM(6D!F412)</f>
        <v>0</v>
      </c>
      <c r="F45" s="534" t="e">
        <f t="shared" si="0"/>
        <v>#DIV/0!</v>
      </c>
      <c r="G45" s="544">
        <f t="shared" si="3"/>
        <v>0</v>
      </c>
      <c r="H45" s="544"/>
      <c r="I45" s="550" t="e">
        <f aca="true" t="shared" si="4" ref="I45:I57">H45/G45*100</f>
        <v>#DIV/0!</v>
      </c>
      <c r="J45" s="537">
        <f t="shared" si="2"/>
        <v>0</v>
      </c>
    </row>
    <row r="46" spans="1:10" ht="39.75" customHeight="1">
      <c r="A46" s="557"/>
      <c r="B46" s="558" t="s">
        <v>687</v>
      </c>
      <c r="C46" s="548" t="s">
        <v>134</v>
      </c>
      <c r="D46" s="549">
        <f>SUM(6D!E248)</f>
        <v>72010</v>
      </c>
      <c r="E46" s="549">
        <f>SUM(6D!F248)</f>
        <v>71717.47</v>
      </c>
      <c r="F46" s="534">
        <f t="shared" si="0"/>
        <v>99.59376475489515</v>
      </c>
      <c r="G46" s="544">
        <f t="shared" si="3"/>
        <v>72010</v>
      </c>
      <c r="H46" s="544">
        <f>SUM('13DiW zlecone'!D37)</f>
        <v>71717.47</v>
      </c>
      <c r="I46" s="550">
        <f t="shared" si="4"/>
        <v>99.59376475489515</v>
      </c>
      <c r="J46" s="537">
        <f t="shared" si="2"/>
        <v>292.52999999999884</v>
      </c>
    </row>
    <row r="47" spans="1:10" ht="21.75" customHeight="1">
      <c r="A47" s="557"/>
      <c r="B47" s="558" t="s">
        <v>689</v>
      </c>
      <c r="C47" s="548" t="s">
        <v>1433</v>
      </c>
      <c r="D47" s="549">
        <f>SUM(6D!E251,6D!E252,6D!E414)</f>
        <v>632320</v>
      </c>
      <c r="E47" s="549">
        <f>SUM(6D!F251,6D!F252,6D!F414)</f>
        <v>632314.75</v>
      </c>
      <c r="F47" s="534">
        <f t="shared" si="0"/>
        <v>99.99916972419028</v>
      </c>
      <c r="G47" s="544">
        <f t="shared" si="3"/>
        <v>632320</v>
      </c>
      <c r="H47" s="544">
        <f>SUM('14DiW porozumienia'!D17,'14DiW porozumienia'!D23)+589920</f>
        <v>632314.75</v>
      </c>
      <c r="I47" s="550">
        <f t="shared" si="4"/>
        <v>99.99916972419028</v>
      </c>
      <c r="J47" s="537">
        <f t="shared" si="2"/>
        <v>5.25</v>
      </c>
    </row>
    <row r="48" spans="1:10" s="518" customFormat="1" ht="37.5" customHeight="1">
      <c r="A48" s="563" t="s">
        <v>125</v>
      </c>
      <c r="B48" s="564"/>
      <c r="C48" s="553" t="s">
        <v>1016</v>
      </c>
      <c r="D48" s="554">
        <f>SUM(D49,D50)</f>
        <v>36000</v>
      </c>
      <c r="E48" s="554">
        <f>SUM(E49,E50)</f>
        <v>36000</v>
      </c>
      <c r="F48" s="527">
        <f t="shared" si="0"/>
        <v>100</v>
      </c>
      <c r="G48" s="543">
        <f>SUM(G49,G50)</f>
        <v>36000</v>
      </c>
      <c r="H48" s="543">
        <f>SUM(H49,H50)</f>
        <v>36000</v>
      </c>
      <c r="I48" s="555">
        <f t="shared" si="4"/>
        <v>100</v>
      </c>
      <c r="J48" s="537"/>
    </row>
    <row r="49" spans="1:10" ht="26.25" customHeight="1">
      <c r="A49" s="557"/>
      <c r="B49" s="558" t="s">
        <v>133</v>
      </c>
      <c r="C49" s="548" t="s">
        <v>431</v>
      </c>
      <c r="D49" s="549">
        <f>SUM(6D!E417)</f>
        <v>36000</v>
      </c>
      <c r="E49" s="549">
        <f>SUM(6D!F417)</f>
        <v>36000</v>
      </c>
      <c r="F49" s="534">
        <f t="shared" si="0"/>
        <v>100</v>
      </c>
      <c r="G49" s="544">
        <f>D49</f>
        <v>36000</v>
      </c>
      <c r="H49" s="544">
        <f>SUM('13DiW zlecone'!D61)</f>
        <v>36000</v>
      </c>
      <c r="I49" s="550">
        <f t="shared" si="4"/>
        <v>100</v>
      </c>
      <c r="J49" s="537">
        <f t="shared" si="2"/>
        <v>0</v>
      </c>
    </row>
    <row r="50" spans="1:10" ht="20.25" customHeight="1" hidden="1">
      <c r="A50" s="557"/>
      <c r="B50" s="558" t="s">
        <v>761</v>
      </c>
      <c r="C50" s="548" t="s">
        <v>762</v>
      </c>
      <c r="D50" s="549">
        <f>6D!E423</f>
        <v>0</v>
      </c>
      <c r="E50" s="549">
        <f>6D!F423</f>
        <v>0</v>
      </c>
      <c r="F50" s="534" t="e">
        <f>E50/D50*100</f>
        <v>#DIV/0!</v>
      </c>
      <c r="G50" s="544">
        <f>D50</f>
        <v>0</v>
      </c>
      <c r="H50" s="544"/>
      <c r="I50" s="550" t="e">
        <f>H50/G50*100</f>
        <v>#DIV/0!</v>
      </c>
      <c r="J50" s="537">
        <f>G50-H50</f>
        <v>0</v>
      </c>
    </row>
    <row r="51" spans="1:10" s="518" customFormat="1" ht="29.25" customHeight="1">
      <c r="A51" s="563" t="s">
        <v>135</v>
      </c>
      <c r="B51" s="564"/>
      <c r="C51" s="553" t="s">
        <v>139</v>
      </c>
      <c r="D51" s="554">
        <f>SUM(D52,D53,D54)</f>
        <v>167809</v>
      </c>
      <c r="E51" s="554">
        <f>SUM(E52,E53,E54)</f>
        <v>97218.36</v>
      </c>
      <c r="F51" s="527">
        <f t="shared" si="0"/>
        <v>57.93393679719204</v>
      </c>
      <c r="G51" s="543">
        <f>SUM(G52,G53,G54)</f>
        <v>167809</v>
      </c>
      <c r="H51" s="543">
        <f>SUM(H52,H53,H54)</f>
        <v>97218.36</v>
      </c>
      <c r="I51" s="555">
        <f t="shared" si="4"/>
        <v>57.93393679719204</v>
      </c>
      <c r="J51" s="537"/>
    </row>
    <row r="52" spans="1:10" ht="37.5" customHeight="1" hidden="1">
      <c r="A52" s="557"/>
      <c r="B52" s="558" t="s">
        <v>141</v>
      </c>
      <c r="C52" s="548" t="s">
        <v>128</v>
      </c>
      <c r="D52" s="549">
        <f>SUM(6D!E431)</f>
        <v>0</v>
      </c>
      <c r="E52" s="549">
        <f>SUM(6D!F431)</f>
        <v>0</v>
      </c>
      <c r="F52" s="534" t="e">
        <f t="shared" si="0"/>
        <v>#DIV/0!</v>
      </c>
      <c r="G52" s="544">
        <f>D52</f>
        <v>0</v>
      </c>
      <c r="H52" s="544">
        <f>E52</f>
        <v>0</v>
      </c>
      <c r="I52" s="550" t="e">
        <f t="shared" si="4"/>
        <v>#DIV/0!</v>
      </c>
      <c r="J52" s="537">
        <f t="shared" si="2"/>
        <v>0</v>
      </c>
    </row>
    <row r="53" spans="1:10" ht="20.25" customHeight="1">
      <c r="A53" s="557"/>
      <c r="B53" s="558" t="s">
        <v>213</v>
      </c>
      <c r="C53" s="548" t="s">
        <v>214</v>
      </c>
      <c r="D53" s="549">
        <f>SUM(6D!E267,6D!E435)</f>
        <v>167809</v>
      </c>
      <c r="E53" s="549">
        <f>SUM(6D!F267,6D!F435)</f>
        <v>97218.36</v>
      </c>
      <c r="F53" s="534">
        <f t="shared" si="0"/>
        <v>57.93393679719204</v>
      </c>
      <c r="G53" s="544">
        <f>D53</f>
        <v>167809</v>
      </c>
      <c r="H53" s="544">
        <v>97218.36</v>
      </c>
      <c r="I53" s="550">
        <f t="shared" si="4"/>
        <v>57.93393679719204</v>
      </c>
      <c r="J53" s="537">
        <f t="shared" si="2"/>
        <v>70590.64</v>
      </c>
    </row>
    <row r="54" spans="1:10" ht="20.25" customHeight="1" hidden="1">
      <c r="A54" s="574"/>
      <c r="B54" s="575" t="s">
        <v>1029</v>
      </c>
      <c r="C54" s="548" t="s">
        <v>1433</v>
      </c>
      <c r="D54" s="576">
        <f>SUM(6D!E441,6D!E442)</f>
        <v>0</v>
      </c>
      <c r="E54" s="576">
        <f>SUM(6D!F441,6D!F442)</f>
        <v>0</v>
      </c>
      <c r="F54" s="534" t="e">
        <f t="shared" si="0"/>
        <v>#DIV/0!</v>
      </c>
      <c r="G54" s="544">
        <f>D54</f>
        <v>0</v>
      </c>
      <c r="H54" s="544">
        <f>E54</f>
        <v>0</v>
      </c>
      <c r="I54" s="550" t="e">
        <f t="shared" si="4"/>
        <v>#DIV/0!</v>
      </c>
      <c r="J54" s="537">
        <f t="shared" si="2"/>
        <v>0</v>
      </c>
    </row>
    <row r="55" spans="1:10" s="518" customFormat="1" ht="26.25" customHeight="1" hidden="1">
      <c r="A55" s="563" t="s">
        <v>245</v>
      </c>
      <c r="B55" s="564"/>
      <c r="C55" s="553" t="s">
        <v>246</v>
      </c>
      <c r="D55" s="554">
        <f>SUM(D56)</f>
        <v>0</v>
      </c>
      <c r="E55" s="554">
        <f>SUM(E56)</f>
        <v>0</v>
      </c>
      <c r="F55" s="527" t="e">
        <f>E55/D55*100</f>
        <v>#DIV/0!</v>
      </c>
      <c r="G55" s="543">
        <f>SUM(G56)</f>
        <v>0</v>
      </c>
      <c r="H55" s="543">
        <f>SUM(H56)</f>
        <v>0</v>
      </c>
      <c r="I55" s="555" t="e">
        <f>H55/G55*100</f>
        <v>#DIV/0!</v>
      </c>
      <c r="J55" s="537"/>
    </row>
    <row r="56" spans="1:10" ht="21" customHeight="1" hidden="1">
      <c r="A56" s="557"/>
      <c r="B56" s="558" t="s">
        <v>250</v>
      </c>
      <c r="C56" s="548" t="s">
        <v>251</v>
      </c>
      <c r="D56" s="549">
        <f>SUM(6D!E311)</f>
        <v>0</v>
      </c>
      <c r="E56" s="549">
        <f>SUM(6D!F311)</f>
        <v>0</v>
      </c>
      <c r="F56" s="534" t="e">
        <f>E56/D56*100</f>
        <v>#DIV/0!</v>
      </c>
      <c r="G56" s="544">
        <f>D56</f>
        <v>0</v>
      </c>
      <c r="H56" s="544">
        <f>E56</f>
        <v>0</v>
      </c>
      <c r="I56" s="550" t="e">
        <f>H56/G56*100</f>
        <v>#DIV/0!</v>
      </c>
      <c r="J56" s="537">
        <f t="shared" si="2"/>
        <v>0</v>
      </c>
    </row>
    <row r="57" spans="1:10" s="518" customFormat="1" ht="21.75" customHeight="1" thickBot="1">
      <c r="A57" s="1467" t="s">
        <v>334</v>
      </c>
      <c r="B57" s="1468"/>
      <c r="C57" s="1468"/>
      <c r="D57" s="577">
        <f>SUM(D8,D10,D12,D14,D18,D22,D26,D30,D33,D36,D48,D51,D55)</f>
        <v>14995354.92</v>
      </c>
      <c r="E57" s="577">
        <f>SUM(E8,E10,E12,E14,E18,E22,E26,E30,E33,E36,E48,E51,E55)</f>
        <v>14749925.849999998</v>
      </c>
      <c r="F57" s="578">
        <f>E57/D57*100</f>
        <v>98.36329935963929</v>
      </c>
      <c r="G57" s="577">
        <f>SUM(G8,G10,G12,G14,G18,G22,G26,G30,G33,G36,G48,G51,G55)</f>
        <v>14995354.92</v>
      </c>
      <c r="H57" s="577">
        <f>SUM(H8,H10,H12,H14,H18,H22,H26,H30,H33,H36,H48,H51,H55)</f>
        <v>14749925.850000001</v>
      </c>
      <c r="I57" s="579">
        <f t="shared" si="4"/>
        <v>98.36329935963931</v>
      </c>
      <c r="J57" s="537">
        <f t="shared" si="2"/>
        <v>245429.06999999844</v>
      </c>
    </row>
    <row r="58" spans="1:10" s="581" customFormat="1" ht="15" customHeight="1">
      <c r="A58" s="1465" t="s">
        <v>513</v>
      </c>
      <c r="B58" s="1465"/>
      <c r="C58" s="1465"/>
      <c r="D58" s="1465"/>
      <c r="E58" s="1465"/>
      <c r="F58" s="1465"/>
      <c r="G58" s="1465"/>
      <c r="H58" s="1465"/>
      <c r="I58" s="1465"/>
      <c r="J58" s="580"/>
    </row>
    <row r="59" spans="4:9" ht="12.75">
      <c r="D59" s="582"/>
      <c r="E59" s="582"/>
      <c r="F59" s="583"/>
      <c r="G59" s="537"/>
      <c r="H59" s="582"/>
      <c r="I59" s="584"/>
    </row>
    <row r="60" spans="4:9" ht="12.75">
      <c r="D60" s="582"/>
      <c r="E60" s="582"/>
      <c r="F60" s="582"/>
      <c r="G60" s="582"/>
      <c r="H60" s="582"/>
      <c r="I60" s="585"/>
    </row>
    <row r="61" spans="4:9" ht="12.75">
      <c r="D61" s="586"/>
      <c r="E61" s="586"/>
      <c r="F61" s="583"/>
      <c r="G61" s="585"/>
      <c r="H61" s="586"/>
      <c r="I61" s="584"/>
    </row>
    <row r="62" spans="4:9" ht="12.75">
      <c r="D62" s="586"/>
      <c r="E62" s="586"/>
      <c r="F62" s="583"/>
      <c r="G62" s="585"/>
      <c r="H62" s="586"/>
      <c r="I62" s="584"/>
    </row>
    <row r="63" spans="4:9" ht="12.75">
      <c r="D63" s="586"/>
      <c r="E63" s="586"/>
      <c r="F63" s="583"/>
      <c r="G63" s="585"/>
      <c r="H63" s="586"/>
      <c r="I63" s="584"/>
    </row>
    <row r="64" spans="4:9" ht="12.75">
      <c r="D64" s="586"/>
      <c r="E64" s="586"/>
      <c r="F64" s="583"/>
      <c r="G64" s="585"/>
      <c r="H64" s="586"/>
      <c r="I64" s="584"/>
    </row>
    <row r="65" spans="4:9" ht="12.75">
      <c r="D65" s="586"/>
      <c r="E65" s="586"/>
      <c r="F65" s="583"/>
      <c r="G65" s="585"/>
      <c r="H65" s="586"/>
      <c r="I65" s="584"/>
    </row>
    <row r="66" spans="4:9" ht="12.75">
      <c r="D66" s="586"/>
      <c r="E66" s="587"/>
      <c r="F66" s="583"/>
      <c r="G66" s="585"/>
      <c r="H66" s="586"/>
      <c r="I66" s="584"/>
    </row>
    <row r="67" spans="4:9" ht="12.75">
      <c r="D67" s="586"/>
      <c r="E67" s="587"/>
      <c r="F67" s="583"/>
      <c r="G67" s="585"/>
      <c r="H67" s="586"/>
      <c r="I67" s="584"/>
    </row>
    <row r="68" spans="4:9" ht="12.75">
      <c r="D68" s="586"/>
      <c r="E68" s="586"/>
      <c r="F68" s="583"/>
      <c r="G68" s="585"/>
      <c r="H68" s="586"/>
      <c r="I68" s="584"/>
    </row>
    <row r="69" spans="4:9" ht="12.75">
      <c r="D69" s="586"/>
      <c r="E69" s="586"/>
      <c r="F69" s="583"/>
      <c r="G69" s="585"/>
      <c r="H69" s="586"/>
      <c r="I69" s="584"/>
    </row>
    <row r="70" spans="4:9" ht="12.75">
      <c r="D70" s="586"/>
      <c r="E70" s="586"/>
      <c r="F70" s="583"/>
      <c r="G70" s="585"/>
      <c r="H70" s="586"/>
      <c r="I70" s="584"/>
    </row>
    <row r="71" spans="4:9" ht="12.75">
      <c r="D71" s="586"/>
      <c r="E71" s="586"/>
      <c r="F71" s="583"/>
      <c r="G71" s="585"/>
      <c r="H71" s="586"/>
      <c r="I71" s="584"/>
    </row>
    <row r="72" spans="4:9" ht="12.75">
      <c r="D72" s="586"/>
      <c r="E72" s="586"/>
      <c r="F72" s="583"/>
      <c r="G72" s="585"/>
      <c r="H72" s="586"/>
      <c r="I72" s="584"/>
    </row>
    <row r="73" spans="4:9" ht="12.75">
      <c r="D73" s="586"/>
      <c r="E73" s="586"/>
      <c r="F73" s="583"/>
      <c r="G73" s="585"/>
      <c r="H73" s="586"/>
      <c r="I73" s="584"/>
    </row>
    <row r="74" spans="4:9" ht="12.75">
      <c r="D74" s="586"/>
      <c r="E74" s="586"/>
      <c r="F74" s="583"/>
      <c r="G74" s="585"/>
      <c r="H74" s="586"/>
      <c r="I74" s="584"/>
    </row>
    <row r="75" spans="4:9" ht="12.75">
      <c r="D75" s="586"/>
      <c r="E75" s="586"/>
      <c r="F75" s="583"/>
      <c r="G75" s="585"/>
      <c r="H75" s="586"/>
      <c r="I75" s="584"/>
    </row>
    <row r="76" spans="4:9" ht="12.75">
      <c r="D76" s="586"/>
      <c r="E76" s="586"/>
      <c r="F76" s="583"/>
      <c r="G76" s="585"/>
      <c r="H76" s="586"/>
      <c r="I76" s="584"/>
    </row>
    <row r="77" spans="4:9" ht="12.75">
      <c r="D77" s="586"/>
      <c r="E77" s="586"/>
      <c r="F77" s="583"/>
      <c r="G77" s="585"/>
      <c r="H77" s="586"/>
      <c r="I77" s="584"/>
    </row>
    <row r="78" spans="4:9" ht="12.75">
      <c r="D78" s="586"/>
      <c r="E78" s="586"/>
      <c r="F78" s="583"/>
      <c r="G78" s="585"/>
      <c r="H78" s="586"/>
      <c r="I78" s="584"/>
    </row>
    <row r="79" spans="4:9" ht="12.75">
      <c r="D79" s="586"/>
      <c r="E79" s="586"/>
      <c r="F79" s="583"/>
      <c r="G79" s="585"/>
      <c r="H79" s="586"/>
      <c r="I79" s="584"/>
    </row>
    <row r="80" spans="4:9" ht="12.75">
      <c r="D80" s="586"/>
      <c r="E80" s="586"/>
      <c r="F80" s="583"/>
      <c r="G80" s="585"/>
      <c r="H80" s="586"/>
      <c r="I80" s="584"/>
    </row>
    <row r="81" spans="4:9" ht="12.75">
      <c r="D81" s="586"/>
      <c r="E81" s="586"/>
      <c r="F81" s="583"/>
      <c r="G81" s="585"/>
      <c r="H81" s="586"/>
      <c r="I81" s="584"/>
    </row>
    <row r="82" ht="12.75">
      <c r="I82" s="584"/>
    </row>
    <row r="83" ht="12.75">
      <c r="I83" s="584"/>
    </row>
    <row r="84" ht="12.75">
      <c r="I84" s="584"/>
    </row>
    <row r="85" ht="12.75">
      <c r="I85" s="584"/>
    </row>
    <row r="86" ht="12.75">
      <c r="I86" s="584"/>
    </row>
    <row r="87" ht="12.75">
      <c r="I87" s="584"/>
    </row>
    <row r="88" ht="12.75">
      <c r="I88" s="584"/>
    </row>
    <row r="89" ht="12.75">
      <c r="I89" s="584"/>
    </row>
    <row r="90" ht="12.75">
      <c r="I90" s="584"/>
    </row>
    <row r="91" ht="12.75">
      <c r="I91" s="584"/>
    </row>
    <row r="92" ht="12.75">
      <c r="I92" s="584"/>
    </row>
    <row r="93" ht="12.75">
      <c r="I93" s="584"/>
    </row>
    <row r="94" ht="12.75">
      <c r="I94" s="584"/>
    </row>
    <row r="95" ht="12.75">
      <c r="I95" s="584"/>
    </row>
    <row r="96" ht="12.75">
      <c r="I96" s="584"/>
    </row>
    <row r="97" ht="12.75">
      <c r="I97" s="584"/>
    </row>
    <row r="98" ht="12.75">
      <c r="I98" s="584"/>
    </row>
    <row r="99" ht="12.75">
      <c r="I99" s="584"/>
    </row>
    <row r="100" ht="12.75">
      <c r="I100" s="584"/>
    </row>
    <row r="101" ht="12.75">
      <c r="I101" s="584"/>
    </row>
    <row r="102" ht="12.75">
      <c r="I102" s="584"/>
    </row>
    <row r="103" ht="12.75">
      <c r="I103" s="584"/>
    </row>
    <row r="104" ht="12.75">
      <c r="I104" s="584"/>
    </row>
    <row r="105" ht="12.75">
      <c r="I105" s="584"/>
    </row>
    <row r="106" ht="12.75">
      <c r="I106" s="584"/>
    </row>
    <row r="107" ht="12.75">
      <c r="I107" s="584"/>
    </row>
    <row r="108" ht="12.75">
      <c r="I108" s="584"/>
    </row>
    <row r="109" ht="12.75">
      <c r="I109" s="584"/>
    </row>
    <row r="110" ht="12.75">
      <c r="I110" s="584"/>
    </row>
    <row r="111" ht="12.75">
      <c r="I111" s="584"/>
    </row>
    <row r="112" ht="12.75">
      <c r="I112" s="584"/>
    </row>
    <row r="113" ht="12.75">
      <c r="I113" s="584"/>
    </row>
    <row r="114" ht="12.75">
      <c r="I114" s="584"/>
    </row>
    <row r="115" ht="12.75">
      <c r="I115" s="584"/>
    </row>
    <row r="116" ht="12.75">
      <c r="I116" s="584"/>
    </row>
    <row r="117" ht="12.75">
      <c r="I117" s="584"/>
    </row>
    <row r="118" ht="12.75">
      <c r="I118" s="584"/>
    </row>
    <row r="119" ht="12.75">
      <c r="I119" s="584"/>
    </row>
    <row r="120" ht="12.75">
      <c r="I120" s="584"/>
    </row>
    <row r="121" ht="12.75">
      <c r="I121" s="584"/>
    </row>
    <row r="122" ht="12.75">
      <c r="I122" s="584"/>
    </row>
    <row r="123" ht="12.75">
      <c r="I123" s="584"/>
    </row>
    <row r="124" ht="12.75">
      <c r="I124" s="584"/>
    </row>
    <row r="125" ht="12.75">
      <c r="I125" s="584"/>
    </row>
    <row r="126" ht="12.75">
      <c r="I126" s="584"/>
    </row>
    <row r="127" ht="12.75">
      <c r="I127" s="584"/>
    </row>
    <row r="128" ht="12.75">
      <c r="I128" s="584"/>
    </row>
    <row r="129" ht="12.75">
      <c r="I129" s="584"/>
    </row>
    <row r="130" ht="12.75">
      <c r="I130" s="584"/>
    </row>
    <row r="131" ht="12.75">
      <c r="I131" s="584"/>
    </row>
    <row r="132" ht="12.75">
      <c r="I132" s="584"/>
    </row>
    <row r="133" ht="12.75">
      <c r="I133" s="584"/>
    </row>
    <row r="134" ht="12.75">
      <c r="I134" s="584"/>
    </row>
    <row r="135" ht="12.75">
      <c r="I135" s="584"/>
    </row>
    <row r="136" ht="12.75">
      <c r="I136" s="584"/>
    </row>
    <row r="137" ht="12.75">
      <c r="I137" s="584"/>
    </row>
    <row r="138" ht="12.75">
      <c r="I138" s="584"/>
    </row>
    <row r="139" ht="12.75">
      <c r="I139" s="584"/>
    </row>
    <row r="140" ht="12.75">
      <c r="I140" s="584"/>
    </row>
    <row r="141" ht="12.75">
      <c r="I141" s="584"/>
    </row>
    <row r="142" ht="12.75">
      <c r="I142" s="584"/>
    </row>
    <row r="143" ht="12.75">
      <c r="I143" s="584"/>
    </row>
    <row r="144" ht="12.75">
      <c r="I144" s="584"/>
    </row>
    <row r="145" ht="12.75">
      <c r="I145" s="584"/>
    </row>
    <row r="146" ht="12.75">
      <c r="I146" s="584"/>
    </row>
    <row r="147" ht="12.75">
      <c r="I147" s="584"/>
    </row>
    <row r="148" ht="12.75">
      <c r="I148" s="584"/>
    </row>
    <row r="149" ht="12.75">
      <c r="I149" s="584"/>
    </row>
    <row r="150" ht="12.75">
      <c r="I150" s="584"/>
    </row>
    <row r="151" ht="12.75">
      <c r="I151" s="584"/>
    </row>
    <row r="152" ht="12.75">
      <c r="I152" s="584"/>
    </row>
    <row r="153" ht="12.75">
      <c r="I153" s="584"/>
    </row>
    <row r="154" ht="12.75">
      <c r="I154" s="584"/>
    </row>
    <row r="155" ht="12.75">
      <c r="I155" s="584"/>
    </row>
    <row r="156" ht="12.75">
      <c r="I156" s="584"/>
    </row>
    <row r="157" ht="12.75">
      <c r="I157" s="584"/>
    </row>
    <row r="158" ht="12.75">
      <c r="I158" s="584"/>
    </row>
    <row r="159" ht="12.75">
      <c r="I159" s="584"/>
    </row>
    <row r="160" ht="12.75">
      <c r="I160" s="584"/>
    </row>
    <row r="161" ht="12.75">
      <c r="I161" s="584"/>
    </row>
    <row r="162" ht="12.75">
      <c r="I162" s="584"/>
    </row>
    <row r="163" ht="12.75">
      <c r="I163" s="584"/>
    </row>
    <row r="164" ht="12.75">
      <c r="I164" s="584"/>
    </row>
    <row r="165" ht="12.75">
      <c r="I165" s="584"/>
    </row>
    <row r="166" ht="12.75">
      <c r="I166" s="584"/>
    </row>
    <row r="167" ht="12.75">
      <c r="I167" s="584"/>
    </row>
    <row r="168" ht="12.75">
      <c r="I168" s="584"/>
    </row>
    <row r="169" ht="12.75">
      <c r="I169" s="584"/>
    </row>
    <row r="170" ht="12.75">
      <c r="I170" s="584"/>
    </row>
    <row r="171" ht="12.75">
      <c r="I171" s="584"/>
    </row>
    <row r="172" ht="12.75">
      <c r="I172" s="584"/>
    </row>
    <row r="173" ht="12.75">
      <c r="I173" s="584"/>
    </row>
  </sheetData>
  <sheetProtection password="CF93" sheet="1" formatRows="0" insertColumns="0" insertRows="0" insertHyperlinks="0" deleteColumns="0" deleteRows="0" sort="0" autoFilter="0" pivotTables="0"/>
  <mergeCells count="10">
    <mergeCell ref="A58:I58"/>
    <mergeCell ref="H1:I1"/>
    <mergeCell ref="A57:C57"/>
    <mergeCell ref="H4:I4"/>
    <mergeCell ref="D5:F5"/>
    <mergeCell ref="G5:I5"/>
    <mergeCell ref="A5:A6"/>
    <mergeCell ref="B5:B6"/>
    <mergeCell ref="C5:C6"/>
    <mergeCell ref="A3:I3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68"/>
  <sheetViews>
    <sheetView defaultGridColor="0" view="pageBreakPreview" zoomScaleSheetLayoutView="100" zoomScalePageLayoutView="0" colorId="8" workbookViewId="0" topLeftCell="A1">
      <pane ySplit="9" topLeftCell="I10" activePane="bottomLeft" state="frozen"/>
      <selection pane="topLeft" activeCell="A1" sqref="A1"/>
      <selection pane="bottomLeft" activeCell="I7" sqref="I7:I8"/>
    </sheetView>
  </sheetViews>
  <sheetFormatPr defaultColWidth="9.00390625" defaultRowHeight="12.75"/>
  <cols>
    <col min="1" max="1" width="12.25390625" style="43" customWidth="1"/>
    <col min="2" max="2" width="9.625" style="43" customWidth="1"/>
    <col min="3" max="3" width="12.125" style="6" customWidth="1"/>
    <col min="4" max="5" width="13.125" style="6" customWidth="1"/>
    <col min="6" max="6" width="13.75390625" style="6" customWidth="1"/>
    <col min="7" max="7" width="12.125" style="6" customWidth="1"/>
    <col min="8" max="8" width="11.125" style="6" customWidth="1"/>
    <col min="9" max="9" width="11.00390625" style="6" customWidth="1"/>
    <col min="10" max="10" width="12.25390625" style="6" customWidth="1"/>
    <col min="11" max="11" width="11.00390625" style="6" customWidth="1"/>
    <col min="12" max="16384" width="9.125" style="6" customWidth="1"/>
  </cols>
  <sheetData>
    <row r="1" spans="1:12" s="36" customFormat="1" ht="12.75">
      <c r="A1" s="589"/>
      <c r="B1" s="589"/>
      <c r="C1" s="590"/>
      <c r="D1" s="590"/>
      <c r="E1" s="590"/>
      <c r="F1" s="590"/>
      <c r="G1" s="590"/>
      <c r="H1" s="590"/>
      <c r="I1" s="590"/>
      <c r="J1" s="590"/>
      <c r="K1" s="591" t="s">
        <v>1239</v>
      </c>
      <c r="L1" s="592"/>
    </row>
    <row r="2" spans="1:11" s="36" customFormat="1" ht="21" customHeight="1">
      <c r="A2" s="589"/>
      <c r="B2" s="589"/>
      <c r="C2" s="590"/>
      <c r="D2" s="590"/>
      <c r="E2" s="590"/>
      <c r="F2" s="590"/>
      <c r="G2" s="590"/>
      <c r="H2" s="590"/>
      <c r="I2" s="590"/>
      <c r="J2" s="590"/>
      <c r="K2" s="590"/>
    </row>
    <row r="3" spans="1:11" s="36" customFormat="1" ht="25.5" customHeight="1">
      <c r="A3" s="1491" t="s">
        <v>335</v>
      </c>
      <c r="B3" s="1491"/>
      <c r="C3" s="1491"/>
      <c r="D3" s="1491"/>
      <c r="E3" s="1491"/>
      <c r="F3" s="1491"/>
      <c r="G3" s="1491"/>
      <c r="H3" s="1491"/>
      <c r="I3" s="1491"/>
      <c r="J3" s="1491"/>
      <c r="K3" s="1491"/>
    </row>
    <row r="4" spans="1:11" s="36" customFormat="1" ht="12" customHeight="1" thickBot="1">
      <c r="A4" s="589"/>
      <c r="B4" s="589"/>
      <c r="C4" s="590"/>
      <c r="D4" s="590"/>
      <c r="E4" s="590"/>
      <c r="F4" s="590"/>
      <c r="G4" s="590"/>
      <c r="H4" s="590"/>
      <c r="I4" s="590"/>
      <c r="J4" s="590"/>
      <c r="K4" s="593" t="s">
        <v>1426</v>
      </c>
    </row>
    <row r="5" spans="1:11" s="43" customFormat="1" ht="17.25" customHeight="1">
      <c r="A5" s="1492" t="s">
        <v>1428</v>
      </c>
      <c r="B5" s="1497" t="s">
        <v>1427</v>
      </c>
      <c r="C5" s="1495" t="s">
        <v>1198</v>
      </c>
      <c r="D5" s="1495" t="s">
        <v>191</v>
      </c>
      <c r="E5" s="1495" t="s">
        <v>359</v>
      </c>
      <c r="F5" s="1495"/>
      <c r="G5" s="1495"/>
      <c r="H5" s="1495"/>
      <c r="I5" s="1495"/>
      <c r="J5" s="1499"/>
      <c r="K5" s="1500"/>
    </row>
    <row r="6" spans="1:11" s="43" customFormat="1" ht="17.25" customHeight="1">
      <c r="A6" s="1493"/>
      <c r="B6" s="1498"/>
      <c r="C6" s="1490"/>
      <c r="D6" s="1490"/>
      <c r="E6" s="1489" t="s">
        <v>1107</v>
      </c>
      <c r="F6" s="1480" t="s">
        <v>593</v>
      </c>
      <c r="G6" s="1481"/>
      <c r="H6" s="1481"/>
      <c r="I6" s="1481"/>
      <c r="J6" s="1482"/>
      <c r="K6" s="1484" t="s">
        <v>1199</v>
      </c>
    </row>
    <row r="7" spans="1:11" s="43" customFormat="1" ht="26.25" customHeight="1">
      <c r="A7" s="1494"/>
      <c r="B7" s="1496"/>
      <c r="C7" s="1496"/>
      <c r="D7" s="1483"/>
      <c r="E7" s="1501"/>
      <c r="F7" s="1483" t="s">
        <v>190</v>
      </c>
      <c r="G7" s="1483"/>
      <c r="H7" s="1483" t="s">
        <v>187</v>
      </c>
      <c r="I7" s="1487" t="s">
        <v>188</v>
      </c>
      <c r="J7" s="1489" t="s">
        <v>189</v>
      </c>
      <c r="K7" s="1485"/>
    </row>
    <row r="8" spans="1:11" s="43" customFormat="1" ht="63" customHeight="1">
      <c r="A8" s="1494"/>
      <c r="B8" s="1496"/>
      <c r="C8" s="1496"/>
      <c r="D8" s="1483"/>
      <c r="E8" s="1490"/>
      <c r="F8" s="598" t="s">
        <v>1410</v>
      </c>
      <c r="G8" s="598" t="s">
        <v>186</v>
      </c>
      <c r="H8" s="1483"/>
      <c r="I8" s="1488"/>
      <c r="J8" s="1490"/>
      <c r="K8" s="1486"/>
    </row>
    <row r="9" spans="1:11" s="36" customFormat="1" ht="14.25" customHeight="1">
      <c r="A9" s="30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628">
        <v>11</v>
      </c>
    </row>
    <row r="10" spans="1:11" s="600" customFormat="1" ht="19.5" customHeight="1">
      <c r="A10" s="596" t="s">
        <v>1429</v>
      </c>
      <c r="B10" s="597" t="s">
        <v>743</v>
      </c>
      <c r="C10" s="599">
        <f>SUM(C12,C14,C16,C18,C20,C22,C24,C26,C28,C30,C32,C36)</f>
        <v>6611475.92</v>
      </c>
      <c r="D10" s="599">
        <f aca="true" t="shared" si="0" ref="D10:K10">SUM(D12,D14,D16,D18,D20,D22,D24,D26,D28,D30,D32,D36)</f>
        <v>6611475.92</v>
      </c>
      <c r="E10" s="599">
        <f t="shared" si="0"/>
        <v>6611475.92</v>
      </c>
      <c r="F10" s="599">
        <f t="shared" si="0"/>
        <v>764929</v>
      </c>
      <c r="G10" s="599">
        <f t="shared" si="0"/>
        <v>109095.92</v>
      </c>
      <c r="H10" s="599">
        <f t="shared" si="0"/>
        <v>129007</v>
      </c>
      <c r="I10" s="599">
        <f t="shared" si="0"/>
        <v>5608444</v>
      </c>
      <c r="J10" s="599">
        <f t="shared" si="0"/>
        <v>0</v>
      </c>
      <c r="K10" s="633">
        <f t="shared" si="0"/>
        <v>0</v>
      </c>
    </row>
    <row r="11" spans="1:11" s="36" customFormat="1" ht="19.5" customHeight="1">
      <c r="A11" s="601" t="s">
        <v>1430</v>
      </c>
      <c r="B11" s="602" t="s">
        <v>743</v>
      </c>
      <c r="C11" s="603">
        <f>SUM(C13,C15,C17,C19,C21,C23,C25,C27,C29,C31,C33,C37)</f>
        <v>6544550.709999999</v>
      </c>
      <c r="D11" s="603">
        <f aca="true" t="shared" si="1" ref="D11:K11">SUM(D13,D15,D17,D19,D21,D23,D25,D27,D29,D31,D33,D37)</f>
        <v>6544550.71</v>
      </c>
      <c r="E11" s="603">
        <f t="shared" si="1"/>
        <v>6544550.71</v>
      </c>
      <c r="F11" s="603">
        <f t="shared" si="1"/>
        <v>757048.11</v>
      </c>
      <c r="G11" s="603">
        <f t="shared" si="1"/>
        <v>98541.55999999998</v>
      </c>
      <c r="H11" s="603">
        <f t="shared" si="1"/>
        <v>125273</v>
      </c>
      <c r="I11" s="603">
        <f t="shared" si="1"/>
        <v>5563688.04</v>
      </c>
      <c r="J11" s="603">
        <f t="shared" si="1"/>
        <v>0</v>
      </c>
      <c r="K11" s="634">
        <f t="shared" si="1"/>
        <v>0</v>
      </c>
    </row>
    <row r="12" spans="1:11" s="600" customFormat="1" ht="19.5" customHeight="1">
      <c r="A12" s="604" t="s">
        <v>1429</v>
      </c>
      <c r="B12" s="605" t="s">
        <v>896</v>
      </c>
      <c r="C12" s="606">
        <f>SUM(6D!E10)</f>
        <v>34997.92</v>
      </c>
      <c r="D12" s="606">
        <f aca="true" t="shared" si="2" ref="D12:D33">SUM(E12,K12)</f>
        <v>34997.92</v>
      </c>
      <c r="E12" s="606">
        <f aca="true" t="shared" si="3" ref="E12:E17">SUM(F12,G12,H12,I12,J12)</f>
        <v>34997.92</v>
      </c>
      <c r="F12" s="606">
        <v>0</v>
      </c>
      <c r="G12" s="606">
        <v>34997.92</v>
      </c>
      <c r="H12" s="606">
        <v>0</v>
      </c>
      <c r="I12" s="606">
        <v>0</v>
      </c>
      <c r="J12" s="607">
        <v>0</v>
      </c>
      <c r="K12" s="608">
        <v>0</v>
      </c>
    </row>
    <row r="13" spans="1:11" s="36" customFormat="1" ht="19.5" customHeight="1">
      <c r="A13" s="30" t="s">
        <v>1430</v>
      </c>
      <c r="B13" s="609" t="s">
        <v>896</v>
      </c>
      <c r="C13" s="610">
        <f>SUM(6D!F10)</f>
        <v>34997.92</v>
      </c>
      <c r="D13" s="610">
        <f t="shared" si="2"/>
        <v>34997.92</v>
      </c>
      <c r="E13" s="611">
        <f t="shared" si="3"/>
        <v>34997.92</v>
      </c>
      <c r="F13" s="610">
        <v>0</v>
      </c>
      <c r="G13" s="610">
        <v>34997.92</v>
      </c>
      <c r="H13" s="610">
        <v>0</v>
      </c>
      <c r="I13" s="610">
        <v>0</v>
      </c>
      <c r="J13" s="612">
        <v>0</v>
      </c>
      <c r="K13" s="613">
        <v>0</v>
      </c>
    </row>
    <row r="14" spans="1:11" s="600" customFormat="1" ht="19.5" customHeight="1">
      <c r="A14" s="604" t="s">
        <v>1429</v>
      </c>
      <c r="B14" s="614">
        <v>75011</v>
      </c>
      <c r="C14" s="606">
        <f>SUM(6D!E82)</f>
        <v>369700</v>
      </c>
      <c r="D14" s="606">
        <f t="shared" si="2"/>
        <v>369700</v>
      </c>
      <c r="E14" s="606">
        <f t="shared" si="3"/>
        <v>369700</v>
      </c>
      <c r="F14" s="606">
        <v>363125</v>
      </c>
      <c r="G14" s="606">
        <v>6575</v>
      </c>
      <c r="H14" s="606">
        <v>0</v>
      </c>
      <c r="I14" s="606">
        <v>0</v>
      </c>
      <c r="J14" s="607">
        <v>0</v>
      </c>
      <c r="K14" s="608">
        <v>0</v>
      </c>
    </row>
    <row r="15" spans="1:11" s="36" customFormat="1" ht="19.5" customHeight="1">
      <c r="A15" s="30" t="s">
        <v>1430</v>
      </c>
      <c r="B15" s="32">
        <v>75011</v>
      </c>
      <c r="C15" s="610">
        <f>SUM(6D!F82)</f>
        <v>369699.7</v>
      </c>
      <c r="D15" s="610">
        <f t="shared" si="2"/>
        <v>369699.7</v>
      </c>
      <c r="E15" s="611">
        <f t="shared" si="3"/>
        <v>369699.7</v>
      </c>
      <c r="F15" s="610">
        <v>363124.7</v>
      </c>
      <c r="G15" s="610">
        <v>6575</v>
      </c>
      <c r="H15" s="610">
        <v>0</v>
      </c>
      <c r="I15" s="610">
        <v>0</v>
      </c>
      <c r="J15" s="612">
        <v>0</v>
      </c>
      <c r="K15" s="613">
        <v>0</v>
      </c>
    </row>
    <row r="16" spans="1:11" s="600" customFormat="1" ht="19.5" customHeight="1">
      <c r="A16" s="604" t="s">
        <v>1429</v>
      </c>
      <c r="B16" s="614">
        <v>75056</v>
      </c>
      <c r="C16" s="606">
        <f>SUM(6D!E93)</f>
        <v>8947</v>
      </c>
      <c r="D16" s="606">
        <f>SUM(E16,K16)</f>
        <v>8947</v>
      </c>
      <c r="E16" s="606">
        <f t="shared" si="3"/>
        <v>8947</v>
      </c>
      <c r="F16" s="606">
        <v>6804</v>
      </c>
      <c r="G16" s="606">
        <v>458</v>
      </c>
      <c r="H16" s="606">
        <v>0</v>
      </c>
      <c r="I16" s="606">
        <v>1685</v>
      </c>
      <c r="J16" s="607">
        <v>0</v>
      </c>
      <c r="K16" s="608">
        <v>0</v>
      </c>
    </row>
    <row r="17" spans="1:11" s="36" customFormat="1" ht="19.5" customHeight="1">
      <c r="A17" s="30" t="s">
        <v>1430</v>
      </c>
      <c r="B17" s="32">
        <v>75056</v>
      </c>
      <c r="C17" s="610">
        <f>SUM(6D!F93)</f>
        <v>8935.01</v>
      </c>
      <c r="D17" s="610">
        <f>SUM(E17,K17)</f>
        <v>8935.01</v>
      </c>
      <c r="E17" s="611">
        <f t="shared" si="3"/>
        <v>8935.01</v>
      </c>
      <c r="F17" s="610">
        <v>6792.01</v>
      </c>
      <c r="G17" s="610">
        <v>458</v>
      </c>
      <c r="H17" s="610">
        <v>0</v>
      </c>
      <c r="I17" s="610">
        <v>1685</v>
      </c>
      <c r="J17" s="612">
        <v>0</v>
      </c>
      <c r="K17" s="613">
        <v>0</v>
      </c>
    </row>
    <row r="18" spans="1:11" s="600" customFormat="1" ht="19.5" customHeight="1">
      <c r="A18" s="604" t="s">
        <v>1429</v>
      </c>
      <c r="B18" s="614">
        <v>75101</v>
      </c>
      <c r="C18" s="606">
        <f>SUM(6D!E108)</f>
        <v>6960</v>
      </c>
      <c r="D18" s="606">
        <f t="shared" si="2"/>
        <v>6960</v>
      </c>
      <c r="E18" s="606">
        <f aca="true" t="shared" si="4" ref="E18:E37">SUM(F18,G18,H18,I18,J18)</f>
        <v>6960</v>
      </c>
      <c r="F18" s="606">
        <v>6960</v>
      </c>
      <c r="G18" s="606">
        <v>0</v>
      </c>
      <c r="H18" s="606">
        <v>0</v>
      </c>
      <c r="I18" s="606">
        <v>0</v>
      </c>
      <c r="J18" s="607">
        <v>0</v>
      </c>
      <c r="K18" s="608">
        <v>0</v>
      </c>
    </row>
    <row r="19" spans="1:11" s="655" customFormat="1" ht="19.5" customHeight="1">
      <c r="A19" s="30" t="s">
        <v>1430</v>
      </c>
      <c r="B19" s="615">
        <v>75101</v>
      </c>
      <c r="C19" s="611">
        <f>SUM(6D!F108)</f>
        <v>6957.97</v>
      </c>
      <c r="D19" s="640">
        <f t="shared" si="2"/>
        <v>6957.97</v>
      </c>
      <c r="E19" s="611">
        <f t="shared" si="4"/>
        <v>6957.97</v>
      </c>
      <c r="F19" s="640">
        <v>6957.97</v>
      </c>
      <c r="G19" s="640">
        <v>0</v>
      </c>
      <c r="H19" s="640">
        <v>0</v>
      </c>
      <c r="I19" s="640">
        <v>0</v>
      </c>
      <c r="J19" s="653">
        <v>0</v>
      </c>
      <c r="K19" s="654">
        <v>0</v>
      </c>
    </row>
    <row r="20" spans="1:11" s="600" customFormat="1" ht="19.5" customHeight="1">
      <c r="A20" s="604" t="s">
        <v>1429</v>
      </c>
      <c r="B20" s="614">
        <v>75107</v>
      </c>
      <c r="C20" s="606">
        <f>SUM(6D!E110)</f>
        <v>92515</v>
      </c>
      <c r="D20" s="606">
        <f>SUM(E20,K20)</f>
        <v>92515</v>
      </c>
      <c r="E20" s="606">
        <f t="shared" si="4"/>
        <v>92515</v>
      </c>
      <c r="F20" s="606">
        <v>35337</v>
      </c>
      <c r="G20" s="606">
        <v>7678</v>
      </c>
      <c r="H20" s="606">
        <v>0</v>
      </c>
      <c r="I20" s="606">
        <v>49500</v>
      </c>
      <c r="J20" s="607">
        <v>0</v>
      </c>
      <c r="K20" s="608">
        <v>0</v>
      </c>
    </row>
    <row r="21" spans="1:11" s="655" customFormat="1" ht="19.5" customHeight="1">
      <c r="A21" s="30" t="s">
        <v>1430</v>
      </c>
      <c r="B21" s="615">
        <v>75107</v>
      </c>
      <c r="C21" s="611">
        <f>SUM(6D!F110)</f>
        <v>91566.69</v>
      </c>
      <c r="D21" s="640">
        <f>SUM(E21,K21)</f>
        <v>91566.69</v>
      </c>
      <c r="E21" s="611">
        <f t="shared" si="4"/>
        <v>91566.69</v>
      </c>
      <c r="F21" s="640">
        <v>35336.06</v>
      </c>
      <c r="G21" s="640">
        <v>7675.63</v>
      </c>
      <c r="H21" s="640">
        <v>0</v>
      </c>
      <c r="I21" s="640">
        <v>48555</v>
      </c>
      <c r="J21" s="653">
        <v>0</v>
      </c>
      <c r="K21" s="654">
        <v>0</v>
      </c>
    </row>
    <row r="22" spans="1:11" s="600" customFormat="1" ht="19.5" customHeight="1">
      <c r="A22" s="604" t="s">
        <v>1429</v>
      </c>
      <c r="B22" s="614">
        <v>75109</v>
      </c>
      <c r="C22" s="606">
        <f>SUM(6D!E112)</f>
        <v>114603</v>
      </c>
      <c r="D22" s="606">
        <f>SUM(E22,K22)</f>
        <v>114603</v>
      </c>
      <c r="E22" s="606">
        <f>SUM(F22,G22,H22,I22,J22)</f>
        <v>114603</v>
      </c>
      <c r="F22" s="606">
        <v>30813</v>
      </c>
      <c r="G22" s="606">
        <v>18670</v>
      </c>
      <c r="H22" s="606">
        <v>0</v>
      </c>
      <c r="I22" s="606">
        <v>65120</v>
      </c>
      <c r="J22" s="607">
        <v>0</v>
      </c>
      <c r="K22" s="608">
        <v>0</v>
      </c>
    </row>
    <row r="23" spans="1:11" s="655" customFormat="1" ht="19.5" customHeight="1">
      <c r="A23" s="30" t="s">
        <v>1430</v>
      </c>
      <c r="B23" s="615">
        <v>75109</v>
      </c>
      <c r="C23" s="611">
        <f>SUM(6D!F112)</f>
        <v>68668.17</v>
      </c>
      <c r="D23" s="640">
        <f>SUM(E23,K23)</f>
        <v>68668.17</v>
      </c>
      <c r="E23" s="611">
        <f>SUM(F23,G23,H23,I23,J23)</f>
        <v>68668.17</v>
      </c>
      <c r="F23" s="640">
        <v>27534.46</v>
      </c>
      <c r="G23" s="640">
        <v>9918.71</v>
      </c>
      <c r="H23" s="640">
        <v>0</v>
      </c>
      <c r="I23" s="640">
        <v>31215</v>
      </c>
      <c r="J23" s="653">
        <v>0</v>
      </c>
      <c r="K23" s="654">
        <v>0</v>
      </c>
    </row>
    <row r="24" spans="1:11" s="600" customFormat="1" ht="19.5" customHeight="1">
      <c r="A24" s="604" t="s">
        <v>1429</v>
      </c>
      <c r="B24" s="614">
        <v>75414</v>
      </c>
      <c r="C24" s="606">
        <f>SUM(6D!E117)</f>
        <v>10000</v>
      </c>
      <c r="D24" s="606">
        <f t="shared" si="2"/>
        <v>10000</v>
      </c>
      <c r="E24" s="606">
        <f t="shared" si="4"/>
        <v>10000</v>
      </c>
      <c r="F24" s="606">
        <v>0</v>
      </c>
      <c r="G24" s="606">
        <v>10000</v>
      </c>
      <c r="H24" s="606">
        <v>0</v>
      </c>
      <c r="I24" s="606">
        <v>0</v>
      </c>
      <c r="J24" s="607">
        <v>0</v>
      </c>
      <c r="K24" s="608">
        <v>0</v>
      </c>
    </row>
    <row r="25" spans="1:11" s="631" customFormat="1" ht="19.5" customHeight="1">
      <c r="A25" s="30" t="s">
        <v>1430</v>
      </c>
      <c r="B25" s="616">
        <v>75414</v>
      </c>
      <c r="C25" s="611">
        <f>SUM(6D!F117)</f>
        <v>9973.51</v>
      </c>
      <c r="D25" s="611">
        <f t="shared" si="2"/>
        <v>9973.51</v>
      </c>
      <c r="E25" s="611">
        <f t="shared" si="4"/>
        <v>9973.51</v>
      </c>
      <c r="F25" s="611">
        <v>0</v>
      </c>
      <c r="G25" s="611">
        <v>9973.51</v>
      </c>
      <c r="H25" s="611">
        <v>0</v>
      </c>
      <c r="I25" s="611">
        <v>0</v>
      </c>
      <c r="J25" s="665">
        <v>0</v>
      </c>
      <c r="K25" s="661">
        <v>0</v>
      </c>
    </row>
    <row r="26" spans="1:11" s="600" customFormat="1" ht="19.5" customHeight="1">
      <c r="A26" s="617" t="s">
        <v>1429</v>
      </c>
      <c r="B26" s="618">
        <v>85195</v>
      </c>
      <c r="C26" s="624">
        <f>SUM(6D!E206)</f>
        <v>14000</v>
      </c>
      <c r="D26" s="624">
        <f>SUM(E26,K26)</f>
        <v>14000</v>
      </c>
      <c r="E26" s="606">
        <f t="shared" si="4"/>
        <v>14000</v>
      </c>
      <c r="F26" s="624">
        <v>11118</v>
      </c>
      <c r="G26" s="624">
        <v>2882</v>
      </c>
      <c r="H26" s="624">
        <v>0</v>
      </c>
      <c r="I26" s="624">
        <v>0</v>
      </c>
      <c r="J26" s="656">
        <v>0</v>
      </c>
      <c r="K26" s="657">
        <v>0</v>
      </c>
    </row>
    <row r="27" spans="1:11" s="36" customFormat="1" ht="19.5" customHeight="1">
      <c r="A27" s="30" t="s">
        <v>1430</v>
      </c>
      <c r="B27" s="32">
        <v>85195</v>
      </c>
      <c r="C27" s="610">
        <f>6D!F206</f>
        <v>9093.42</v>
      </c>
      <c r="D27" s="610">
        <f>SUM(E27,K27)</f>
        <v>9093.42</v>
      </c>
      <c r="E27" s="611">
        <f t="shared" si="4"/>
        <v>9093.42</v>
      </c>
      <c r="F27" s="610">
        <v>7622.22</v>
      </c>
      <c r="G27" s="610">
        <v>1471.2</v>
      </c>
      <c r="H27" s="610">
        <v>0</v>
      </c>
      <c r="I27" s="610">
        <v>0</v>
      </c>
      <c r="J27" s="612">
        <v>0</v>
      </c>
      <c r="K27" s="613">
        <v>0</v>
      </c>
    </row>
    <row r="28" spans="1:11" s="600" customFormat="1" ht="19.5" customHeight="1">
      <c r="A28" s="617" t="s">
        <v>1429</v>
      </c>
      <c r="B28" s="618">
        <v>85203</v>
      </c>
      <c r="C28" s="624">
        <f>SUM(6D!E217)</f>
        <v>129007</v>
      </c>
      <c r="D28" s="624">
        <f t="shared" si="2"/>
        <v>129007</v>
      </c>
      <c r="E28" s="606">
        <f t="shared" si="4"/>
        <v>129007</v>
      </c>
      <c r="F28" s="624">
        <v>0</v>
      </c>
      <c r="G28" s="624">
        <v>0</v>
      </c>
      <c r="H28" s="624">
        <v>129007</v>
      </c>
      <c r="I28" s="624">
        <v>0</v>
      </c>
      <c r="J28" s="656">
        <v>0</v>
      </c>
      <c r="K28" s="657">
        <v>0</v>
      </c>
    </row>
    <row r="29" spans="1:11" s="36" customFormat="1" ht="19.5" customHeight="1">
      <c r="A29" s="30" t="s">
        <v>1430</v>
      </c>
      <c r="B29" s="32">
        <v>85203</v>
      </c>
      <c r="C29" s="610">
        <f>SUM(6D!F217)</f>
        <v>125273</v>
      </c>
      <c r="D29" s="610">
        <f t="shared" si="2"/>
        <v>125273</v>
      </c>
      <c r="E29" s="611">
        <f t="shared" si="4"/>
        <v>125273</v>
      </c>
      <c r="F29" s="610">
        <v>0</v>
      </c>
      <c r="G29" s="610">
        <v>0</v>
      </c>
      <c r="H29" s="610">
        <v>125273</v>
      </c>
      <c r="I29" s="610">
        <v>0</v>
      </c>
      <c r="J29" s="612">
        <v>0</v>
      </c>
      <c r="K29" s="613">
        <v>0</v>
      </c>
    </row>
    <row r="30" spans="1:11" s="10" customFormat="1" ht="19.5" customHeight="1">
      <c r="A30" s="604" t="s">
        <v>1429</v>
      </c>
      <c r="B30" s="614">
        <v>85212</v>
      </c>
      <c r="C30" s="606">
        <f>SUM(6D!E224)</f>
        <v>5736806</v>
      </c>
      <c r="D30" s="606">
        <f t="shared" si="2"/>
        <v>5736806</v>
      </c>
      <c r="E30" s="606">
        <f t="shared" si="4"/>
        <v>5736806</v>
      </c>
      <c r="F30" s="606">
        <v>223186</v>
      </c>
      <c r="G30" s="606">
        <v>22363</v>
      </c>
      <c r="H30" s="606">
        <v>0</v>
      </c>
      <c r="I30" s="606">
        <v>5491257</v>
      </c>
      <c r="J30" s="607">
        <v>0</v>
      </c>
      <c r="K30" s="608">
        <v>0</v>
      </c>
    </row>
    <row r="31" spans="1:11" ht="19.5" customHeight="1">
      <c r="A31" s="30" t="s">
        <v>1430</v>
      </c>
      <c r="B31" s="32">
        <v>85212</v>
      </c>
      <c r="C31" s="610">
        <f>SUM(6D!F224)</f>
        <v>5725854.35</v>
      </c>
      <c r="D31" s="610">
        <f t="shared" si="2"/>
        <v>5725854.350000001</v>
      </c>
      <c r="E31" s="611">
        <f t="shared" si="4"/>
        <v>5725854.350000001</v>
      </c>
      <c r="F31" s="610">
        <v>222352.65</v>
      </c>
      <c r="G31" s="610">
        <v>22144.97</v>
      </c>
      <c r="H31" s="610">
        <v>0</v>
      </c>
      <c r="I31" s="610">
        <v>5481356.73</v>
      </c>
      <c r="J31" s="612">
        <v>0</v>
      </c>
      <c r="K31" s="613">
        <v>0</v>
      </c>
    </row>
    <row r="32" spans="1:11" s="600" customFormat="1" ht="19.5" customHeight="1">
      <c r="A32" s="604" t="s">
        <v>1429</v>
      </c>
      <c r="B32" s="614">
        <v>85213</v>
      </c>
      <c r="C32" s="606">
        <f>SUM(6D!E229)</f>
        <v>21930</v>
      </c>
      <c r="D32" s="606">
        <f t="shared" si="2"/>
        <v>21930</v>
      </c>
      <c r="E32" s="606">
        <f t="shared" si="4"/>
        <v>21930</v>
      </c>
      <c r="F32" s="606">
        <v>21930</v>
      </c>
      <c r="G32" s="606">
        <v>0</v>
      </c>
      <c r="H32" s="606">
        <v>0</v>
      </c>
      <c r="I32" s="606">
        <v>0</v>
      </c>
      <c r="J32" s="607">
        <v>0</v>
      </c>
      <c r="K32" s="608">
        <v>0</v>
      </c>
    </row>
    <row r="33" spans="1:11" s="36" customFormat="1" ht="19.5" customHeight="1">
      <c r="A33" s="30" t="s">
        <v>1430</v>
      </c>
      <c r="B33" s="32">
        <v>85213</v>
      </c>
      <c r="C33" s="610">
        <f>SUM(6D!F229)</f>
        <v>21813.5</v>
      </c>
      <c r="D33" s="610">
        <f t="shared" si="2"/>
        <v>21813.5</v>
      </c>
      <c r="E33" s="611">
        <f t="shared" si="4"/>
        <v>21813.5</v>
      </c>
      <c r="F33" s="610">
        <v>21813.5</v>
      </c>
      <c r="G33" s="610">
        <v>0</v>
      </c>
      <c r="H33" s="610">
        <v>0</v>
      </c>
      <c r="I33" s="610">
        <v>0</v>
      </c>
      <c r="J33" s="612">
        <v>0</v>
      </c>
      <c r="K33" s="613">
        <v>0</v>
      </c>
    </row>
    <row r="34" spans="1:11" s="10" customFormat="1" ht="19.5" customHeight="1" hidden="1">
      <c r="A34" s="604" t="s">
        <v>1429</v>
      </c>
      <c r="B34" s="614">
        <v>85214</v>
      </c>
      <c r="C34" s="11">
        <f>SUM(6D!E234)</f>
        <v>0</v>
      </c>
      <c r="D34" s="11">
        <f>SUM(E34,K34)</f>
        <v>0</v>
      </c>
      <c r="E34" s="11">
        <f t="shared" si="4"/>
        <v>0</v>
      </c>
      <c r="F34" s="11">
        <v>0</v>
      </c>
      <c r="G34" s="11">
        <v>0</v>
      </c>
      <c r="H34" s="11"/>
      <c r="I34" s="11"/>
      <c r="J34" s="70"/>
      <c r="K34" s="12">
        <v>0</v>
      </c>
    </row>
    <row r="35" spans="1:11" ht="19.5" customHeight="1" hidden="1">
      <c r="A35" s="30" t="s">
        <v>1430</v>
      </c>
      <c r="B35" s="32">
        <v>85214</v>
      </c>
      <c r="C35" s="20">
        <f>SUM(6D!F234)</f>
        <v>0</v>
      </c>
      <c r="D35" s="20">
        <f>SUM(E35,K35)</f>
        <v>0</v>
      </c>
      <c r="E35" s="11">
        <f t="shared" si="4"/>
        <v>0</v>
      </c>
      <c r="F35" s="20">
        <v>0</v>
      </c>
      <c r="G35" s="20">
        <v>0</v>
      </c>
      <c r="H35" s="20"/>
      <c r="I35" s="20"/>
      <c r="J35" s="71"/>
      <c r="K35" s="29">
        <v>0</v>
      </c>
    </row>
    <row r="36" spans="1:11" s="10" customFormat="1" ht="19.5" customHeight="1">
      <c r="A36" s="604" t="s">
        <v>1429</v>
      </c>
      <c r="B36" s="614">
        <v>85228</v>
      </c>
      <c r="C36" s="606">
        <f>SUM(6D!E248)</f>
        <v>72010</v>
      </c>
      <c r="D36" s="606">
        <f>SUM(E36,K36)</f>
        <v>72010</v>
      </c>
      <c r="E36" s="606">
        <f t="shared" si="4"/>
        <v>72010</v>
      </c>
      <c r="F36" s="606">
        <v>65656</v>
      </c>
      <c r="G36" s="606">
        <v>5472</v>
      </c>
      <c r="H36" s="606">
        <v>0</v>
      </c>
      <c r="I36" s="606">
        <v>882</v>
      </c>
      <c r="J36" s="607">
        <v>0</v>
      </c>
      <c r="K36" s="608">
        <v>0</v>
      </c>
    </row>
    <row r="37" spans="1:11" ht="19.5" customHeight="1">
      <c r="A37" s="30" t="s">
        <v>1430</v>
      </c>
      <c r="B37" s="32">
        <v>85228</v>
      </c>
      <c r="C37" s="610">
        <f>SUM(6D!F248)</f>
        <v>71717.47</v>
      </c>
      <c r="D37" s="610">
        <f>SUM(E37,K37)</f>
        <v>71717.47</v>
      </c>
      <c r="E37" s="611">
        <f t="shared" si="4"/>
        <v>71717.47</v>
      </c>
      <c r="F37" s="610">
        <v>65514.54</v>
      </c>
      <c r="G37" s="610">
        <v>5326.62</v>
      </c>
      <c r="H37" s="610">
        <v>0</v>
      </c>
      <c r="I37" s="610">
        <v>876.31</v>
      </c>
      <c r="J37" s="612">
        <v>0</v>
      </c>
      <c r="K37" s="613">
        <v>0</v>
      </c>
    </row>
    <row r="38" spans="1:11" s="600" customFormat="1" ht="19.5" customHeight="1">
      <c r="A38" s="596" t="s">
        <v>1429</v>
      </c>
      <c r="B38" s="597" t="s">
        <v>744</v>
      </c>
      <c r="C38" s="599">
        <f>SUM(C40,C42,C44,C46,C48,C50,C52,C54,C56,C58,C60)</f>
        <v>5769314</v>
      </c>
      <c r="D38" s="599">
        <f aca="true" t="shared" si="5" ref="D38:K38">SUM(D40,D42,D44,D46,D48,D50,D52,D54,D56,D58,D60)</f>
        <v>5769314</v>
      </c>
      <c r="E38" s="599">
        <f t="shared" si="5"/>
        <v>5769192</v>
      </c>
      <c r="F38" s="599">
        <f t="shared" si="5"/>
        <v>4653640</v>
      </c>
      <c r="G38" s="599">
        <f t="shared" si="5"/>
        <v>886458</v>
      </c>
      <c r="H38" s="599">
        <f t="shared" si="5"/>
        <v>36000</v>
      </c>
      <c r="I38" s="599">
        <f t="shared" si="5"/>
        <v>193094</v>
      </c>
      <c r="J38" s="599">
        <f t="shared" si="5"/>
        <v>0</v>
      </c>
      <c r="K38" s="633">
        <f t="shared" si="5"/>
        <v>122</v>
      </c>
    </row>
    <row r="39" spans="1:11" s="36" customFormat="1" ht="19.5" customHeight="1">
      <c r="A39" s="601" t="s">
        <v>1430</v>
      </c>
      <c r="B39" s="602" t="s">
        <v>744</v>
      </c>
      <c r="C39" s="603">
        <f>SUM(C41,C43,C45,C47,C49,C51,C53,C55,C57,C59,C61)</f>
        <v>5677791.5</v>
      </c>
      <c r="D39" s="603">
        <f aca="true" t="shared" si="6" ref="D39:K39">SUM(D41,D43,D45,D47,D49,D51,D53,D55,D57,D59,D61)</f>
        <v>5677791.5</v>
      </c>
      <c r="E39" s="603">
        <f t="shared" si="6"/>
        <v>5677669.5</v>
      </c>
      <c r="F39" s="603">
        <f t="shared" si="6"/>
        <v>4581207.8100000005</v>
      </c>
      <c r="G39" s="603">
        <f t="shared" si="6"/>
        <v>867368.34</v>
      </c>
      <c r="H39" s="603">
        <f t="shared" si="6"/>
        <v>36000</v>
      </c>
      <c r="I39" s="603">
        <f t="shared" si="6"/>
        <v>193093.35</v>
      </c>
      <c r="J39" s="603">
        <f t="shared" si="6"/>
        <v>0</v>
      </c>
      <c r="K39" s="634">
        <f t="shared" si="6"/>
        <v>122</v>
      </c>
    </row>
    <row r="40" spans="1:11" s="600" customFormat="1" ht="19.5" customHeight="1">
      <c r="A40" s="617" t="s">
        <v>1429</v>
      </c>
      <c r="B40" s="619" t="s">
        <v>76</v>
      </c>
      <c r="C40" s="624">
        <f>SUM(6D!E340,6D!E341)</f>
        <v>44000</v>
      </c>
      <c r="D40" s="606">
        <f aca="true" t="shared" si="7" ref="D40:D60">SUM(E40,K40)</f>
        <v>44000</v>
      </c>
      <c r="E40" s="624">
        <f>SUM(F40,G40,H40,I40,J40)</f>
        <v>43878</v>
      </c>
      <c r="F40" s="624">
        <v>0</v>
      </c>
      <c r="G40" s="624">
        <v>43878</v>
      </c>
      <c r="H40" s="624">
        <v>0</v>
      </c>
      <c r="I40" s="624">
        <v>0</v>
      </c>
      <c r="J40" s="656">
        <v>0</v>
      </c>
      <c r="K40" s="657">
        <v>122</v>
      </c>
    </row>
    <row r="41" spans="1:11" s="36" customFormat="1" ht="19.5" customHeight="1">
      <c r="A41" s="30" t="s">
        <v>1430</v>
      </c>
      <c r="B41" s="609" t="s">
        <v>76</v>
      </c>
      <c r="C41" s="610">
        <f>SUM(6D!F340,6D!F341)</f>
        <v>39128.15</v>
      </c>
      <c r="D41" s="611">
        <f>SUM(E41,K41)</f>
        <v>39128.15</v>
      </c>
      <c r="E41" s="666">
        <f aca="true" t="shared" si="8" ref="E41:E61">SUM(F41,G41,H41,I41,J41)</f>
        <v>39006.15</v>
      </c>
      <c r="F41" s="610">
        <v>0</v>
      </c>
      <c r="G41" s="610">
        <v>39006.15</v>
      </c>
      <c r="H41" s="610">
        <v>0</v>
      </c>
      <c r="I41" s="610">
        <v>0</v>
      </c>
      <c r="J41" s="612">
        <v>0</v>
      </c>
      <c r="K41" s="613">
        <v>122</v>
      </c>
    </row>
    <row r="42" spans="1:11" s="600" customFormat="1" ht="19.5" customHeight="1">
      <c r="A42" s="604" t="s">
        <v>1429</v>
      </c>
      <c r="B42" s="605" t="s">
        <v>80</v>
      </c>
      <c r="C42" s="606">
        <f>SUM(6D!E344)</f>
        <v>121197</v>
      </c>
      <c r="D42" s="606">
        <f t="shared" si="7"/>
        <v>121197</v>
      </c>
      <c r="E42" s="624">
        <f t="shared" si="8"/>
        <v>121197</v>
      </c>
      <c r="F42" s="606">
        <v>0</v>
      </c>
      <c r="G42" s="606">
        <v>121197</v>
      </c>
      <c r="H42" s="606">
        <v>0</v>
      </c>
      <c r="I42" s="606">
        <v>0</v>
      </c>
      <c r="J42" s="607">
        <v>0</v>
      </c>
      <c r="K42" s="608">
        <v>0</v>
      </c>
    </row>
    <row r="43" spans="1:11" s="36" customFormat="1" ht="19.5" customHeight="1">
      <c r="A43" s="30" t="s">
        <v>1430</v>
      </c>
      <c r="B43" s="609" t="s">
        <v>80</v>
      </c>
      <c r="C43" s="610">
        <f>SUM(6D!F344)</f>
        <v>121197</v>
      </c>
      <c r="D43" s="611">
        <f t="shared" si="7"/>
        <v>121197</v>
      </c>
      <c r="E43" s="666">
        <f t="shared" si="8"/>
        <v>121197</v>
      </c>
      <c r="F43" s="610">
        <v>0</v>
      </c>
      <c r="G43" s="610">
        <v>121197</v>
      </c>
      <c r="H43" s="610">
        <v>0</v>
      </c>
      <c r="I43" s="610">
        <v>0</v>
      </c>
      <c r="J43" s="612">
        <v>0</v>
      </c>
      <c r="K43" s="613">
        <v>0</v>
      </c>
    </row>
    <row r="44" spans="1:11" s="600" customFormat="1" ht="19.5" customHeight="1">
      <c r="A44" s="617" t="s">
        <v>1429</v>
      </c>
      <c r="B44" s="619" t="s">
        <v>81</v>
      </c>
      <c r="C44" s="624">
        <f>SUM(6D!E347)</f>
        <v>11000</v>
      </c>
      <c r="D44" s="624">
        <f t="shared" si="7"/>
        <v>11000</v>
      </c>
      <c r="E44" s="624">
        <f t="shared" si="8"/>
        <v>11000</v>
      </c>
      <c r="F44" s="624">
        <v>0</v>
      </c>
      <c r="G44" s="624">
        <v>11000</v>
      </c>
      <c r="H44" s="624">
        <v>0</v>
      </c>
      <c r="I44" s="624">
        <v>0</v>
      </c>
      <c r="J44" s="656">
        <v>0</v>
      </c>
      <c r="K44" s="657">
        <v>0</v>
      </c>
    </row>
    <row r="45" spans="1:11" s="36" customFormat="1" ht="19.5" customHeight="1">
      <c r="A45" s="30" t="s">
        <v>1430</v>
      </c>
      <c r="B45" s="609" t="s">
        <v>81</v>
      </c>
      <c r="C45" s="610">
        <f>SUM(6D!F347)</f>
        <v>11000</v>
      </c>
      <c r="D45" s="611">
        <f t="shared" si="7"/>
        <v>11000</v>
      </c>
      <c r="E45" s="666">
        <f t="shared" si="8"/>
        <v>11000</v>
      </c>
      <c r="F45" s="610">
        <v>0</v>
      </c>
      <c r="G45" s="610">
        <v>11000</v>
      </c>
      <c r="H45" s="610">
        <v>0</v>
      </c>
      <c r="I45" s="610">
        <v>0</v>
      </c>
      <c r="J45" s="612">
        <v>0</v>
      </c>
      <c r="K45" s="613">
        <v>0</v>
      </c>
    </row>
    <row r="46" spans="1:11" s="600" customFormat="1" ht="19.5" customHeight="1">
      <c r="A46" s="604" t="s">
        <v>1429</v>
      </c>
      <c r="B46" s="605" t="s">
        <v>83</v>
      </c>
      <c r="C46" s="606">
        <f>SUM(6D!E349)</f>
        <v>361583</v>
      </c>
      <c r="D46" s="606">
        <f t="shared" si="7"/>
        <v>361583</v>
      </c>
      <c r="E46" s="624">
        <f t="shared" si="8"/>
        <v>361583</v>
      </c>
      <c r="F46" s="606">
        <v>321825</v>
      </c>
      <c r="G46" s="606">
        <v>39758</v>
      </c>
      <c r="H46" s="606">
        <v>0</v>
      </c>
      <c r="I46" s="606">
        <v>0</v>
      </c>
      <c r="J46" s="607">
        <v>0</v>
      </c>
      <c r="K46" s="608">
        <v>0</v>
      </c>
    </row>
    <row r="47" spans="1:11" s="36" customFormat="1" ht="19.5" customHeight="1">
      <c r="A47" s="30" t="s">
        <v>1430</v>
      </c>
      <c r="B47" s="609" t="s">
        <v>83</v>
      </c>
      <c r="C47" s="610">
        <f>SUM(6D!F349)</f>
        <v>361577.77</v>
      </c>
      <c r="D47" s="611">
        <f t="shared" si="7"/>
        <v>361577.77</v>
      </c>
      <c r="E47" s="666">
        <f t="shared" si="8"/>
        <v>361577.77</v>
      </c>
      <c r="F47" s="610">
        <v>321822.38</v>
      </c>
      <c r="G47" s="610">
        <v>39755.39</v>
      </c>
      <c r="H47" s="610">
        <v>0</v>
      </c>
      <c r="I47" s="610">
        <v>0</v>
      </c>
      <c r="J47" s="612">
        <v>0</v>
      </c>
      <c r="K47" s="613">
        <v>0</v>
      </c>
    </row>
    <row r="48" spans="1:11" s="600" customFormat="1" ht="19.5" customHeight="1">
      <c r="A48" s="604" t="s">
        <v>1429</v>
      </c>
      <c r="B48" s="605" t="s">
        <v>92</v>
      </c>
      <c r="C48" s="606">
        <f>SUM(6D!E352)</f>
        <v>82100</v>
      </c>
      <c r="D48" s="606">
        <f t="shared" si="7"/>
        <v>82100</v>
      </c>
      <c r="E48" s="624">
        <f t="shared" si="8"/>
        <v>82100</v>
      </c>
      <c r="F48" s="606">
        <v>80240</v>
      </c>
      <c r="G48" s="606">
        <v>1860</v>
      </c>
      <c r="H48" s="606">
        <v>0</v>
      </c>
      <c r="I48" s="606">
        <v>0</v>
      </c>
      <c r="J48" s="607">
        <v>0</v>
      </c>
      <c r="K48" s="608">
        <v>0</v>
      </c>
    </row>
    <row r="49" spans="1:11" s="36" customFormat="1" ht="19.5" customHeight="1">
      <c r="A49" s="30" t="s">
        <v>1430</v>
      </c>
      <c r="B49" s="609" t="s">
        <v>92</v>
      </c>
      <c r="C49" s="610">
        <f>SUM(6D!F352)</f>
        <v>82099.59</v>
      </c>
      <c r="D49" s="611">
        <f t="shared" si="7"/>
        <v>82099.59</v>
      </c>
      <c r="E49" s="666">
        <f t="shared" si="8"/>
        <v>82099.59</v>
      </c>
      <c r="F49" s="610">
        <v>80239.59</v>
      </c>
      <c r="G49" s="610">
        <v>1860</v>
      </c>
      <c r="H49" s="610">
        <v>0</v>
      </c>
      <c r="I49" s="610">
        <v>0</v>
      </c>
      <c r="J49" s="612">
        <v>0</v>
      </c>
      <c r="K49" s="613">
        <v>0</v>
      </c>
    </row>
    <row r="50" spans="1:11" s="600" customFormat="1" ht="19.5" customHeight="1">
      <c r="A50" s="604" t="s">
        <v>1429</v>
      </c>
      <c r="B50" s="605" t="s">
        <v>102</v>
      </c>
      <c r="C50" s="606">
        <f>SUM(6D!E359)</f>
        <v>18998</v>
      </c>
      <c r="D50" s="606">
        <f t="shared" si="7"/>
        <v>18998</v>
      </c>
      <c r="E50" s="624">
        <f t="shared" si="8"/>
        <v>18998</v>
      </c>
      <c r="F50" s="606">
        <v>8583</v>
      </c>
      <c r="G50" s="606">
        <v>10415</v>
      </c>
      <c r="H50" s="606">
        <v>0</v>
      </c>
      <c r="I50" s="606">
        <v>0</v>
      </c>
      <c r="J50" s="607">
        <v>0</v>
      </c>
      <c r="K50" s="608">
        <v>0</v>
      </c>
    </row>
    <row r="51" spans="1:11" s="36" customFormat="1" ht="19.5" customHeight="1">
      <c r="A51" s="30" t="s">
        <v>1430</v>
      </c>
      <c r="B51" s="609" t="s">
        <v>102</v>
      </c>
      <c r="C51" s="610">
        <f>SUM(6D!F359)</f>
        <v>18997.74</v>
      </c>
      <c r="D51" s="611">
        <f t="shared" si="7"/>
        <v>18997.739999999998</v>
      </c>
      <c r="E51" s="666">
        <f t="shared" si="8"/>
        <v>18997.739999999998</v>
      </c>
      <c r="F51" s="610">
        <v>8584.16</v>
      </c>
      <c r="G51" s="610">
        <v>10413.58</v>
      </c>
      <c r="H51" s="610">
        <v>0</v>
      </c>
      <c r="I51" s="610">
        <v>0</v>
      </c>
      <c r="J51" s="612">
        <v>0</v>
      </c>
      <c r="K51" s="613">
        <v>0</v>
      </c>
    </row>
    <row r="52" spans="1:11" s="600" customFormat="1" ht="19.5" customHeight="1">
      <c r="A52" s="604" t="s">
        <v>1429</v>
      </c>
      <c r="B52" s="605" t="s">
        <v>106</v>
      </c>
      <c r="C52" s="606">
        <f>SUM(6D!E363,6D!E364)</f>
        <v>3865536</v>
      </c>
      <c r="D52" s="606">
        <f t="shared" si="7"/>
        <v>3865536</v>
      </c>
      <c r="E52" s="624">
        <f t="shared" si="8"/>
        <v>3865536</v>
      </c>
      <c r="F52" s="606">
        <v>3123114</v>
      </c>
      <c r="G52" s="606">
        <v>549328</v>
      </c>
      <c r="H52" s="606">
        <v>0</v>
      </c>
      <c r="I52" s="606">
        <v>193094</v>
      </c>
      <c r="J52" s="607">
        <v>0</v>
      </c>
      <c r="K52" s="608">
        <v>0</v>
      </c>
    </row>
    <row r="53" spans="1:11" s="36" customFormat="1" ht="19.5" customHeight="1">
      <c r="A53" s="30" t="s">
        <v>1430</v>
      </c>
      <c r="B53" s="609" t="s">
        <v>106</v>
      </c>
      <c r="C53" s="610">
        <f>SUM(6D!F363,6D!F364)</f>
        <v>3865527.47</v>
      </c>
      <c r="D53" s="611">
        <f t="shared" si="7"/>
        <v>3865527.47</v>
      </c>
      <c r="E53" s="666">
        <f t="shared" si="8"/>
        <v>3865527.47</v>
      </c>
      <c r="F53" s="610">
        <v>3123111.77</v>
      </c>
      <c r="G53" s="610">
        <v>549322.35</v>
      </c>
      <c r="H53" s="610">
        <v>0</v>
      </c>
      <c r="I53" s="610">
        <v>193093.35</v>
      </c>
      <c r="J53" s="612">
        <v>0</v>
      </c>
      <c r="K53" s="613">
        <v>0</v>
      </c>
    </row>
    <row r="54" spans="1:11" s="600" customFormat="1" ht="19.5" customHeight="1">
      <c r="A54" s="604" t="s">
        <v>1429</v>
      </c>
      <c r="B54" s="605" t="s">
        <v>930</v>
      </c>
      <c r="C54" s="606">
        <f>6D!E366</f>
        <v>4900</v>
      </c>
      <c r="D54" s="606">
        <f>SUM(E54,K54)</f>
        <v>4900</v>
      </c>
      <c r="E54" s="624">
        <f>SUM(F54,G54,H54,I54,J54)</f>
        <v>4900</v>
      </c>
      <c r="F54" s="606">
        <v>0</v>
      </c>
      <c r="G54" s="606">
        <v>4900</v>
      </c>
      <c r="H54" s="606">
        <v>0</v>
      </c>
      <c r="I54" s="606">
        <v>0</v>
      </c>
      <c r="J54" s="607">
        <v>0</v>
      </c>
      <c r="K54" s="608">
        <v>0</v>
      </c>
    </row>
    <row r="55" spans="1:11" s="36" customFormat="1" ht="19.5" customHeight="1">
      <c r="A55" s="30" t="s">
        <v>1430</v>
      </c>
      <c r="B55" s="609" t="s">
        <v>930</v>
      </c>
      <c r="C55" s="610">
        <f>6D!F366</f>
        <v>4900</v>
      </c>
      <c r="D55" s="611">
        <f>SUM(E55,K55)</f>
        <v>4900</v>
      </c>
      <c r="E55" s="611">
        <f>SUM(F55,G55,H55,I55,J55)</f>
        <v>4900</v>
      </c>
      <c r="F55" s="610">
        <v>0</v>
      </c>
      <c r="G55" s="610">
        <v>4900</v>
      </c>
      <c r="H55" s="610">
        <v>0</v>
      </c>
      <c r="I55" s="610">
        <v>0</v>
      </c>
      <c r="J55" s="612">
        <v>0</v>
      </c>
      <c r="K55" s="613">
        <v>0</v>
      </c>
    </row>
    <row r="56" spans="1:11" s="600" customFormat="1" ht="19.5" customHeight="1">
      <c r="A56" s="604" t="s">
        <v>1429</v>
      </c>
      <c r="B56" s="605" t="s">
        <v>324</v>
      </c>
      <c r="C56" s="606">
        <f>SUM(6D!E397)</f>
        <v>903000</v>
      </c>
      <c r="D56" s="606">
        <f t="shared" si="7"/>
        <v>903000</v>
      </c>
      <c r="E56" s="624">
        <f t="shared" si="8"/>
        <v>903000</v>
      </c>
      <c r="F56" s="606">
        <v>903000</v>
      </c>
      <c r="G56" s="606">
        <v>0</v>
      </c>
      <c r="H56" s="606">
        <v>0</v>
      </c>
      <c r="I56" s="606">
        <v>0</v>
      </c>
      <c r="J56" s="607">
        <v>0</v>
      </c>
      <c r="K56" s="608">
        <v>0</v>
      </c>
    </row>
    <row r="57" spans="1:11" s="36" customFormat="1" ht="19.5" customHeight="1">
      <c r="A57" s="30" t="s">
        <v>1430</v>
      </c>
      <c r="B57" s="609" t="s">
        <v>324</v>
      </c>
      <c r="C57" s="610">
        <f>SUM(6D!F397)</f>
        <v>843266.01</v>
      </c>
      <c r="D57" s="611">
        <f t="shared" si="7"/>
        <v>843266.01</v>
      </c>
      <c r="E57" s="666">
        <f t="shared" si="8"/>
        <v>843266.01</v>
      </c>
      <c r="F57" s="610">
        <v>843266.01</v>
      </c>
      <c r="G57" s="610">
        <v>0</v>
      </c>
      <c r="H57" s="610">
        <v>0</v>
      </c>
      <c r="I57" s="610">
        <v>0</v>
      </c>
      <c r="J57" s="612">
        <v>0</v>
      </c>
      <c r="K57" s="613">
        <v>0</v>
      </c>
    </row>
    <row r="58" spans="1:11" s="600" customFormat="1" ht="19.5" customHeight="1">
      <c r="A58" s="617" t="s">
        <v>1429</v>
      </c>
      <c r="B58" s="619" t="s">
        <v>647</v>
      </c>
      <c r="C58" s="624">
        <f>SUM(6D!E408)</f>
        <v>321000</v>
      </c>
      <c r="D58" s="606">
        <f t="shared" si="7"/>
        <v>321000</v>
      </c>
      <c r="E58" s="624">
        <f t="shared" si="8"/>
        <v>321000</v>
      </c>
      <c r="F58" s="624">
        <v>216878</v>
      </c>
      <c r="G58" s="624">
        <v>104122</v>
      </c>
      <c r="H58" s="624">
        <v>0</v>
      </c>
      <c r="I58" s="624">
        <v>0</v>
      </c>
      <c r="J58" s="656">
        <v>0</v>
      </c>
      <c r="K58" s="657">
        <v>0</v>
      </c>
    </row>
    <row r="59" spans="1:11" s="36" customFormat="1" ht="19.5" customHeight="1">
      <c r="A59" s="30" t="s">
        <v>1430</v>
      </c>
      <c r="B59" s="609" t="s">
        <v>647</v>
      </c>
      <c r="C59" s="610">
        <f>SUM(6D!F408)</f>
        <v>294097.77</v>
      </c>
      <c r="D59" s="611">
        <f t="shared" si="7"/>
        <v>294097.77</v>
      </c>
      <c r="E59" s="666">
        <f t="shared" si="8"/>
        <v>294097.77</v>
      </c>
      <c r="F59" s="610">
        <v>204183.9</v>
      </c>
      <c r="G59" s="610">
        <v>89913.87</v>
      </c>
      <c r="H59" s="610">
        <v>0</v>
      </c>
      <c r="I59" s="610">
        <v>0</v>
      </c>
      <c r="J59" s="612">
        <v>0</v>
      </c>
      <c r="K59" s="613">
        <v>0</v>
      </c>
    </row>
    <row r="60" spans="1:11" s="600" customFormat="1" ht="19.5" customHeight="1">
      <c r="A60" s="604" t="s">
        <v>1429</v>
      </c>
      <c r="B60" s="605" t="s">
        <v>133</v>
      </c>
      <c r="C60" s="606">
        <f>SUM(6D!E417)</f>
        <v>36000</v>
      </c>
      <c r="D60" s="606">
        <f t="shared" si="7"/>
        <v>36000</v>
      </c>
      <c r="E60" s="624">
        <f t="shared" si="8"/>
        <v>36000</v>
      </c>
      <c r="F60" s="606">
        <v>0</v>
      </c>
      <c r="G60" s="606">
        <v>0</v>
      </c>
      <c r="H60" s="606">
        <v>36000</v>
      </c>
      <c r="I60" s="606">
        <v>0</v>
      </c>
      <c r="J60" s="607">
        <v>0</v>
      </c>
      <c r="K60" s="608">
        <v>0</v>
      </c>
    </row>
    <row r="61" spans="1:11" s="36" customFormat="1" ht="19.5" customHeight="1">
      <c r="A61" s="30" t="s">
        <v>1430</v>
      </c>
      <c r="B61" s="609" t="s">
        <v>133</v>
      </c>
      <c r="C61" s="610">
        <f>SUM(6D!F417)</f>
        <v>36000</v>
      </c>
      <c r="D61" s="611">
        <f>SUM(E61,K61)</f>
        <v>36000</v>
      </c>
      <c r="E61" s="666">
        <f t="shared" si="8"/>
        <v>36000</v>
      </c>
      <c r="F61" s="610">
        <v>0</v>
      </c>
      <c r="G61" s="610">
        <v>0</v>
      </c>
      <c r="H61" s="610">
        <v>36000</v>
      </c>
      <c r="I61" s="610">
        <v>0</v>
      </c>
      <c r="J61" s="612">
        <v>0</v>
      </c>
      <c r="K61" s="613">
        <v>0</v>
      </c>
    </row>
    <row r="62" spans="1:11" s="10" customFormat="1" ht="19.5" customHeight="1" hidden="1">
      <c r="A62" s="617" t="s">
        <v>1429</v>
      </c>
      <c r="B62" s="619" t="s">
        <v>761</v>
      </c>
      <c r="C62" s="624">
        <f>SUM(6D!E423)</f>
        <v>0</v>
      </c>
      <c r="D62" s="624">
        <f>SUM(E62,K62)</f>
        <v>0</v>
      </c>
      <c r="E62" s="624"/>
      <c r="F62" s="126">
        <v>0</v>
      </c>
      <c r="G62" s="126">
        <v>0</v>
      </c>
      <c r="H62" s="126"/>
      <c r="I62" s="126">
        <v>0</v>
      </c>
      <c r="J62" s="127"/>
      <c r="K62" s="128">
        <v>0</v>
      </c>
    </row>
    <row r="63" spans="1:11" ht="19.5" customHeight="1" hidden="1" thickBot="1">
      <c r="A63" s="620" t="s">
        <v>1430</v>
      </c>
      <c r="B63" s="621" t="s">
        <v>761</v>
      </c>
      <c r="C63" s="625">
        <f>SUM(6D!F423)</f>
        <v>0</v>
      </c>
      <c r="D63" s="658">
        <f>SUM(E63,K63)</f>
        <v>0</v>
      </c>
      <c r="E63" s="625"/>
      <c r="F63" s="121">
        <v>0</v>
      </c>
      <c r="G63" s="121">
        <v>0</v>
      </c>
      <c r="H63" s="121"/>
      <c r="I63" s="121">
        <v>0</v>
      </c>
      <c r="J63" s="129"/>
      <c r="K63" s="130">
        <v>0</v>
      </c>
    </row>
    <row r="64" spans="1:11" s="637" customFormat="1" ht="19.5" customHeight="1">
      <c r="A64" s="594" t="s">
        <v>741</v>
      </c>
      <c r="B64" s="595" t="s">
        <v>740</v>
      </c>
      <c r="C64" s="626">
        <f aca="true" t="shared" si="9" ref="C64:K64">SUM(C10,C38)</f>
        <v>12380789.92</v>
      </c>
      <c r="D64" s="626">
        <f t="shared" si="9"/>
        <v>12380789.92</v>
      </c>
      <c r="E64" s="626">
        <f t="shared" si="9"/>
        <v>12380667.92</v>
      </c>
      <c r="F64" s="626">
        <f t="shared" si="9"/>
        <v>5418569</v>
      </c>
      <c r="G64" s="626">
        <f t="shared" si="9"/>
        <v>995553.92</v>
      </c>
      <c r="H64" s="626">
        <f t="shared" si="9"/>
        <v>165007</v>
      </c>
      <c r="I64" s="626">
        <f t="shared" si="9"/>
        <v>5801538</v>
      </c>
      <c r="J64" s="626">
        <f t="shared" si="9"/>
        <v>0</v>
      </c>
      <c r="K64" s="636">
        <f t="shared" si="9"/>
        <v>122</v>
      </c>
    </row>
    <row r="65" spans="1:11" s="639" customFormat="1" ht="19.5" customHeight="1" thickBot="1">
      <c r="A65" s="622" t="s">
        <v>742</v>
      </c>
      <c r="B65" s="623" t="s">
        <v>740</v>
      </c>
      <c r="C65" s="627">
        <f aca="true" t="shared" si="10" ref="C65:K65">SUM(C11,C39)</f>
        <v>12222342.209999999</v>
      </c>
      <c r="D65" s="627">
        <f t="shared" si="10"/>
        <v>12222342.21</v>
      </c>
      <c r="E65" s="627">
        <f t="shared" si="10"/>
        <v>12222220.21</v>
      </c>
      <c r="F65" s="627">
        <f t="shared" si="10"/>
        <v>5338255.920000001</v>
      </c>
      <c r="G65" s="627">
        <f t="shared" si="10"/>
        <v>965909.8999999999</v>
      </c>
      <c r="H65" s="627">
        <f t="shared" si="10"/>
        <v>161273</v>
      </c>
      <c r="I65" s="627">
        <f t="shared" si="10"/>
        <v>5756781.39</v>
      </c>
      <c r="J65" s="627">
        <f t="shared" si="10"/>
        <v>0</v>
      </c>
      <c r="K65" s="638">
        <f t="shared" si="10"/>
        <v>122</v>
      </c>
    </row>
    <row r="66" spans="4:5" ht="12.75">
      <c r="D66" s="36"/>
      <c r="E66" s="36"/>
    </row>
    <row r="67" spans="1:11" ht="23.25" customHeight="1" hidden="1">
      <c r="A67" s="43" t="s">
        <v>1301</v>
      </c>
      <c r="B67" s="43" t="s">
        <v>1300</v>
      </c>
      <c r="C67" s="15">
        <v>6602329.63</v>
      </c>
      <c r="D67" s="15">
        <v>5942947.26</v>
      </c>
      <c r="E67" s="15">
        <f>SUM(F67,G67,H67,I67,J67)</f>
        <v>5942825.26</v>
      </c>
      <c r="F67" s="15">
        <v>2113033.11</v>
      </c>
      <c r="G67" s="15">
        <v>906480.56</v>
      </c>
      <c r="H67" s="15">
        <v>87631</v>
      </c>
      <c r="I67" s="15">
        <v>2835680.59</v>
      </c>
      <c r="J67" s="15">
        <v>0</v>
      </c>
      <c r="K67" s="15">
        <v>122</v>
      </c>
    </row>
    <row r="68" spans="1:11" s="9" customFormat="1" ht="12.75" hidden="1">
      <c r="A68" s="46"/>
      <c r="B68" s="46" t="s">
        <v>1392</v>
      </c>
      <c r="C68" s="122">
        <f>C65-C67</f>
        <v>5620012.579999999</v>
      </c>
      <c r="D68" s="122">
        <f aca="true" t="shared" si="11" ref="D68:K68">D65-D67</f>
        <v>6279394.950000001</v>
      </c>
      <c r="E68" s="122">
        <f t="shared" si="11"/>
        <v>6279394.950000001</v>
      </c>
      <c r="F68" s="122">
        <f t="shared" si="11"/>
        <v>3225222.810000001</v>
      </c>
      <c r="G68" s="122">
        <f t="shared" si="11"/>
        <v>59429.33999999985</v>
      </c>
      <c r="H68" s="122">
        <f t="shared" si="11"/>
        <v>73642</v>
      </c>
      <c r="I68" s="122">
        <f t="shared" si="11"/>
        <v>2921100.8</v>
      </c>
      <c r="J68" s="122">
        <f t="shared" si="11"/>
        <v>0</v>
      </c>
      <c r="K68" s="122">
        <f t="shared" si="11"/>
        <v>0</v>
      </c>
    </row>
  </sheetData>
  <sheetProtection password="CF93" sheet="1" formatRows="0" insertColumns="0" insertRows="0" insertHyperlinks="0" deleteColumns="0" deleteRows="0" sort="0" autoFilter="0" pivotTables="0"/>
  <mergeCells count="13">
    <mergeCell ref="A3:K3"/>
    <mergeCell ref="A5:A8"/>
    <mergeCell ref="C5:C8"/>
    <mergeCell ref="D5:D8"/>
    <mergeCell ref="B5:B8"/>
    <mergeCell ref="E5:K5"/>
    <mergeCell ref="E6:E8"/>
    <mergeCell ref="F6:J6"/>
    <mergeCell ref="F7:G7"/>
    <mergeCell ref="K6:K8"/>
    <mergeCell ref="H7:H8"/>
    <mergeCell ref="I7:I8"/>
    <mergeCell ref="J7:J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  <rowBreaks count="3" manualBreakCount="3">
    <brk id="21" max="10" man="1"/>
    <brk id="39" max="10" man="1"/>
    <brk id="55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L28"/>
  <sheetViews>
    <sheetView defaultGridColor="0" view="pageBreakPreview" zoomScaleSheetLayoutView="100" colorId="8" workbookViewId="0" topLeftCell="A1">
      <pane ySplit="9" topLeftCell="I18" activePane="bottomLeft" state="frozen"/>
      <selection pane="topLeft" activeCell="A1" sqref="A1"/>
      <selection pane="bottomLeft" activeCell="G34" sqref="G34"/>
    </sheetView>
  </sheetViews>
  <sheetFormatPr defaultColWidth="9.00390625" defaultRowHeight="12.75"/>
  <cols>
    <col min="1" max="1" width="12.25390625" style="7" customWidth="1"/>
    <col min="2" max="2" width="9.625" style="7" customWidth="1"/>
    <col min="3" max="4" width="12.125" style="6" customWidth="1"/>
    <col min="5" max="5" width="13.625" style="6" customWidth="1"/>
    <col min="6" max="6" width="13.75390625" style="6" customWidth="1"/>
    <col min="7" max="7" width="12.125" style="6" customWidth="1"/>
    <col min="8" max="8" width="11.125" style="6" customWidth="1"/>
    <col min="9" max="9" width="11.00390625" style="6" customWidth="1"/>
    <col min="10" max="10" width="12.25390625" style="6" customWidth="1"/>
    <col min="11" max="11" width="11.625" style="6" customWidth="1"/>
    <col min="12" max="16384" width="9.125" style="6" customWidth="1"/>
  </cols>
  <sheetData>
    <row r="1" spans="1:12" s="36" customFormat="1" ht="12.75">
      <c r="A1" s="589"/>
      <c r="B1" s="589"/>
      <c r="C1" s="590"/>
      <c r="D1" s="590"/>
      <c r="E1" s="590"/>
      <c r="F1" s="590"/>
      <c r="G1" s="590"/>
      <c r="H1" s="590"/>
      <c r="I1" s="590"/>
      <c r="J1" s="590"/>
      <c r="K1" s="591" t="s">
        <v>856</v>
      </c>
      <c r="L1" s="592"/>
    </row>
    <row r="2" spans="1:11" s="36" customFormat="1" ht="11.25" customHeight="1">
      <c r="A2" s="589"/>
      <c r="B2" s="589"/>
      <c r="C2" s="590"/>
      <c r="D2" s="590"/>
      <c r="E2" s="590"/>
      <c r="F2" s="590"/>
      <c r="G2" s="590"/>
      <c r="H2" s="590"/>
      <c r="I2" s="590"/>
      <c r="J2" s="590"/>
      <c r="K2" s="590"/>
    </row>
    <row r="3" spans="1:11" s="36" customFormat="1" ht="25.5" customHeight="1">
      <c r="A3" s="1491" t="s">
        <v>336</v>
      </c>
      <c r="B3" s="1491"/>
      <c r="C3" s="1491"/>
      <c r="D3" s="1491"/>
      <c r="E3" s="1491"/>
      <c r="F3" s="1491"/>
      <c r="G3" s="1491"/>
      <c r="H3" s="1491"/>
      <c r="I3" s="1491"/>
      <c r="J3" s="1491"/>
      <c r="K3" s="1491"/>
    </row>
    <row r="4" spans="1:11" s="36" customFormat="1" ht="12" customHeight="1" thickBot="1">
      <c r="A4" s="589"/>
      <c r="B4" s="589"/>
      <c r="C4" s="590"/>
      <c r="D4" s="590"/>
      <c r="E4" s="590"/>
      <c r="F4" s="590"/>
      <c r="G4" s="590"/>
      <c r="H4" s="590"/>
      <c r="I4" s="590"/>
      <c r="J4" s="590"/>
      <c r="K4" s="593" t="s">
        <v>1426</v>
      </c>
    </row>
    <row r="5" spans="1:11" s="43" customFormat="1" ht="12.75" customHeight="1">
      <c r="A5" s="1492" t="s">
        <v>1428</v>
      </c>
      <c r="B5" s="1497" t="s">
        <v>1427</v>
      </c>
      <c r="C5" s="1495" t="s">
        <v>1198</v>
      </c>
      <c r="D5" s="1495" t="s">
        <v>191</v>
      </c>
      <c r="E5" s="1495" t="s">
        <v>359</v>
      </c>
      <c r="F5" s="1495"/>
      <c r="G5" s="1495"/>
      <c r="H5" s="1495"/>
      <c r="I5" s="1495"/>
      <c r="J5" s="1499"/>
      <c r="K5" s="1500"/>
    </row>
    <row r="6" spans="1:11" s="43" customFormat="1" ht="11.25" customHeight="1">
      <c r="A6" s="1493"/>
      <c r="B6" s="1498"/>
      <c r="C6" s="1490"/>
      <c r="D6" s="1490"/>
      <c r="E6" s="1489" t="s">
        <v>1107</v>
      </c>
      <c r="F6" s="1480" t="s">
        <v>593</v>
      </c>
      <c r="G6" s="1481"/>
      <c r="H6" s="1481"/>
      <c r="I6" s="1481"/>
      <c r="J6" s="1482"/>
      <c r="K6" s="1484" t="s">
        <v>1199</v>
      </c>
    </row>
    <row r="7" spans="1:11" s="43" customFormat="1" ht="18" customHeight="1">
      <c r="A7" s="1494"/>
      <c r="B7" s="1496"/>
      <c r="C7" s="1496"/>
      <c r="D7" s="1483"/>
      <c r="E7" s="1501"/>
      <c r="F7" s="1483" t="s">
        <v>190</v>
      </c>
      <c r="G7" s="1483"/>
      <c r="H7" s="1483" t="s">
        <v>187</v>
      </c>
      <c r="I7" s="1487" t="s">
        <v>188</v>
      </c>
      <c r="J7" s="1489" t="s">
        <v>189</v>
      </c>
      <c r="K7" s="1485"/>
    </row>
    <row r="8" spans="1:11" s="43" customFormat="1" ht="63" customHeight="1">
      <c r="A8" s="1494"/>
      <c r="B8" s="1496"/>
      <c r="C8" s="1496"/>
      <c r="D8" s="1483"/>
      <c r="E8" s="1490"/>
      <c r="F8" s="598" t="s">
        <v>1410</v>
      </c>
      <c r="G8" s="598" t="s">
        <v>186</v>
      </c>
      <c r="H8" s="1483"/>
      <c r="I8" s="1488"/>
      <c r="J8" s="1490"/>
      <c r="K8" s="1486"/>
    </row>
    <row r="9" spans="1:11" s="36" customFormat="1" ht="8.25" customHeight="1">
      <c r="A9" s="30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628">
        <v>11</v>
      </c>
    </row>
    <row r="10" spans="1:11" s="600" customFormat="1" ht="18.75" customHeight="1">
      <c r="A10" s="596" t="s">
        <v>1429</v>
      </c>
      <c r="B10" s="597" t="s">
        <v>743</v>
      </c>
      <c r="C10" s="599">
        <f>SUM(C12,C14,C16)</f>
        <v>45000</v>
      </c>
      <c r="D10" s="599">
        <f aca="true" t="shared" si="0" ref="D10:K10">SUM(D12,D14,D16)</f>
        <v>45000</v>
      </c>
      <c r="E10" s="599">
        <f t="shared" si="0"/>
        <v>45000</v>
      </c>
      <c r="F10" s="599">
        <f t="shared" si="0"/>
        <v>3950</v>
      </c>
      <c r="G10" s="599">
        <f t="shared" si="0"/>
        <v>41050</v>
      </c>
      <c r="H10" s="599">
        <f t="shared" si="0"/>
        <v>0</v>
      </c>
      <c r="I10" s="599">
        <f t="shared" si="0"/>
        <v>0</v>
      </c>
      <c r="J10" s="599">
        <f t="shared" si="0"/>
        <v>0</v>
      </c>
      <c r="K10" s="599">
        <f t="shared" si="0"/>
        <v>0</v>
      </c>
    </row>
    <row r="11" spans="1:11" s="36" customFormat="1" ht="18.75" customHeight="1">
      <c r="A11" s="601" t="s">
        <v>1430</v>
      </c>
      <c r="B11" s="602" t="s">
        <v>743</v>
      </c>
      <c r="C11" s="603">
        <f>SUM(C13,C15,C17)</f>
        <v>44423.65000000001</v>
      </c>
      <c r="D11" s="603">
        <f aca="true" t="shared" si="1" ref="D11:K11">SUM(D13,D15,D17)</f>
        <v>44423.65000000001</v>
      </c>
      <c r="E11" s="603">
        <f t="shared" si="1"/>
        <v>44423.65000000001</v>
      </c>
      <c r="F11" s="603">
        <f t="shared" si="1"/>
        <v>3948.84</v>
      </c>
      <c r="G11" s="603">
        <f t="shared" si="1"/>
        <v>40474.810000000005</v>
      </c>
      <c r="H11" s="603">
        <f t="shared" si="1"/>
        <v>0</v>
      </c>
      <c r="I11" s="603">
        <f t="shared" si="1"/>
        <v>0</v>
      </c>
      <c r="J11" s="603">
        <f t="shared" si="1"/>
        <v>0</v>
      </c>
      <c r="K11" s="603">
        <f t="shared" si="1"/>
        <v>0</v>
      </c>
    </row>
    <row r="12" spans="1:11" s="10" customFormat="1" ht="18.75" customHeight="1">
      <c r="A12" s="604" t="s">
        <v>1429</v>
      </c>
      <c r="B12" s="614">
        <v>70005</v>
      </c>
      <c r="C12" s="635">
        <f>SUM(6D!E66)</f>
        <v>35000</v>
      </c>
      <c r="D12" s="606">
        <f aca="true" t="shared" si="2" ref="D12:D17">SUM(E12,K12)</f>
        <v>35000</v>
      </c>
      <c r="E12" s="606">
        <f aca="true" t="shared" si="3" ref="E12:E17">SUM(F12,G12,H12,I12,J12)</f>
        <v>35000</v>
      </c>
      <c r="F12" s="606">
        <v>0</v>
      </c>
      <c r="G12" s="606">
        <v>35000</v>
      </c>
      <c r="H12" s="606">
        <v>0</v>
      </c>
      <c r="I12" s="606">
        <v>0</v>
      </c>
      <c r="J12" s="607">
        <v>0</v>
      </c>
      <c r="K12" s="608">
        <v>0</v>
      </c>
    </row>
    <row r="13" spans="1:11" ht="18.75" customHeight="1">
      <c r="A13" s="30" t="s">
        <v>1430</v>
      </c>
      <c r="B13" s="32">
        <v>70005</v>
      </c>
      <c r="C13" s="33">
        <f>SUM(6D!F66)</f>
        <v>34976.3</v>
      </c>
      <c r="D13" s="611">
        <f t="shared" si="2"/>
        <v>34976.3</v>
      </c>
      <c r="E13" s="611">
        <f t="shared" si="3"/>
        <v>34976.3</v>
      </c>
      <c r="F13" s="610">
        <v>0</v>
      </c>
      <c r="G13" s="610">
        <v>34976.3</v>
      </c>
      <c r="H13" s="610">
        <v>0</v>
      </c>
      <c r="I13" s="610">
        <v>0</v>
      </c>
      <c r="J13" s="612">
        <v>0</v>
      </c>
      <c r="K13" s="613">
        <v>0</v>
      </c>
    </row>
    <row r="14" spans="1:11" s="10" customFormat="1" ht="18.75" customHeight="1">
      <c r="A14" s="604" t="s">
        <v>1429</v>
      </c>
      <c r="B14" s="614">
        <v>80195</v>
      </c>
      <c r="C14" s="635">
        <f>6D!E192</f>
        <v>4000</v>
      </c>
      <c r="D14" s="606">
        <f t="shared" si="2"/>
        <v>4000</v>
      </c>
      <c r="E14" s="606">
        <f t="shared" si="3"/>
        <v>4000</v>
      </c>
      <c r="F14" s="606">
        <v>0</v>
      </c>
      <c r="G14" s="606">
        <v>4000</v>
      </c>
      <c r="H14" s="606">
        <v>0</v>
      </c>
      <c r="I14" s="606">
        <v>0</v>
      </c>
      <c r="J14" s="607">
        <v>0</v>
      </c>
      <c r="K14" s="608">
        <v>0</v>
      </c>
    </row>
    <row r="15" spans="1:11" ht="18.75" customHeight="1">
      <c r="A15" s="30" t="s">
        <v>1430</v>
      </c>
      <c r="B15" s="32">
        <v>80195</v>
      </c>
      <c r="C15" s="33">
        <f>6D!F192</f>
        <v>3448.51</v>
      </c>
      <c r="D15" s="611">
        <f t="shared" si="2"/>
        <v>3448.51</v>
      </c>
      <c r="E15" s="611">
        <f t="shared" si="3"/>
        <v>3448.51</v>
      </c>
      <c r="F15" s="610">
        <v>0</v>
      </c>
      <c r="G15" s="610">
        <v>3448.51</v>
      </c>
      <c r="H15" s="610">
        <v>0</v>
      </c>
      <c r="I15" s="610">
        <v>0</v>
      </c>
      <c r="J15" s="612">
        <v>0</v>
      </c>
      <c r="K15" s="613">
        <v>0</v>
      </c>
    </row>
    <row r="16" spans="1:11" s="600" customFormat="1" ht="18.75" customHeight="1">
      <c r="A16" s="604" t="s">
        <v>1429</v>
      </c>
      <c r="B16" s="614">
        <v>85295</v>
      </c>
      <c r="C16" s="606">
        <f>SUM(6D!E251)</f>
        <v>6000</v>
      </c>
      <c r="D16" s="606">
        <f t="shared" si="2"/>
        <v>6000</v>
      </c>
      <c r="E16" s="606">
        <f t="shared" si="3"/>
        <v>6000</v>
      </c>
      <c r="F16" s="606">
        <v>3950</v>
      </c>
      <c r="G16" s="606">
        <v>2050</v>
      </c>
      <c r="H16" s="606">
        <v>0</v>
      </c>
      <c r="I16" s="606">
        <v>0</v>
      </c>
      <c r="J16" s="607">
        <v>0</v>
      </c>
      <c r="K16" s="608">
        <v>0</v>
      </c>
    </row>
    <row r="17" spans="1:11" s="655" customFormat="1" ht="18.75" customHeight="1">
      <c r="A17" s="30" t="s">
        <v>1430</v>
      </c>
      <c r="B17" s="616">
        <v>85295</v>
      </c>
      <c r="C17" s="611">
        <f>SUM(6D!F251)</f>
        <v>5998.84</v>
      </c>
      <c r="D17" s="611">
        <f t="shared" si="2"/>
        <v>5998.84</v>
      </c>
      <c r="E17" s="611">
        <f t="shared" si="3"/>
        <v>5998.84</v>
      </c>
      <c r="F17" s="640">
        <v>3948.84</v>
      </c>
      <c r="G17" s="640">
        <v>2050</v>
      </c>
      <c r="H17" s="640">
        <v>0</v>
      </c>
      <c r="I17" s="640">
        <v>0</v>
      </c>
      <c r="J17" s="653">
        <v>0</v>
      </c>
      <c r="K17" s="654">
        <v>0</v>
      </c>
    </row>
    <row r="18" spans="1:11" s="600" customFormat="1" ht="18.75" customHeight="1">
      <c r="A18" s="596" t="s">
        <v>1429</v>
      </c>
      <c r="B18" s="597" t="s">
        <v>744</v>
      </c>
      <c r="C18" s="599">
        <f>SUM(C20,C22)</f>
        <v>38150</v>
      </c>
      <c r="D18" s="599">
        <f aca="true" t="shared" si="4" ref="D18:K18">SUM(D20,D22)</f>
        <v>38150</v>
      </c>
      <c r="E18" s="599">
        <f t="shared" si="4"/>
        <v>38150</v>
      </c>
      <c r="F18" s="599">
        <f t="shared" si="4"/>
        <v>6000</v>
      </c>
      <c r="G18" s="599">
        <f t="shared" si="4"/>
        <v>32150</v>
      </c>
      <c r="H18" s="599">
        <f t="shared" si="4"/>
        <v>0</v>
      </c>
      <c r="I18" s="599">
        <f t="shared" si="4"/>
        <v>0</v>
      </c>
      <c r="J18" s="599">
        <f t="shared" si="4"/>
        <v>0</v>
      </c>
      <c r="K18" s="633">
        <f t="shared" si="4"/>
        <v>0</v>
      </c>
    </row>
    <row r="19" spans="1:11" s="36" customFormat="1" ht="18.75" customHeight="1">
      <c r="A19" s="601" t="s">
        <v>1430</v>
      </c>
      <c r="B19" s="602" t="s">
        <v>744</v>
      </c>
      <c r="C19" s="603">
        <f>SUM(C21,C23)</f>
        <v>38145.91</v>
      </c>
      <c r="D19" s="603">
        <f aca="true" t="shared" si="5" ref="D19:K19">SUM(D21,D23)</f>
        <v>38145.91</v>
      </c>
      <c r="E19" s="603">
        <f t="shared" si="5"/>
        <v>38145.91</v>
      </c>
      <c r="F19" s="603">
        <f t="shared" si="5"/>
        <v>5995.91</v>
      </c>
      <c r="G19" s="603">
        <f t="shared" si="5"/>
        <v>32150</v>
      </c>
      <c r="H19" s="603">
        <f t="shared" si="5"/>
        <v>0</v>
      </c>
      <c r="I19" s="603">
        <f t="shared" si="5"/>
        <v>0</v>
      </c>
      <c r="J19" s="603">
        <f t="shared" si="5"/>
        <v>0</v>
      </c>
      <c r="K19" s="634">
        <f t="shared" si="5"/>
        <v>0</v>
      </c>
    </row>
    <row r="20" spans="1:11" s="600" customFormat="1" ht="18.75" customHeight="1">
      <c r="A20" s="604" t="s">
        <v>1429</v>
      </c>
      <c r="B20" s="614">
        <v>75045</v>
      </c>
      <c r="C20" s="606">
        <f>SUM(6D!E360)</f>
        <v>1750</v>
      </c>
      <c r="D20" s="624">
        <f>SUM(E20,K20)</f>
        <v>1750</v>
      </c>
      <c r="E20" s="606">
        <f>SUM(F20,G20,H20,I20,J20)</f>
        <v>1750</v>
      </c>
      <c r="F20" s="624">
        <v>0</v>
      </c>
      <c r="G20" s="624">
        <v>1750</v>
      </c>
      <c r="H20" s="624">
        <v>0</v>
      </c>
      <c r="I20" s="624">
        <v>0</v>
      </c>
      <c r="J20" s="656">
        <v>0</v>
      </c>
      <c r="K20" s="657">
        <v>0</v>
      </c>
    </row>
    <row r="21" spans="1:11" s="36" customFormat="1" ht="18.75" customHeight="1">
      <c r="A21" s="30" t="s">
        <v>1430</v>
      </c>
      <c r="B21" s="32">
        <v>75045</v>
      </c>
      <c r="C21" s="640">
        <f>SUM(6D!F360)</f>
        <v>1750</v>
      </c>
      <c r="D21" s="610">
        <f>SUM(E21,K21)</f>
        <v>1750</v>
      </c>
      <c r="E21" s="611">
        <f>SUM(F21,G21,H21,I21,J21)</f>
        <v>1750</v>
      </c>
      <c r="F21" s="610">
        <v>0</v>
      </c>
      <c r="G21" s="610">
        <v>1750</v>
      </c>
      <c r="H21" s="610">
        <v>0</v>
      </c>
      <c r="I21" s="610">
        <v>0</v>
      </c>
      <c r="J21" s="612">
        <v>0</v>
      </c>
      <c r="K21" s="613">
        <v>0</v>
      </c>
    </row>
    <row r="22" spans="1:11" s="600" customFormat="1" ht="18.75" customHeight="1">
      <c r="A22" s="617" t="s">
        <v>1429</v>
      </c>
      <c r="B22" s="619" t="s">
        <v>689</v>
      </c>
      <c r="C22" s="624">
        <f>SUM(6D!E414)</f>
        <v>36400</v>
      </c>
      <c r="D22" s="624">
        <f>SUM(E22,K22)</f>
        <v>36400</v>
      </c>
      <c r="E22" s="606">
        <f>SUM(F22,G22,H22,I22,J22)</f>
        <v>36400</v>
      </c>
      <c r="F22" s="624">
        <v>6000</v>
      </c>
      <c r="G22" s="624">
        <v>30400</v>
      </c>
      <c r="H22" s="624">
        <v>0</v>
      </c>
      <c r="I22" s="624">
        <v>0</v>
      </c>
      <c r="J22" s="656">
        <v>0</v>
      </c>
      <c r="K22" s="657">
        <v>0</v>
      </c>
    </row>
    <row r="23" spans="1:11" s="36" customFormat="1" ht="18.75" customHeight="1" thickBot="1">
      <c r="A23" s="620" t="s">
        <v>1430</v>
      </c>
      <c r="B23" s="621" t="s">
        <v>689</v>
      </c>
      <c r="C23" s="625">
        <f>SUM(6D!F414)</f>
        <v>36395.91</v>
      </c>
      <c r="D23" s="625">
        <f>SUM(E23,K23)</f>
        <v>36395.91</v>
      </c>
      <c r="E23" s="658">
        <f>SUM(F23,G23,H23,I23,J23)</f>
        <v>36395.91</v>
      </c>
      <c r="F23" s="625">
        <v>5995.91</v>
      </c>
      <c r="G23" s="625">
        <v>30400</v>
      </c>
      <c r="H23" s="625">
        <v>0</v>
      </c>
      <c r="I23" s="625">
        <v>0</v>
      </c>
      <c r="J23" s="659">
        <v>0</v>
      </c>
      <c r="K23" s="660">
        <v>0</v>
      </c>
    </row>
    <row r="24" spans="1:11" s="637" customFormat="1" ht="18.75" customHeight="1" thickTop="1">
      <c r="A24" s="594" t="s">
        <v>741</v>
      </c>
      <c r="B24" s="595" t="s">
        <v>740</v>
      </c>
      <c r="C24" s="626">
        <f aca="true" t="shared" si="6" ref="C24:K24">SUM(C10,C18)</f>
        <v>83150</v>
      </c>
      <c r="D24" s="626">
        <f t="shared" si="6"/>
        <v>83150</v>
      </c>
      <c r="E24" s="626">
        <f t="shared" si="6"/>
        <v>83150</v>
      </c>
      <c r="F24" s="626">
        <f t="shared" si="6"/>
        <v>9950</v>
      </c>
      <c r="G24" s="626">
        <f t="shared" si="6"/>
        <v>73200</v>
      </c>
      <c r="H24" s="626">
        <f t="shared" si="6"/>
        <v>0</v>
      </c>
      <c r="I24" s="626">
        <f t="shared" si="6"/>
        <v>0</v>
      </c>
      <c r="J24" s="626">
        <f t="shared" si="6"/>
        <v>0</v>
      </c>
      <c r="K24" s="636">
        <f t="shared" si="6"/>
        <v>0</v>
      </c>
    </row>
    <row r="25" spans="1:11" s="639" customFormat="1" ht="18.75" customHeight="1" thickBot="1">
      <c r="A25" s="622" t="s">
        <v>742</v>
      </c>
      <c r="B25" s="623" t="s">
        <v>740</v>
      </c>
      <c r="C25" s="627">
        <f aca="true" t="shared" si="7" ref="C25:K25">SUM(C11,C19)</f>
        <v>82569.56000000001</v>
      </c>
      <c r="D25" s="627">
        <f t="shared" si="7"/>
        <v>82569.56000000001</v>
      </c>
      <c r="E25" s="627">
        <f t="shared" si="7"/>
        <v>82569.56000000001</v>
      </c>
      <c r="F25" s="627">
        <f t="shared" si="7"/>
        <v>9944.75</v>
      </c>
      <c r="G25" s="627">
        <f t="shared" si="7"/>
        <v>72624.81</v>
      </c>
      <c r="H25" s="627">
        <f t="shared" si="7"/>
        <v>0</v>
      </c>
      <c r="I25" s="627">
        <f t="shared" si="7"/>
        <v>0</v>
      </c>
      <c r="J25" s="627">
        <f t="shared" si="7"/>
        <v>0</v>
      </c>
      <c r="K25" s="638">
        <f t="shared" si="7"/>
        <v>0</v>
      </c>
    </row>
    <row r="27" spans="1:11" ht="23.25" customHeight="1" hidden="1">
      <c r="A27" s="7" t="s">
        <v>1301</v>
      </c>
      <c r="B27" s="7" t="s">
        <v>1108</v>
      </c>
      <c r="C27" s="15">
        <v>36750</v>
      </c>
      <c r="D27" s="15">
        <v>1750</v>
      </c>
      <c r="E27" s="15">
        <v>1750</v>
      </c>
      <c r="F27" s="15">
        <v>0</v>
      </c>
      <c r="G27" s="15">
        <v>1750</v>
      </c>
      <c r="H27" s="15">
        <v>0</v>
      </c>
      <c r="I27" s="15">
        <v>0</v>
      </c>
      <c r="J27" s="15">
        <v>0</v>
      </c>
      <c r="K27" s="15">
        <v>0</v>
      </c>
    </row>
    <row r="28" spans="1:11" s="9" customFormat="1" ht="12.75" hidden="1">
      <c r="A28" s="120"/>
      <c r="B28" s="120" t="s">
        <v>1392</v>
      </c>
      <c r="C28" s="122">
        <f aca="true" t="shared" si="8" ref="C28:K28">C25-C27</f>
        <v>45819.56000000001</v>
      </c>
      <c r="D28" s="122">
        <f t="shared" si="8"/>
        <v>80819.56000000001</v>
      </c>
      <c r="E28" s="122">
        <f t="shared" si="8"/>
        <v>80819.56000000001</v>
      </c>
      <c r="F28" s="122">
        <f t="shared" si="8"/>
        <v>9944.75</v>
      </c>
      <c r="G28" s="122">
        <f t="shared" si="8"/>
        <v>70874.81</v>
      </c>
      <c r="H28" s="122">
        <f t="shared" si="8"/>
        <v>0</v>
      </c>
      <c r="I28" s="122">
        <f t="shared" si="8"/>
        <v>0</v>
      </c>
      <c r="J28" s="122">
        <f t="shared" si="8"/>
        <v>0</v>
      </c>
      <c r="K28" s="122">
        <f t="shared" si="8"/>
        <v>0</v>
      </c>
    </row>
  </sheetData>
  <sheetProtection password="CF93" sheet="1" formatRows="0" insertColumns="0" insertRows="0" insertHyperlinks="0" deleteColumns="0" deleteRows="0" sort="0" autoFilter="0" pivotTables="0"/>
  <mergeCells count="13">
    <mergeCell ref="H7:H8"/>
    <mergeCell ref="I7:I8"/>
    <mergeCell ref="J7:J8"/>
    <mergeCell ref="A3:K3"/>
    <mergeCell ref="A5:A8"/>
    <mergeCell ref="C5:C8"/>
    <mergeCell ref="D5:D8"/>
    <mergeCell ref="B5:B8"/>
    <mergeCell ref="E5:K5"/>
    <mergeCell ref="E6:E8"/>
    <mergeCell ref="F6:J6"/>
    <mergeCell ref="F7:G7"/>
    <mergeCell ref="K6:K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K19"/>
  <sheetViews>
    <sheetView defaultGridColor="0" view="pageBreakPreview" zoomScaleSheetLayoutView="100" zoomScalePageLayoutView="0" colorId="8" workbookViewId="0" topLeftCell="A1">
      <selection activeCell="I19" sqref="H19:I19"/>
    </sheetView>
  </sheetViews>
  <sheetFormatPr defaultColWidth="9.00390625" defaultRowHeight="12.75"/>
  <cols>
    <col min="1" max="1" width="13.00390625" style="43" customWidth="1"/>
    <col min="2" max="2" width="11.25390625" style="43" customWidth="1"/>
    <col min="3" max="3" width="11.125" style="36" customWidth="1"/>
    <col min="4" max="4" width="12.625" style="6" customWidth="1"/>
    <col min="5" max="5" width="12.00390625" style="6" customWidth="1"/>
    <col min="6" max="6" width="13.75390625" style="6" customWidth="1"/>
    <col min="7" max="7" width="12.625" style="6" customWidth="1"/>
    <col min="8" max="8" width="11.25390625" style="6" customWidth="1"/>
    <col min="9" max="9" width="11.875" style="6" customWidth="1"/>
    <col min="10" max="10" width="10.125" style="6" customWidth="1"/>
    <col min="11" max="11" width="10.75390625" style="6" customWidth="1"/>
    <col min="12" max="16384" width="9.125" style="6" customWidth="1"/>
  </cols>
  <sheetData>
    <row r="1" spans="1:11" s="36" customFormat="1" ht="12.75">
      <c r="A1" s="589"/>
      <c r="B1" s="589"/>
      <c r="C1" s="590"/>
      <c r="D1" s="590"/>
      <c r="E1" s="590"/>
      <c r="F1" s="590"/>
      <c r="G1" s="590"/>
      <c r="H1" s="590"/>
      <c r="I1" s="591"/>
      <c r="J1" s="591"/>
      <c r="K1" s="591" t="s">
        <v>1109</v>
      </c>
    </row>
    <row r="2" spans="1:9" s="36" customFormat="1" ht="21" customHeight="1">
      <c r="A2" s="589"/>
      <c r="B2" s="589"/>
      <c r="C2" s="590"/>
      <c r="D2" s="590"/>
      <c r="E2" s="590"/>
      <c r="F2" s="590"/>
      <c r="G2" s="590"/>
      <c r="H2" s="590"/>
      <c r="I2" s="590"/>
    </row>
    <row r="3" spans="1:11" s="36" customFormat="1" ht="25.5" customHeight="1">
      <c r="A3" s="1491" t="s">
        <v>337</v>
      </c>
      <c r="B3" s="1491"/>
      <c r="C3" s="1491"/>
      <c r="D3" s="1491"/>
      <c r="E3" s="1491"/>
      <c r="F3" s="1491"/>
      <c r="G3" s="1491"/>
      <c r="H3" s="1491"/>
      <c r="I3" s="1491"/>
      <c r="J3" s="1491"/>
      <c r="K3" s="1491"/>
    </row>
    <row r="4" spans="1:11" s="36" customFormat="1" ht="24" customHeight="1" thickBot="1">
      <c r="A4" s="589"/>
      <c r="B4" s="589"/>
      <c r="C4" s="590"/>
      <c r="D4" s="590"/>
      <c r="E4" s="590"/>
      <c r="F4" s="590"/>
      <c r="G4" s="590"/>
      <c r="H4" s="590"/>
      <c r="I4" s="593"/>
      <c r="J4" s="593"/>
      <c r="K4" s="593" t="s">
        <v>1426</v>
      </c>
    </row>
    <row r="5" spans="1:11" s="43" customFormat="1" ht="17.25" customHeight="1">
      <c r="A5" s="1492" t="s">
        <v>1428</v>
      </c>
      <c r="B5" s="1497" t="s">
        <v>1427</v>
      </c>
      <c r="C5" s="1495" t="s">
        <v>1198</v>
      </c>
      <c r="D5" s="1495" t="s">
        <v>191</v>
      </c>
      <c r="E5" s="1495" t="s">
        <v>359</v>
      </c>
      <c r="F5" s="1495"/>
      <c r="G5" s="1495"/>
      <c r="H5" s="1495"/>
      <c r="I5" s="1495"/>
      <c r="J5" s="1499"/>
      <c r="K5" s="1500"/>
    </row>
    <row r="6" spans="1:11" s="43" customFormat="1" ht="17.25" customHeight="1">
      <c r="A6" s="1493"/>
      <c r="B6" s="1498"/>
      <c r="C6" s="1490"/>
      <c r="D6" s="1490"/>
      <c r="E6" s="1489" t="s">
        <v>1107</v>
      </c>
      <c r="F6" s="1480" t="s">
        <v>593</v>
      </c>
      <c r="G6" s="1481"/>
      <c r="H6" s="1481"/>
      <c r="I6" s="1481"/>
      <c r="J6" s="1482"/>
      <c r="K6" s="1484" t="s">
        <v>1199</v>
      </c>
    </row>
    <row r="7" spans="1:11" s="43" customFormat="1" ht="16.5" customHeight="1">
      <c r="A7" s="1494"/>
      <c r="B7" s="1496"/>
      <c r="C7" s="1496"/>
      <c r="D7" s="1483"/>
      <c r="E7" s="1501"/>
      <c r="F7" s="1483" t="s">
        <v>190</v>
      </c>
      <c r="G7" s="1483"/>
      <c r="H7" s="1483" t="s">
        <v>187</v>
      </c>
      <c r="I7" s="1487" t="s">
        <v>188</v>
      </c>
      <c r="J7" s="1489" t="s">
        <v>189</v>
      </c>
      <c r="K7" s="1485"/>
    </row>
    <row r="8" spans="1:11" s="43" customFormat="1" ht="72" customHeight="1">
      <c r="A8" s="1494"/>
      <c r="B8" s="1496"/>
      <c r="C8" s="1496"/>
      <c r="D8" s="1483"/>
      <c r="E8" s="1490"/>
      <c r="F8" s="598" t="s">
        <v>1410</v>
      </c>
      <c r="G8" s="598" t="s">
        <v>186</v>
      </c>
      <c r="H8" s="1483"/>
      <c r="I8" s="1488"/>
      <c r="J8" s="1490"/>
      <c r="K8" s="1486"/>
    </row>
    <row r="9" spans="1:11" s="36" customFormat="1" ht="14.25" customHeight="1">
      <c r="A9" s="30">
        <v>1</v>
      </c>
      <c r="B9" s="32">
        <v>2</v>
      </c>
      <c r="C9" s="32">
        <v>3</v>
      </c>
      <c r="D9" s="32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628">
        <v>11</v>
      </c>
    </row>
    <row r="10" spans="1:11" s="631" customFormat="1" ht="19.5" customHeight="1">
      <c r="A10" s="1502" t="s">
        <v>1387</v>
      </c>
      <c r="B10" s="1503"/>
      <c r="C10" s="1503"/>
      <c r="D10" s="1503"/>
      <c r="E10" s="1503"/>
      <c r="F10" s="1503"/>
      <c r="G10" s="1503"/>
      <c r="H10" s="1503"/>
      <c r="I10" s="1503"/>
      <c r="J10" s="629"/>
      <c r="K10" s="630"/>
    </row>
    <row r="11" spans="1:11" s="600" customFormat="1" ht="19.5" customHeight="1">
      <c r="A11" s="604" t="s">
        <v>1429</v>
      </c>
      <c r="B11" s="614">
        <v>85204</v>
      </c>
      <c r="C11" s="606">
        <f>SUM(6D!E406)</f>
        <v>74637</v>
      </c>
      <c r="D11" s="606">
        <f>SUM(E11,K11)</f>
        <v>74637</v>
      </c>
      <c r="E11" s="606">
        <f>SUM(F11,G11,H11,I11,J11)</f>
        <v>74637</v>
      </c>
      <c r="F11" s="606">
        <v>0</v>
      </c>
      <c r="G11" s="606">
        <v>0</v>
      </c>
      <c r="H11" s="606">
        <v>0</v>
      </c>
      <c r="I11" s="606">
        <v>74637</v>
      </c>
      <c r="J11" s="606">
        <v>0</v>
      </c>
      <c r="K11" s="608">
        <v>0</v>
      </c>
    </row>
    <row r="12" spans="1:11" s="631" customFormat="1" ht="19.5" customHeight="1">
      <c r="A12" s="30" t="s">
        <v>1430</v>
      </c>
      <c r="B12" s="616">
        <v>85204</v>
      </c>
      <c r="C12" s="611">
        <f>SUM(6D!F406)</f>
        <v>61297.38</v>
      </c>
      <c r="D12" s="611">
        <f>SUM(E12,K12)</f>
        <v>64536.64</v>
      </c>
      <c r="E12" s="611">
        <f>SUM(F12,G12,H12,I12,J12)</f>
        <v>64536.64</v>
      </c>
      <c r="F12" s="611">
        <v>0</v>
      </c>
      <c r="G12" s="611">
        <v>0</v>
      </c>
      <c r="H12" s="611">
        <v>0</v>
      </c>
      <c r="I12" s="611">
        <v>64536.64</v>
      </c>
      <c r="J12" s="611">
        <v>0</v>
      </c>
      <c r="K12" s="661">
        <v>0</v>
      </c>
    </row>
    <row r="13" spans="1:11" s="637" customFormat="1" ht="19.5" customHeight="1">
      <c r="A13" s="596" t="s">
        <v>741</v>
      </c>
      <c r="B13" s="598" t="s">
        <v>740</v>
      </c>
      <c r="C13" s="599">
        <f>SUM(C11)</f>
        <v>74637</v>
      </c>
      <c r="D13" s="599">
        <f>SUM(E13,K13)</f>
        <v>74637</v>
      </c>
      <c r="E13" s="599">
        <f>SUM(F13,G13,H13,I13,J13)</f>
        <v>74637</v>
      </c>
      <c r="F13" s="599">
        <f aca="true" t="shared" si="0" ref="F13:K13">SUM(F11)</f>
        <v>0</v>
      </c>
      <c r="G13" s="599">
        <f t="shared" si="0"/>
        <v>0</v>
      </c>
      <c r="H13" s="599">
        <f t="shared" si="0"/>
        <v>0</v>
      </c>
      <c r="I13" s="599">
        <f t="shared" si="0"/>
        <v>74637</v>
      </c>
      <c r="J13" s="599">
        <f t="shared" si="0"/>
        <v>0</v>
      </c>
      <c r="K13" s="633">
        <f t="shared" si="0"/>
        <v>0</v>
      </c>
    </row>
    <row r="14" spans="1:11" s="639" customFormat="1" ht="19.5" customHeight="1" thickBot="1">
      <c r="A14" s="622" t="s">
        <v>742</v>
      </c>
      <c r="B14" s="623" t="s">
        <v>740</v>
      </c>
      <c r="C14" s="627">
        <f>SUM(C12)</f>
        <v>61297.38</v>
      </c>
      <c r="D14" s="662">
        <f>SUM(E14,K14)</f>
        <v>64536.64</v>
      </c>
      <c r="E14" s="662">
        <f>SUM(F14,G14,H14,I14,J14)</f>
        <v>64536.64</v>
      </c>
      <c r="F14" s="627">
        <f aca="true" t="shared" si="1" ref="F14:K14">SUM(F12)</f>
        <v>0</v>
      </c>
      <c r="G14" s="627">
        <f t="shared" si="1"/>
        <v>0</v>
      </c>
      <c r="H14" s="627">
        <f t="shared" si="1"/>
        <v>0</v>
      </c>
      <c r="I14" s="627">
        <f t="shared" si="1"/>
        <v>64536.64</v>
      </c>
      <c r="J14" s="627">
        <f t="shared" si="1"/>
        <v>0</v>
      </c>
      <c r="K14" s="638">
        <f t="shared" si="1"/>
        <v>0</v>
      </c>
    </row>
    <row r="15" spans="1:2" s="36" customFormat="1" ht="12.75">
      <c r="A15" s="43"/>
      <c r="B15" s="43"/>
    </row>
    <row r="16" spans="1:7" s="36" customFormat="1" ht="12.75">
      <c r="A16" s="43"/>
      <c r="B16" s="43"/>
      <c r="C16" s="35">
        <f>C14</f>
        <v>61297.38</v>
      </c>
      <c r="D16" s="663" t="s">
        <v>1111</v>
      </c>
      <c r="E16" s="663"/>
      <c r="F16" s="663"/>
      <c r="G16" s="663"/>
    </row>
    <row r="17" spans="1:7" s="36" customFormat="1" ht="12.75">
      <c r="A17" s="43"/>
      <c r="B17" s="43"/>
      <c r="C17" s="35">
        <f>D14</f>
        <v>64536.64</v>
      </c>
      <c r="D17" s="663" t="s">
        <v>1112</v>
      </c>
      <c r="E17" s="663"/>
      <c r="F17" s="663"/>
      <c r="G17" s="663"/>
    </row>
    <row r="18" spans="1:7" s="639" customFormat="1" ht="12.75">
      <c r="A18" s="1357" t="s">
        <v>1423</v>
      </c>
      <c r="B18" s="1357"/>
      <c r="C18" s="632">
        <f>C16-C17</f>
        <v>-3239.260000000002</v>
      </c>
      <c r="D18" s="664" t="s">
        <v>1424</v>
      </c>
      <c r="E18" s="664"/>
      <c r="F18" s="664" t="s">
        <v>1110</v>
      </c>
      <c r="G18" s="664"/>
    </row>
    <row r="19" spans="1:2" s="36" customFormat="1" ht="12.75">
      <c r="A19" s="43"/>
      <c r="B19" s="43"/>
    </row>
  </sheetData>
  <sheetProtection password="CF93" sheet="1" formatRows="0" insertColumns="0" insertRows="0" insertHyperlinks="0" deleteColumns="0" deleteRows="0" sort="0" autoFilter="0" pivotTables="0"/>
  <mergeCells count="15">
    <mergeCell ref="I7:I8"/>
    <mergeCell ref="A5:A8"/>
    <mergeCell ref="C5:C8"/>
    <mergeCell ref="D5:D8"/>
    <mergeCell ref="B5:B8"/>
    <mergeCell ref="A3:K3"/>
    <mergeCell ref="A18:B18"/>
    <mergeCell ref="E5:K5"/>
    <mergeCell ref="E6:E8"/>
    <mergeCell ref="F6:J6"/>
    <mergeCell ref="K6:K8"/>
    <mergeCell ref="F7:G7"/>
    <mergeCell ref="H7:H8"/>
    <mergeCell ref="J7:J8"/>
    <mergeCell ref="A10:I10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M76"/>
  <sheetViews>
    <sheetView view="pageBreakPreview" zoomScaleSheetLayoutView="100" workbookViewId="0" topLeftCell="A7">
      <selection activeCell="D21" sqref="D21:D23"/>
    </sheetView>
  </sheetViews>
  <sheetFormatPr defaultColWidth="9.00390625" defaultRowHeight="39" customHeight="1"/>
  <cols>
    <col min="1" max="1" width="3.125" style="131" customWidth="1"/>
    <col min="2" max="2" width="5.125" style="131" customWidth="1"/>
    <col min="3" max="3" width="5.625" style="131" customWidth="1"/>
    <col min="4" max="4" width="26.00390625" style="132" customWidth="1"/>
    <col min="5" max="5" width="26.625" style="132" customWidth="1"/>
    <col min="6" max="6" width="10.75390625" style="132" customWidth="1"/>
    <col min="7" max="7" width="7.875" style="132" customWidth="1"/>
    <col min="8" max="8" width="8.625" style="132" customWidth="1"/>
    <col min="9" max="9" width="8.75390625" style="132" customWidth="1"/>
    <col min="10" max="10" width="12.00390625" style="132" customWidth="1"/>
    <col min="11" max="11" width="10.875" style="132" customWidth="1"/>
    <col min="12" max="12" width="11.25390625" style="132" customWidth="1"/>
    <col min="13" max="13" width="11.125" style="132" bestFit="1" customWidth="1"/>
    <col min="14" max="16384" width="9.125" style="132" customWidth="1"/>
  </cols>
  <sheetData>
    <row r="1" spans="1:12" s="1200" customFormat="1" ht="23.25" customHeight="1">
      <c r="A1" s="1214"/>
      <c r="B1" s="1214"/>
      <c r="C1" s="1214"/>
      <c r="K1" s="1549" t="s">
        <v>984</v>
      </c>
      <c r="L1" s="1549"/>
    </row>
    <row r="2" spans="1:12" s="1200" customFormat="1" ht="39" customHeight="1">
      <c r="A2" s="1550" t="s">
        <v>1045</v>
      </c>
      <c r="B2" s="1550"/>
      <c r="C2" s="1550"/>
      <c r="D2" s="1550"/>
      <c r="E2" s="1550"/>
      <c r="F2" s="1550"/>
      <c r="G2" s="1550"/>
      <c r="H2" s="1550"/>
      <c r="I2" s="1550"/>
      <c r="J2" s="1550"/>
      <c r="K2" s="1550"/>
      <c r="L2" s="1550"/>
    </row>
    <row r="3" spans="1:12" s="1200" customFormat="1" ht="12" customHeight="1" thickBot="1">
      <c r="A3" s="1215"/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216" t="s">
        <v>1426</v>
      </c>
    </row>
    <row r="4" spans="1:12" s="1200" customFormat="1" ht="60.75" customHeight="1">
      <c r="A4" s="1217" t="s">
        <v>338</v>
      </c>
      <c r="B4" s="1218" t="s">
        <v>254</v>
      </c>
      <c r="C4" s="1218" t="s">
        <v>962</v>
      </c>
      <c r="D4" s="1219" t="s">
        <v>963</v>
      </c>
      <c r="E4" s="1219" t="s">
        <v>964</v>
      </c>
      <c r="F4" s="1219" t="s">
        <v>276</v>
      </c>
      <c r="G4" s="1219" t="s">
        <v>965</v>
      </c>
      <c r="H4" s="1219" t="s">
        <v>233</v>
      </c>
      <c r="I4" s="1219" t="s">
        <v>1349</v>
      </c>
      <c r="J4" s="1219" t="s">
        <v>1236</v>
      </c>
      <c r="K4" s="1220" t="s">
        <v>1429</v>
      </c>
      <c r="L4" s="1221" t="s">
        <v>1430</v>
      </c>
    </row>
    <row r="5" spans="1:12" s="1200" customFormat="1" ht="11.25" customHeight="1">
      <c r="A5" s="1222">
        <v>1</v>
      </c>
      <c r="B5" s="1223">
        <v>2</v>
      </c>
      <c r="C5" s="1223">
        <v>3</v>
      </c>
      <c r="D5" s="1223">
        <v>4</v>
      </c>
      <c r="E5" s="1223">
        <v>5</v>
      </c>
      <c r="F5" s="1223">
        <v>6</v>
      </c>
      <c r="G5" s="1223">
        <v>7</v>
      </c>
      <c r="H5" s="1223">
        <v>8</v>
      </c>
      <c r="I5" s="1223">
        <v>9</v>
      </c>
      <c r="J5" s="1223">
        <v>10</v>
      </c>
      <c r="K5" s="1223">
        <v>11</v>
      </c>
      <c r="L5" s="1224">
        <v>12</v>
      </c>
    </row>
    <row r="6" spans="1:12" s="1227" customFormat="1" ht="20.25" customHeight="1">
      <c r="A6" s="1541" t="s">
        <v>1040</v>
      </c>
      <c r="B6" s="1542"/>
      <c r="C6" s="1542"/>
      <c r="D6" s="1542"/>
      <c r="E6" s="1542"/>
      <c r="F6" s="1542"/>
      <c r="G6" s="1542"/>
      <c r="H6" s="1542"/>
      <c r="I6" s="1542"/>
      <c r="J6" s="1543"/>
      <c r="K6" s="1225">
        <f>SUM(K7,K11,K14,K18,K21,K24,K27,K31,K34)</f>
        <v>3858853.08</v>
      </c>
      <c r="L6" s="1226">
        <f>SUM(L7,L11,L14,L18,L21,L24,L27,L31,L34)</f>
        <v>2402353.37</v>
      </c>
    </row>
    <row r="7" spans="1:12" s="1207" customFormat="1" ht="30" customHeight="1">
      <c r="A7" s="1515" t="s">
        <v>341</v>
      </c>
      <c r="B7" s="1518" t="s">
        <v>67</v>
      </c>
      <c r="C7" s="1518" t="s">
        <v>69</v>
      </c>
      <c r="D7" s="1510" t="s">
        <v>62</v>
      </c>
      <c r="E7" s="1510" t="s">
        <v>394</v>
      </c>
      <c r="F7" s="1510" t="s">
        <v>395</v>
      </c>
      <c r="G7" s="1510" t="s">
        <v>516</v>
      </c>
      <c r="H7" s="1504">
        <v>3018000</v>
      </c>
      <c r="I7" s="1504">
        <v>3018000</v>
      </c>
      <c r="J7" s="1196" t="s">
        <v>1038</v>
      </c>
      <c r="K7" s="1197">
        <f>SUM(K8,K9)</f>
        <v>18000</v>
      </c>
      <c r="L7" s="1198">
        <v>8784</v>
      </c>
    </row>
    <row r="8" spans="1:12" s="1207" customFormat="1" ht="30" customHeight="1">
      <c r="A8" s="1516"/>
      <c r="B8" s="1519"/>
      <c r="C8" s="1519"/>
      <c r="D8" s="1511"/>
      <c r="E8" s="1511"/>
      <c r="F8" s="1511"/>
      <c r="G8" s="1511"/>
      <c r="H8" s="1505"/>
      <c r="I8" s="1505"/>
      <c r="J8" s="1201" t="s">
        <v>966</v>
      </c>
      <c r="K8" s="1202">
        <v>15300</v>
      </c>
      <c r="L8" s="1203">
        <v>7466.4</v>
      </c>
    </row>
    <row r="9" spans="1:12" s="1207" customFormat="1" ht="32.25" customHeight="1">
      <c r="A9" s="1516"/>
      <c r="B9" s="1519"/>
      <c r="C9" s="1519"/>
      <c r="D9" s="1511"/>
      <c r="E9" s="1511"/>
      <c r="F9" s="1511"/>
      <c r="G9" s="1511"/>
      <c r="H9" s="1505"/>
      <c r="I9" s="1505"/>
      <c r="J9" s="1201" t="s">
        <v>55</v>
      </c>
      <c r="K9" s="1202">
        <v>2700</v>
      </c>
      <c r="L9" s="1203">
        <v>1317.6</v>
      </c>
    </row>
    <row r="10" spans="1:12" s="1207" customFormat="1" ht="25.5" customHeight="1" hidden="1">
      <c r="A10" s="1517"/>
      <c r="B10" s="1520"/>
      <c r="C10" s="1520"/>
      <c r="D10" s="1512"/>
      <c r="E10" s="1512"/>
      <c r="F10" s="1512"/>
      <c r="G10" s="1512"/>
      <c r="H10" s="1506"/>
      <c r="I10" s="1506"/>
      <c r="J10" s="1204" t="s">
        <v>56</v>
      </c>
      <c r="K10" s="1205"/>
      <c r="L10" s="1206"/>
    </row>
    <row r="11" spans="1:13" s="1200" customFormat="1" ht="21" customHeight="1">
      <c r="A11" s="1531" t="s">
        <v>342</v>
      </c>
      <c r="B11" s="1521" t="s">
        <v>1437</v>
      </c>
      <c r="C11" s="1521" t="s">
        <v>1438</v>
      </c>
      <c r="D11" s="1524" t="s">
        <v>344</v>
      </c>
      <c r="E11" s="1524" t="s">
        <v>911</v>
      </c>
      <c r="F11" s="1524" t="s">
        <v>1041</v>
      </c>
      <c r="G11" s="1524" t="s">
        <v>229</v>
      </c>
      <c r="H11" s="1527">
        <v>993648</v>
      </c>
      <c r="I11" s="1527">
        <v>993648</v>
      </c>
      <c r="J11" s="1196" t="s">
        <v>1038</v>
      </c>
      <c r="K11" s="1197">
        <f>SUM(K12,K13)</f>
        <v>267800</v>
      </c>
      <c r="L11" s="1198">
        <f>SUM(L12,L13)</f>
        <v>153571.34</v>
      </c>
      <c r="M11" s="1199"/>
    </row>
    <row r="12" spans="1:12" s="1200" customFormat="1" ht="21" customHeight="1">
      <c r="A12" s="1532"/>
      <c r="B12" s="1522"/>
      <c r="C12" s="1522"/>
      <c r="D12" s="1525"/>
      <c r="E12" s="1525"/>
      <c r="F12" s="1525"/>
      <c r="G12" s="1525"/>
      <c r="H12" s="1528"/>
      <c r="I12" s="1528"/>
      <c r="J12" s="1201" t="s">
        <v>966</v>
      </c>
      <c r="K12" s="1202">
        <v>226400</v>
      </c>
      <c r="L12" s="1203">
        <v>130535.66</v>
      </c>
    </row>
    <row r="13" spans="1:12" s="1200" customFormat="1" ht="25.5" customHeight="1">
      <c r="A13" s="1532"/>
      <c r="B13" s="1522"/>
      <c r="C13" s="1522"/>
      <c r="D13" s="1525"/>
      <c r="E13" s="1525"/>
      <c r="F13" s="1525"/>
      <c r="G13" s="1525"/>
      <c r="H13" s="1528"/>
      <c r="I13" s="1528"/>
      <c r="J13" s="1204" t="s">
        <v>594</v>
      </c>
      <c r="K13" s="1205">
        <v>41400</v>
      </c>
      <c r="L13" s="1206">
        <v>23035.68</v>
      </c>
    </row>
    <row r="14" spans="1:12" s="1200" customFormat="1" ht="21" customHeight="1">
      <c r="A14" s="1531" t="s">
        <v>433</v>
      </c>
      <c r="B14" s="1534" t="s">
        <v>90</v>
      </c>
      <c r="C14" s="1521" t="s">
        <v>825</v>
      </c>
      <c r="D14" s="1524" t="s">
        <v>835</v>
      </c>
      <c r="E14" s="1524" t="s">
        <v>698</v>
      </c>
      <c r="F14" s="1524" t="s">
        <v>232</v>
      </c>
      <c r="G14" s="1524" t="s">
        <v>229</v>
      </c>
      <c r="H14" s="1527">
        <v>1678145.34</v>
      </c>
      <c r="I14" s="1527">
        <v>1678145.34</v>
      </c>
      <c r="J14" s="1196" t="s">
        <v>1038</v>
      </c>
      <c r="K14" s="1197">
        <f>SUM(K15,K16,K17)</f>
        <v>831827.08</v>
      </c>
      <c r="L14" s="1198">
        <f>SUM(L15,L16,L17)</f>
        <v>404208.73</v>
      </c>
    </row>
    <row r="15" spans="1:12" s="1200" customFormat="1" ht="21" customHeight="1">
      <c r="A15" s="1532"/>
      <c r="B15" s="1535"/>
      <c r="C15" s="1522"/>
      <c r="D15" s="1525"/>
      <c r="E15" s="1525"/>
      <c r="F15" s="1525"/>
      <c r="G15" s="1525"/>
      <c r="H15" s="1528"/>
      <c r="I15" s="1528"/>
      <c r="J15" s="1201" t="s">
        <v>966</v>
      </c>
      <c r="K15" s="1202">
        <v>674450</v>
      </c>
      <c r="L15" s="1203">
        <v>315158.65</v>
      </c>
    </row>
    <row r="16" spans="1:12" s="1200" customFormat="1" ht="21" customHeight="1">
      <c r="A16" s="1532"/>
      <c r="B16" s="1535"/>
      <c r="C16" s="1522"/>
      <c r="D16" s="1525"/>
      <c r="E16" s="1525"/>
      <c r="F16" s="1525"/>
      <c r="G16" s="1525"/>
      <c r="H16" s="1528"/>
      <c r="I16" s="1528"/>
      <c r="J16" s="1201" t="s">
        <v>1221</v>
      </c>
      <c r="K16" s="1202">
        <v>119021</v>
      </c>
      <c r="L16" s="1203">
        <v>55616.29</v>
      </c>
    </row>
    <row r="17" spans="1:12" s="1200" customFormat="1" ht="21" customHeight="1">
      <c r="A17" s="1533"/>
      <c r="B17" s="1536"/>
      <c r="C17" s="1523"/>
      <c r="D17" s="1526"/>
      <c r="E17" s="1526"/>
      <c r="F17" s="1526"/>
      <c r="G17" s="1526"/>
      <c r="H17" s="1529"/>
      <c r="I17" s="1529"/>
      <c r="J17" s="1204" t="s">
        <v>595</v>
      </c>
      <c r="K17" s="1205">
        <v>38356.08</v>
      </c>
      <c r="L17" s="1206">
        <v>33433.79</v>
      </c>
    </row>
    <row r="18" spans="1:12" s="1200" customFormat="1" ht="32.25" customHeight="1">
      <c r="A18" s="1531" t="s">
        <v>440</v>
      </c>
      <c r="B18" s="1521" t="s">
        <v>105</v>
      </c>
      <c r="C18" s="1521" t="s">
        <v>926</v>
      </c>
      <c r="D18" s="1524" t="s">
        <v>345</v>
      </c>
      <c r="E18" s="1524" t="s">
        <v>396</v>
      </c>
      <c r="F18" s="1524" t="s">
        <v>397</v>
      </c>
      <c r="G18" s="1524" t="s">
        <v>398</v>
      </c>
      <c r="H18" s="1527">
        <v>368626</v>
      </c>
      <c r="I18" s="1527">
        <v>368626</v>
      </c>
      <c r="J18" s="1196" t="s">
        <v>1038</v>
      </c>
      <c r="K18" s="1197">
        <f>SUM(K19,K20)</f>
        <v>7076</v>
      </c>
      <c r="L18" s="1198">
        <f>SUM(L19,L20)</f>
        <v>7076</v>
      </c>
    </row>
    <row r="19" spans="1:12" s="1200" customFormat="1" ht="28.5" customHeight="1">
      <c r="A19" s="1532"/>
      <c r="B19" s="1522"/>
      <c r="C19" s="1522"/>
      <c r="D19" s="1525"/>
      <c r="E19" s="1525"/>
      <c r="F19" s="1525"/>
      <c r="G19" s="1525"/>
      <c r="H19" s="1528"/>
      <c r="I19" s="1528"/>
      <c r="J19" s="1201" t="s">
        <v>966</v>
      </c>
      <c r="K19" s="1202">
        <v>5307</v>
      </c>
      <c r="L19" s="1203">
        <v>5307</v>
      </c>
    </row>
    <row r="20" spans="1:12" s="1200" customFormat="1" ht="31.5" customHeight="1">
      <c r="A20" s="1533"/>
      <c r="B20" s="1523"/>
      <c r="C20" s="1523"/>
      <c r="D20" s="1526"/>
      <c r="E20" s="1526"/>
      <c r="F20" s="1526"/>
      <c r="G20" s="1526"/>
      <c r="H20" s="1529"/>
      <c r="I20" s="1529"/>
      <c r="J20" s="1204" t="s">
        <v>594</v>
      </c>
      <c r="K20" s="1205">
        <v>1769</v>
      </c>
      <c r="L20" s="1206">
        <v>1769</v>
      </c>
    </row>
    <row r="21" spans="1:12" s="1200" customFormat="1" ht="21" customHeight="1">
      <c r="A21" s="1531" t="s">
        <v>441</v>
      </c>
      <c r="B21" s="1521" t="s">
        <v>112</v>
      </c>
      <c r="C21" s="1521" t="s">
        <v>119</v>
      </c>
      <c r="D21" s="1524" t="s">
        <v>345</v>
      </c>
      <c r="E21" s="1524" t="s">
        <v>596</v>
      </c>
      <c r="F21" s="1524" t="s">
        <v>1440</v>
      </c>
      <c r="G21" s="1524" t="s">
        <v>48</v>
      </c>
      <c r="H21" s="1527">
        <v>1202237.35</v>
      </c>
      <c r="I21" s="1527">
        <v>1024056</v>
      </c>
      <c r="J21" s="1196" t="s">
        <v>1038</v>
      </c>
      <c r="K21" s="1197">
        <f>SUM(K22,K23)</f>
        <v>496362</v>
      </c>
      <c r="L21" s="1198">
        <f>SUM(L22,L23)</f>
        <v>496362.01</v>
      </c>
    </row>
    <row r="22" spans="1:12" s="1200" customFormat="1" ht="21" customHeight="1">
      <c r="A22" s="1532"/>
      <c r="B22" s="1522"/>
      <c r="C22" s="1522"/>
      <c r="D22" s="1525"/>
      <c r="E22" s="1525"/>
      <c r="F22" s="1525"/>
      <c r="G22" s="1525"/>
      <c r="H22" s="1528"/>
      <c r="I22" s="1528"/>
      <c r="J22" s="1201" t="s">
        <v>966</v>
      </c>
      <c r="K22" s="1202">
        <v>271831</v>
      </c>
      <c r="L22" s="1203">
        <v>271831.01</v>
      </c>
    </row>
    <row r="23" spans="1:12" s="1200" customFormat="1" ht="21" customHeight="1">
      <c r="A23" s="1533"/>
      <c r="B23" s="1523"/>
      <c r="C23" s="1523"/>
      <c r="D23" s="1526"/>
      <c r="E23" s="1526"/>
      <c r="F23" s="1526"/>
      <c r="G23" s="1526"/>
      <c r="H23" s="1529"/>
      <c r="I23" s="1529"/>
      <c r="J23" s="1204" t="s">
        <v>535</v>
      </c>
      <c r="K23" s="1205">
        <v>224531</v>
      </c>
      <c r="L23" s="1206">
        <v>224531</v>
      </c>
    </row>
    <row r="24" spans="1:12" s="1200" customFormat="1" ht="21" customHeight="1">
      <c r="A24" s="1531" t="s">
        <v>442</v>
      </c>
      <c r="B24" s="1521" t="s">
        <v>112</v>
      </c>
      <c r="C24" s="1521" t="s">
        <v>119</v>
      </c>
      <c r="D24" s="1524" t="s">
        <v>1439</v>
      </c>
      <c r="E24" s="1524" t="s">
        <v>597</v>
      </c>
      <c r="F24" s="1524" t="s">
        <v>1395</v>
      </c>
      <c r="G24" s="1524" t="s">
        <v>51</v>
      </c>
      <c r="H24" s="1527">
        <v>1452672</v>
      </c>
      <c r="I24" s="1527">
        <v>1452672</v>
      </c>
      <c r="J24" s="1196" t="s">
        <v>1038</v>
      </c>
      <c r="K24" s="1197">
        <f>SUM(K25,K26)</f>
        <v>1014036</v>
      </c>
      <c r="L24" s="1198">
        <f>SUM(L25,L26)</f>
        <v>135139.36</v>
      </c>
    </row>
    <row r="25" spans="1:12" s="1200" customFormat="1" ht="21" customHeight="1">
      <c r="A25" s="1532"/>
      <c r="B25" s="1522"/>
      <c r="C25" s="1522"/>
      <c r="D25" s="1525"/>
      <c r="E25" s="1525"/>
      <c r="F25" s="1525"/>
      <c r="G25" s="1525"/>
      <c r="H25" s="1528"/>
      <c r="I25" s="1528"/>
      <c r="J25" s="1201" t="s">
        <v>966</v>
      </c>
      <c r="K25" s="1202">
        <v>708036</v>
      </c>
      <c r="L25" s="1203">
        <v>0</v>
      </c>
    </row>
    <row r="26" spans="1:12" s="1200" customFormat="1" ht="21" customHeight="1">
      <c r="A26" s="1533"/>
      <c r="B26" s="1523"/>
      <c r="C26" s="1523"/>
      <c r="D26" s="1526"/>
      <c r="E26" s="1526"/>
      <c r="F26" s="1526"/>
      <c r="G26" s="1526"/>
      <c r="H26" s="1529"/>
      <c r="I26" s="1529"/>
      <c r="J26" s="1204" t="s">
        <v>535</v>
      </c>
      <c r="K26" s="1205">
        <v>306000</v>
      </c>
      <c r="L26" s="1206">
        <v>135139.36</v>
      </c>
    </row>
    <row r="27" spans="1:12" s="1200" customFormat="1" ht="21" customHeight="1">
      <c r="A27" s="1531" t="s">
        <v>529</v>
      </c>
      <c r="B27" s="1521" t="s">
        <v>598</v>
      </c>
      <c r="C27" s="1521" t="s">
        <v>599</v>
      </c>
      <c r="D27" s="1524" t="s">
        <v>835</v>
      </c>
      <c r="E27" s="1524" t="s">
        <v>842</v>
      </c>
      <c r="F27" s="1524" t="s">
        <v>230</v>
      </c>
      <c r="G27" s="1524" t="s">
        <v>516</v>
      </c>
      <c r="H27" s="1527">
        <v>831090</v>
      </c>
      <c r="I27" s="1527">
        <v>747980</v>
      </c>
      <c r="J27" s="1196" t="s">
        <v>1038</v>
      </c>
      <c r="K27" s="1197">
        <f>SUM(K28,K29,K30)</f>
        <v>338695</v>
      </c>
      <c r="L27" s="1198">
        <f>SUM(L28,L29,L30)</f>
        <v>330057.46</v>
      </c>
    </row>
    <row r="28" spans="1:12" s="1200" customFormat="1" ht="21" customHeight="1">
      <c r="A28" s="1532"/>
      <c r="B28" s="1522"/>
      <c r="C28" s="1522"/>
      <c r="D28" s="1525"/>
      <c r="E28" s="1525"/>
      <c r="F28" s="1525"/>
      <c r="G28" s="1525"/>
      <c r="H28" s="1528"/>
      <c r="I28" s="1528"/>
      <c r="J28" s="1201" t="s">
        <v>966</v>
      </c>
      <c r="K28" s="1202">
        <v>287877</v>
      </c>
      <c r="L28" s="1203">
        <v>279719.44</v>
      </c>
    </row>
    <row r="29" spans="1:12" s="1200" customFormat="1" ht="21" customHeight="1">
      <c r="A29" s="1532"/>
      <c r="B29" s="1522"/>
      <c r="C29" s="1522"/>
      <c r="D29" s="1525"/>
      <c r="E29" s="1525"/>
      <c r="F29" s="1525"/>
      <c r="G29" s="1525"/>
      <c r="H29" s="1528"/>
      <c r="I29" s="1528"/>
      <c r="J29" s="1201" t="s">
        <v>967</v>
      </c>
      <c r="K29" s="1202">
        <v>16948</v>
      </c>
      <c r="L29" s="1203">
        <v>16468.02</v>
      </c>
    </row>
    <row r="30" spans="1:12" s="1200" customFormat="1" ht="21" customHeight="1">
      <c r="A30" s="1532"/>
      <c r="B30" s="1522"/>
      <c r="C30" s="1522"/>
      <c r="D30" s="1525"/>
      <c r="E30" s="1525"/>
      <c r="F30" s="1525"/>
      <c r="G30" s="1525"/>
      <c r="H30" s="1528"/>
      <c r="I30" s="1528"/>
      <c r="J30" s="1204" t="s">
        <v>535</v>
      </c>
      <c r="K30" s="1205">
        <v>33870</v>
      </c>
      <c r="L30" s="1206">
        <v>33870</v>
      </c>
    </row>
    <row r="31" spans="1:12" s="1200" customFormat="1" ht="21" customHeight="1">
      <c r="A31" s="1531" t="s">
        <v>530</v>
      </c>
      <c r="B31" s="1534" t="s">
        <v>125</v>
      </c>
      <c r="C31" s="1534" t="s">
        <v>1020</v>
      </c>
      <c r="D31" s="1524" t="s">
        <v>835</v>
      </c>
      <c r="E31" s="1524" t="s">
        <v>843</v>
      </c>
      <c r="F31" s="1524" t="s">
        <v>231</v>
      </c>
      <c r="G31" s="1524" t="s">
        <v>516</v>
      </c>
      <c r="H31" s="1527">
        <f>239157+39985</f>
        <v>279142</v>
      </c>
      <c r="I31" s="1527">
        <v>279142</v>
      </c>
      <c r="J31" s="1196" t="s">
        <v>1038</v>
      </c>
      <c r="K31" s="1197">
        <f>SUM(K32,K33)</f>
        <v>94612</v>
      </c>
      <c r="L31" s="1198">
        <f>SUM(L32,L33)</f>
        <v>94612</v>
      </c>
    </row>
    <row r="32" spans="1:12" s="1200" customFormat="1" ht="21" customHeight="1">
      <c r="A32" s="1532"/>
      <c r="B32" s="1535"/>
      <c r="C32" s="1535"/>
      <c r="D32" s="1525"/>
      <c r="E32" s="1525"/>
      <c r="F32" s="1525"/>
      <c r="G32" s="1525"/>
      <c r="H32" s="1528"/>
      <c r="I32" s="1528"/>
      <c r="J32" s="1204" t="s">
        <v>966</v>
      </c>
      <c r="K32" s="1205">
        <v>94612</v>
      </c>
      <c r="L32" s="1206">
        <v>94612</v>
      </c>
    </row>
    <row r="33" spans="1:12" s="1200" customFormat="1" ht="21" customHeight="1">
      <c r="A33" s="1533"/>
      <c r="B33" s="1536"/>
      <c r="C33" s="1536"/>
      <c r="D33" s="1526"/>
      <c r="E33" s="1526"/>
      <c r="F33" s="1526"/>
      <c r="G33" s="1526"/>
      <c r="H33" s="1529"/>
      <c r="I33" s="1529"/>
      <c r="J33" s="1204" t="s">
        <v>846</v>
      </c>
      <c r="K33" s="1212">
        <v>0</v>
      </c>
      <c r="L33" s="1213">
        <v>0</v>
      </c>
    </row>
    <row r="34" spans="1:12" s="1200" customFormat="1" ht="21" customHeight="1">
      <c r="A34" s="1531" t="s">
        <v>443</v>
      </c>
      <c r="B34" s="1534" t="s">
        <v>125</v>
      </c>
      <c r="C34" s="1534" t="s">
        <v>1020</v>
      </c>
      <c r="D34" s="1524" t="s">
        <v>835</v>
      </c>
      <c r="E34" s="1524" t="s">
        <v>49</v>
      </c>
      <c r="F34" s="1524" t="s">
        <v>50</v>
      </c>
      <c r="G34" s="1524" t="s">
        <v>51</v>
      </c>
      <c r="H34" s="1527">
        <v>990445</v>
      </c>
      <c r="I34" s="1527">
        <v>972542</v>
      </c>
      <c r="J34" s="1196" t="s">
        <v>1038</v>
      </c>
      <c r="K34" s="1197">
        <f>SUM(K35,K36)</f>
        <v>790445</v>
      </c>
      <c r="L34" s="1198">
        <f>SUM(L35,L36)</f>
        <v>772542.47</v>
      </c>
    </row>
    <row r="35" spans="1:12" s="1200" customFormat="1" ht="21" customHeight="1">
      <c r="A35" s="1532"/>
      <c r="B35" s="1535"/>
      <c r="C35" s="1535"/>
      <c r="D35" s="1525"/>
      <c r="E35" s="1525"/>
      <c r="F35" s="1525"/>
      <c r="G35" s="1525"/>
      <c r="H35" s="1528"/>
      <c r="I35" s="1528"/>
      <c r="J35" s="1201" t="s">
        <v>966</v>
      </c>
      <c r="K35" s="1202">
        <v>671880</v>
      </c>
      <c r="L35" s="1203">
        <v>656661.1</v>
      </c>
    </row>
    <row r="36" spans="1:12" s="1200" customFormat="1" ht="21" customHeight="1">
      <c r="A36" s="1533"/>
      <c r="B36" s="1536"/>
      <c r="C36" s="1536"/>
      <c r="D36" s="1526"/>
      <c r="E36" s="1526"/>
      <c r="F36" s="1526"/>
      <c r="G36" s="1526"/>
      <c r="H36" s="1529"/>
      <c r="I36" s="1529"/>
      <c r="J36" s="1204" t="s">
        <v>1221</v>
      </c>
      <c r="K36" s="1205">
        <v>118565</v>
      </c>
      <c r="L36" s="1206">
        <v>115881.37</v>
      </c>
    </row>
    <row r="37" spans="1:13" s="1211" customFormat="1" ht="22.5" customHeight="1">
      <c r="A37" s="1544" t="s">
        <v>1037</v>
      </c>
      <c r="B37" s="1545"/>
      <c r="C37" s="1545"/>
      <c r="D37" s="1545"/>
      <c r="E37" s="1545"/>
      <c r="F37" s="1545"/>
      <c r="G37" s="1545"/>
      <c r="H37" s="1545"/>
      <c r="I37" s="1545"/>
      <c r="J37" s="1546"/>
      <c r="K37" s="1208">
        <f>SUM(K38,K42,K46,K50,K56,K60)</f>
        <v>21877874</v>
      </c>
      <c r="L37" s="1209">
        <f>SUM(L38,L42,L46,L50,L56,L60)</f>
        <v>14310329.7</v>
      </c>
      <c r="M37" s="1210"/>
    </row>
    <row r="38" spans="1:12" s="1207" customFormat="1" ht="21" customHeight="1">
      <c r="A38" s="1515" t="s">
        <v>445</v>
      </c>
      <c r="B38" s="1518" t="s">
        <v>67</v>
      </c>
      <c r="C38" s="1518" t="s">
        <v>69</v>
      </c>
      <c r="D38" s="1510" t="s">
        <v>1042</v>
      </c>
      <c r="E38" s="1510" t="s">
        <v>204</v>
      </c>
      <c r="F38" s="1510" t="s">
        <v>53</v>
      </c>
      <c r="G38" s="1510" t="s">
        <v>54</v>
      </c>
      <c r="H38" s="1504">
        <v>18069000</v>
      </c>
      <c r="I38" s="1504">
        <v>18000000</v>
      </c>
      <c r="J38" s="1196" t="s">
        <v>1038</v>
      </c>
      <c r="K38" s="1228">
        <f>SUM(K39,K40,K41)</f>
        <v>6164000</v>
      </c>
      <c r="L38" s="1229">
        <f>SUM(L39,L40,L41)</f>
        <v>4878073.46</v>
      </c>
    </row>
    <row r="39" spans="1:12" s="1207" customFormat="1" ht="21" customHeight="1">
      <c r="A39" s="1516"/>
      <c r="B39" s="1519"/>
      <c r="C39" s="1519"/>
      <c r="D39" s="1511"/>
      <c r="E39" s="1511"/>
      <c r="F39" s="1511"/>
      <c r="G39" s="1511"/>
      <c r="H39" s="1505"/>
      <c r="I39" s="1505"/>
      <c r="J39" s="1201" t="s">
        <v>966</v>
      </c>
      <c r="K39" s="1205">
        <v>681853</v>
      </c>
      <c r="L39" s="1206">
        <v>99858.04</v>
      </c>
    </row>
    <row r="40" spans="1:12" s="1207" customFormat="1" ht="21" customHeight="1">
      <c r="A40" s="1516"/>
      <c r="B40" s="1519"/>
      <c r="C40" s="1519"/>
      <c r="D40" s="1511"/>
      <c r="E40" s="1511"/>
      <c r="F40" s="1511"/>
      <c r="G40" s="1511"/>
      <c r="H40" s="1505"/>
      <c r="I40" s="1505"/>
      <c r="J40" s="1201" t="s">
        <v>55</v>
      </c>
      <c r="K40" s="1205">
        <v>859325</v>
      </c>
      <c r="L40" s="1206">
        <v>214459.1</v>
      </c>
    </row>
    <row r="41" spans="1:12" s="1207" customFormat="1" ht="21" customHeight="1">
      <c r="A41" s="1516"/>
      <c r="B41" s="1519"/>
      <c r="C41" s="1519"/>
      <c r="D41" s="1511"/>
      <c r="E41" s="1511"/>
      <c r="F41" s="1511"/>
      <c r="G41" s="1511"/>
      <c r="H41" s="1505"/>
      <c r="I41" s="1505"/>
      <c r="J41" s="1204" t="s">
        <v>56</v>
      </c>
      <c r="K41" s="1205">
        <v>4622822</v>
      </c>
      <c r="L41" s="1206">
        <v>4563756.32</v>
      </c>
    </row>
    <row r="42" spans="1:12" s="1207" customFormat="1" ht="25.5" customHeight="1">
      <c r="A42" s="1515" t="s">
        <v>531</v>
      </c>
      <c r="B42" s="1518" t="s">
        <v>67</v>
      </c>
      <c r="C42" s="1518" t="s">
        <v>69</v>
      </c>
      <c r="D42" s="1510" t="s">
        <v>62</v>
      </c>
      <c r="E42" s="1510" t="s">
        <v>280</v>
      </c>
      <c r="F42" s="1510" t="s">
        <v>53</v>
      </c>
      <c r="G42" s="1510" t="s">
        <v>516</v>
      </c>
      <c r="H42" s="1504">
        <v>3119045</v>
      </c>
      <c r="I42" s="1504">
        <v>3080145</v>
      </c>
      <c r="J42" s="1196" t="s">
        <v>1038</v>
      </c>
      <c r="K42" s="1197">
        <f>SUM(K43,K44,K45)</f>
        <v>133874</v>
      </c>
      <c r="L42" s="1198">
        <f>SUM(L43,L44,L45)</f>
        <v>133872</v>
      </c>
    </row>
    <row r="43" spans="1:12" s="1207" customFormat="1" ht="24" customHeight="1">
      <c r="A43" s="1516"/>
      <c r="B43" s="1519"/>
      <c r="C43" s="1519"/>
      <c r="D43" s="1511"/>
      <c r="E43" s="1511"/>
      <c r="F43" s="1511"/>
      <c r="G43" s="1511"/>
      <c r="H43" s="1505"/>
      <c r="I43" s="1505"/>
      <c r="J43" s="1201" t="s">
        <v>966</v>
      </c>
      <c r="K43" s="1202">
        <v>113793</v>
      </c>
      <c r="L43" s="1203">
        <v>113791.2</v>
      </c>
    </row>
    <row r="44" spans="1:12" s="1207" customFormat="1" ht="24.75" customHeight="1">
      <c r="A44" s="1516"/>
      <c r="B44" s="1519"/>
      <c r="C44" s="1519"/>
      <c r="D44" s="1511"/>
      <c r="E44" s="1511"/>
      <c r="F44" s="1511"/>
      <c r="G44" s="1511"/>
      <c r="H44" s="1505"/>
      <c r="I44" s="1505"/>
      <c r="J44" s="1201" t="s">
        <v>55</v>
      </c>
      <c r="K44" s="1202">
        <v>20081</v>
      </c>
      <c r="L44" s="1203">
        <v>20080.8</v>
      </c>
    </row>
    <row r="45" spans="1:12" s="1207" customFormat="1" ht="25.5" customHeight="1">
      <c r="A45" s="1517"/>
      <c r="B45" s="1520"/>
      <c r="C45" s="1520"/>
      <c r="D45" s="1512"/>
      <c r="E45" s="1512"/>
      <c r="F45" s="1512"/>
      <c r="G45" s="1512"/>
      <c r="H45" s="1506"/>
      <c r="I45" s="1506"/>
      <c r="J45" s="1204" t="s">
        <v>56</v>
      </c>
      <c r="K45" s="1205">
        <v>0</v>
      </c>
      <c r="L45" s="1206">
        <v>0</v>
      </c>
    </row>
    <row r="46" spans="1:12" s="1207" customFormat="1" ht="25.5" customHeight="1">
      <c r="A46" s="1515" t="s">
        <v>446</v>
      </c>
      <c r="B46" s="1518" t="s">
        <v>67</v>
      </c>
      <c r="C46" s="1518" t="s">
        <v>70</v>
      </c>
      <c r="D46" s="1510" t="s">
        <v>62</v>
      </c>
      <c r="E46" s="1510" t="s">
        <v>63</v>
      </c>
      <c r="F46" s="1510" t="s">
        <v>53</v>
      </c>
      <c r="G46" s="1510" t="s">
        <v>64</v>
      </c>
      <c r="H46" s="1504">
        <v>5510000</v>
      </c>
      <c r="I46" s="1504">
        <v>5500000</v>
      </c>
      <c r="J46" s="1196" t="s">
        <v>1038</v>
      </c>
      <c r="K46" s="1197">
        <f>SUM(K47,K48,K49)</f>
        <v>3300000</v>
      </c>
      <c r="L46" s="1198">
        <f>SUM(L47,L48,L49)</f>
        <v>1133258.7599999998</v>
      </c>
    </row>
    <row r="47" spans="1:12" s="1207" customFormat="1" ht="24" customHeight="1">
      <c r="A47" s="1516"/>
      <c r="B47" s="1519"/>
      <c r="C47" s="1519"/>
      <c r="D47" s="1511"/>
      <c r="E47" s="1511"/>
      <c r="F47" s="1511"/>
      <c r="G47" s="1511"/>
      <c r="H47" s="1505"/>
      <c r="I47" s="1505"/>
      <c r="J47" s="1201" t="s">
        <v>966</v>
      </c>
      <c r="K47" s="1202">
        <v>2805000</v>
      </c>
      <c r="L47" s="1203">
        <v>958448.46</v>
      </c>
    </row>
    <row r="48" spans="1:12" s="1207" customFormat="1" ht="24.75" customHeight="1">
      <c r="A48" s="1516"/>
      <c r="B48" s="1519"/>
      <c r="C48" s="1519"/>
      <c r="D48" s="1511"/>
      <c r="E48" s="1511"/>
      <c r="F48" s="1511"/>
      <c r="G48" s="1511"/>
      <c r="H48" s="1505"/>
      <c r="I48" s="1505"/>
      <c r="J48" s="1201" t="s">
        <v>55</v>
      </c>
      <c r="K48" s="1202">
        <v>485000</v>
      </c>
      <c r="L48" s="1203">
        <v>169137.88</v>
      </c>
    </row>
    <row r="49" spans="1:12" s="1207" customFormat="1" ht="25.5" customHeight="1">
      <c r="A49" s="1517"/>
      <c r="B49" s="1520"/>
      <c r="C49" s="1520"/>
      <c r="D49" s="1512"/>
      <c r="E49" s="1512"/>
      <c r="F49" s="1512"/>
      <c r="G49" s="1512"/>
      <c r="H49" s="1506"/>
      <c r="I49" s="1506"/>
      <c r="J49" s="1204" t="s">
        <v>56</v>
      </c>
      <c r="K49" s="1205">
        <v>10000</v>
      </c>
      <c r="L49" s="1206">
        <v>5672.42</v>
      </c>
    </row>
    <row r="50" spans="1:12" s="1207" customFormat="1" ht="21" customHeight="1">
      <c r="A50" s="1515" t="s">
        <v>447</v>
      </c>
      <c r="B50" s="1518" t="s">
        <v>72</v>
      </c>
      <c r="C50" s="1518" t="s">
        <v>912</v>
      </c>
      <c r="D50" s="1510" t="s">
        <v>1042</v>
      </c>
      <c r="E50" s="1510" t="s">
        <v>1290</v>
      </c>
      <c r="F50" s="1510" t="s">
        <v>53</v>
      </c>
      <c r="G50" s="1510" t="s">
        <v>54</v>
      </c>
      <c r="H50" s="1513">
        <v>19690000</v>
      </c>
      <c r="I50" s="1509" t="s">
        <v>1043</v>
      </c>
      <c r="J50" s="1196" t="s">
        <v>1038</v>
      </c>
      <c r="K50" s="1228">
        <f>SUM(K53,K54,K55)</f>
        <v>5150000</v>
      </c>
      <c r="L50" s="1229">
        <f>SUM(L53,L54,L55)</f>
        <v>3293946.79</v>
      </c>
    </row>
    <row r="51" spans="1:12" s="1207" customFormat="1" ht="21" customHeight="1" hidden="1">
      <c r="A51" s="1516"/>
      <c r="B51" s="1519"/>
      <c r="C51" s="1519"/>
      <c r="D51" s="1511"/>
      <c r="E51" s="1511"/>
      <c r="F51" s="1511"/>
      <c r="G51" s="1511"/>
      <c r="H51" s="1514"/>
      <c r="I51" s="1507"/>
      <c r="J51" s="1230" t="s">
        <v>966</v>
      </c>
      <c r="K51" s="1202">
        <v>0</v>
      </c>
      <c r="L51" s="1203">
        <v>0</v>
      </c>
    </row>
    <row r="52" spans="1:12" s="1207" customFormat="1" ht="21" customHeight="1" hidden="1">
      <c r="A52" s="1516"/>
      <c r="B52" s="1519"/>
      <c r="C52" s="1519"/>
      <c r="D52" s="1511"/>
      <c r="E52" s="1511"/>
      <c r="F52" s="1511"/>
      <c r="G52" s="1511"/>
      <c r="H52" s="1514"/>
      <c r="I52" s="1507"/>
      <c r="J52" s="1230" t="s">
        <v>55</v>
      </c>
      <c r="K52" s="1205">
        <v>0</v>
      </c>
      <c r="L52" s="1206">
        <v>0</v>
      </c>
    </row>
    <row r="53" spans="1:12" s="1207" customFormat="1" ht="21" customHeight="1">
      <c r="A53" s="1516"/>
      <c r="B53" s="1519"/>
      <c r="C53" s="1519"/>
      <c r="D53" s="1511"/>
      <c r="E53" s="1511"/>
      <c r="F53" s="1511"/>
      <c r="G53" s="1511"/>
      <c r="H53" s="1514"/>
      <c r="I53" s="1507"/>
      <c r="J53" s="1201" t="s">
        <v>966</v>
      </c>
      <c r="K53" s="1212">
        <v>2000000</v>
      </c>
      <c r="L53" s="1213">
        <v>1075923.7</v>
      </c>
    </row>
    <row r="54" spans="1:12" s="1207" customFormat="1" ht="21" customHeight="1">
      <c r="A54" s="1516"/>
      <c r="B54" s="1519"/>
      <c r="C54" s="1519"/>
      <c r="D54" s="1511"/>
      <c r="E54" s="1511"/>
      <c r="F54" s="1511"/>
      <c r="G54" s="1511"/>
      <c r="H54" s="1514"/>
      <c r="I54" s="1507" t="s">
        <v>1044</v>
      </c>
      <c r="J54" s="1201" t="s">
        <v>55</v>
      </c>
      <c r="K54" s="1212">
        <v>2950000</v>
      </c>
      <c r="L54" s="1213">
        <v>2082839.72</v>
      </c>
    </row>
    <row r="55" spans="1:12" s="1207" customFormat="1" ht="21" customHeight="1">
      <c r="A55" s="1516"/>
      <c r="B55" s="1519"/>
      <c r="C55" s="1519"/>
      <c r="D55" s="1511"/>
      <c r="E55" s="1511"/>
      <c r="F55" s="1511"/>
      <c r="G55" s="1511"/>
      <c r="H55" s="1514"/>
      <c r="I55" s="1508"/>
      <c r="J55" s="1204" t="s">
        <v>56</v>
      </c>
      <c r="K55" s="1212">
        <v>200000</v>
      </c>
      <c r="L55" s="1213">
        <v>135183.37</v>
      </c>
    </row>
    <row r="56" spans="1:12" s="1207" customFormat="1" ht="21" customHeight="1">
      <c r="A56" s="1515" t="s">
        <v>532</v>
      </c>
      <c r="B56" s="1518" t="s">
        <v>216</v>
      </c>
      <c r="C56" s="1518" t="s">
        <v>1051</v>
      </c>
      <c r="D56" s="1510" t="s">
        <v>52</v>
      </c>
      <c r="E56" s="1510" t="s">
        <v>65</v>
      </c>
      <c r="F56" s="1510" t="s">
        <v>53</v>
      </c>
      <c r="G56" s="1510" t="s">
        <v>64</v>
      </c>
      <c r="H56" s="1504">
        <v>7881306</v>
      </c>
      <c r="I56" s="1504">
        <v>7811306</v>
      </c>
      <c r="J56" s="1196" t="s">
        <v>1038</v>
      </c>
      <c r="K56" s="1197">
        <f>SUM(K57,K58,K59)</f>
        <v>5400000</v>
      </c>
      <c r="L56" s="1198">
        <f>SUM(L57,L58,L59)</f>
        <v>4871178.69</v>
      </c>
    </row>
    <row r="57" spans="1:12" s="1207" customFormat="1" ht="21" customHeight="1">
      <c r="A57" s="1516"/>
      <c r="B57" s="1519"/>
      <c r="C57" s="1519"/>
      <c r="D57" s="1511"/>
      <c r="E57" s="1511"/>
      <c r="F57" s="1511"/>
      <c r="G57" s="1511"/>
      <c r="H57" s="1505"/>
      <c r="I57" s="1505"/>
      <c r="J57" s="1201" t="s">
        <v>966</v>
      </c>
      <c r="K57" s="1202">
        <v>2650000</v>
      </c>
      <c r="L57" s="1203">
        <v>2404633.58</v>
      </c>
    </row>
    <row r="58" spans="1:12" s="1207" customFormat="1" ht="21" customHeight="1">
      <c r="A58" s="1516"/>
      <c r="B58" s="1519"/>
      <c r="C58" s="1519"/>
      <c r="D58" s="1511"/>
      <c r="E58" s="1511"/>
      <c r="F58" s="1511"/>
      <c r="G58" s="1511"/>
      <c r="H58" s="1505"/>
      <c r="I58" s="1505"/>
      <c r="J58" s="1201" t="s">
        <v>55</v>
      </c>
      <c r="K58" s="1205">
        <v>2650000</v>
      </c>
      <c r="L58" s="1206">
        <v>2404633.79</v>
      </c>
    </row>
    <row r="59" spans="1:12" s="1207" customFormat="1" ht="21" customHeight="1">
      <c r="A59" s="1516"/>
      <c r="B59" s="1519"/>
      <c r="C59" s="1519"/>
      <c r="D59" s="1511"/>
      <c r="E59" s="1511"/>
      <c r="F59" s="1511"/>
      <c r="G59" s="1511"/>
      <c r="H59" s="1505"/>
      <c r="I59" s="1505"/>
      <c r="J59" s="1204" t="s">
        <v>56</v>
      </c>
      <c r="K59" s="1212">
        <v>100000</v>
      </c>
      <c r="L59" s="1213">
        <v>61911.32</v>
      </c>
    </row>
    <row r="60" spans="1:12" s="1207" customFormat="1" ht="29.25" customHeight="1">
      <c r="A60" s="1515" t="s">
        <v>448</v>
      </c>
      <c r="B60" s="1518" t="s">
        <v>216</v>
      </c>
      <c r="C60" s="1518" t="s">
        <v>1051</v>
      </c>
      <c r="D60" s="1510" t="s">
        <v>66</v>
      </c>
      <c r="E60" s="1551" t="s">
        <v>675</v>
      </c>
      <c r="F60" s="1510" t="s">
        <v>53</v>
      </c>
      <c r="G60" s="1510" t="s">
        <v>64</v>
      </c>
      <c r="H60" s="1504">
        <v>2330000</v>
      </c>
      <c r="I60" s="1504">
        <v>2296283</v>
      </c>
      <c r="J60" s="1196" t="s">
        <v>1038</v>
      </c>
      <c r="K60" s="1197">
        <f>SUM(K61,K62,K63)</f>
        <v>1730000</v>
      </c>
      <c r="L60" s="1198">
        <f>SUM(L61,L62,L63)</f>
        <v>0</v>
      </c>
    </row>
    <row r="61" spans="1:12" s="1207" customFormat="1" ht="22.5" customHeight="1">
      <c r="A61" s="1516"/>
      <c r="B61" s="1519"/>
      <c r="C61" s="1519"/>
      <c r="D61" s="1511"/>
      <c r="E61" s="1552"/>
      <c r="F61" s="1511"/>
      <c r="G61" s="1511"/>
      <c r="H61" s="1505"/>
      <c r="I61" s="1505"/>
      <c r="J61" s="1230" t="s">
        <v>966</v>
      </c>
      <c r="K61" s="1202">
        <v>1445000</v>
      </c>
      <c r="L61" s="1203">
        <v>0</v>
      </c>
    </row>
    <row r="62" spans="1:12" s="1207" customFormat="1" ht="24.75" customHeight="1">
      <c r="A62" s="1516"/>
      <c r="B62" s="1519"/>
      <c r="C62" s="1519"/>
      <c r="D62" s="1511"/>
      <c r="E62" s="1552"/>
      <c r="F62" s="1511"/>
      <c r="G62" s="1511"/>
      <c r="H62" s="1505"/>
      <c r="I62" s="1505"/>
      <c r="J62" s="1230" t="s">
        <v>55</v>
      </c>
      <c r="K62" s="1205">
        <v>255000</v>
      </c>
      <c r="L62" s="1206">
        <v>0</v>
      </c>
    </row>
    <row r="63" spans="1:12" s="1207" customFormat="1" ht="24" customHeight="1">
      <c r="A63" s="1517"/>
      <c r="B63" s="1520"/>
      <c r="C63" s="1520"/>
      <c r="D63" s="1512"/>
      <c r="E63" s="1553"/>
      <c r="F63" s="1512"/>
      <c r="G63" s="1512"/>
      <c r="H63" s="1506"/>
      <c r="I63" s="1506"/>
      <c r="J63" s="1204" t="s">
        <v>56</v>
      </c>
      <c r="K63" s="1205">
        <v>30000</v>
      </c>
      <c r="L63" s="1206">
        <v>0</v>
      </c>
    </row>
    <row r="64" spans="1:12" s="1207" customFormat="1" ht="21" customHeight="1" hidden="1">
      <c r="A64" s="1516" t="s">
        <v>447</v>
      </c>
      <c r="B64" s="1519" t="s">
        <v>244</v>
      </c>
      <c r="C64" s="1519" t="s">
        <v>1066</v>
      </c>
      <c r="D64" s="1510" t="s">
        <v>52</v>
      </c>
      <c r="E64" s="1511" t="s">
        <v>600</v>
      </c>
      <c r="F64" s="1511" t="s">
        <v>1363</v>
      </c>
      <c r="G64" s="1511">
        <v>2011</v>
      </c>
      <c r="H64" s="1505">
        <v>400000</v>
      </c>
      <c r="I64" s="1505">
        <v>327869</v>
      </c>
      <c r="J64" s="1231" t="s">
        <v>1038</v>
      </c>
      <c r="K64" s="1232">
        <f>SUM(K65,K66,K67)</f>
        <v>0</v>
      </c>
      <c r="L64" s="1233">
        <f>SUM(L65,L66,L67)</f>
        <v>0</v>
      </c>
    </row>
    <row r="65" spans="1:12" s="1207" customFormat="1" ht="21" customHeight="1" hidden="1">
      <c r="A65" s="1516"/>
      <c r="B65" s="1519"/>
      <c r="C65" s="1519"/>
      <c r="D65" s="1511"/>
      <c r="E65" s="1511"/>
      <c r="F65" s="1511"/>
      <c r="G65" s="1511"/>
      <c r="H65" s="1505"/>
      <c r="I65" s="1505"/>
      <c r="J65" s="1230" t="s">
        <v>966</v>
      </c>
      <c r="K65" s="1202">
        <v>0</v>
      </c>
      <c r="L65" s="1203">
        <v>0</v>
      </c>
    </row>
    <row r="66" spans="1:12" s="1207" customFormat="1" ht="21" customHeight="1" hidden="1">
      <c r="A66" s="1516"/>
      <c r="B66" s="1519"/>
      <c r="C66" s="1519"/>
      <c r="D66" s="1511"/>
      <c r="E66" s="1511"/>
      <c r="F66" s="1511"/>
      <c r="G66" s="1511"/>
      <c r="H66" s="1505"/>
      <c r="I66" s="1505"/>
      <c r="J66" s="1230" t="s">
        <v>55</v>
      </c>
      <c r="K66" s="1205">
        <v>0</v>
      </c>
      <c r="L66" s="1206">
        <v>0</v>
      </c>
    </row>
    <row r="67" spans="1:12" s="1207" customFormat="1" ht="21" customHeight="1" hidden="1" thickBot="1">
      <c r="A67" s="1547"/>
      <c r="B67" s="1548"/>
      <c r="C67" s="1548"/>
      <c r="D67" s="1537"/>
      <c r="E67" s="1537"/>
      <c r="F67" s="1537"/>
      <c r="G67" s="1537"/>
      <c r="H67" s="1530"/>
      <c r="I67" s="1530"/>
      <c r="J67" s="1234" t="s">
        <v>56</v>
      </c>
      <c r="K67" s="1235">
        <v>0</v>
      </c>
      <c r="L67" s="1236">
        <v>0</v>
      </c>
    </row>
    <row r="68" spans="1:12" s="1239" customFormat="1" ht="28.5" customHeight="1" thickBot="1">
      <c r="A68" s="1538" t="s">
        <v>1039</v>
      </c>
      <c r="B68" s="1539"/>
      <c r="C68" s="1539"/>
      <c r="D68" s="1539"/>
      <c r="E68" s="1539"/>
      <c r="F68" s="1539"/>
      <c r="G68" s="1539"/>
      <c r="H68" s="1539"/>
      <c r="I68" s="1539"/>
      <c r="J68" s="1540"/>
      <c r="K68" s="1237">
        <f>SUM(K6,K37)</f>
        <v>25736727.08</v>
      </c>
      <c r="L68" s="1238">
        <f>SUM(L6,L37)</f>
        <v>16712683.07</v>
      </c>
    </row>
    <row r="69" spans="10:12" ht="15" customHeight="1" hidden="1">
      <c r="J69" s="1166" t="s">
        <v>281</v>
      </c>
      <c r="K69" s="1240">
        <f>SUM(K8,K12,K15,K19,K22,K25,K28,K32,K35,K39,K43,K47,K53,K57,K61)</f>
        <v>12651339</v>
      </c>
      <c r="L69" s="1240">
        <f>SUM(L8,L12,L15,L19,L22,L25,L28,L32,L35,L39,L43,L47,L53,L57,L61)</f>
        <v>6413946.24</v>
      </c>
    </row>
    <row r="70" spans="10:12" ht="15" customHeight="1" hidden="1">
      <c r="J70" s="1166" t="s">
        <v>282</v>
      </c>
      <c r="K70" s="1240">
        <f>SUM(K9,K13,K16,K20,K23,K26,K36,K40,K44,K48,K54,K58,K62)</f>
        <v>8033392</v>
      </c>
      <c r="L70" s="1240">
        <f>SUM(L9,L13,L16,L20,L23,L26,L36,L40,L44,L48,L54,L58,L62)</f>
        <v>5448441.59</v>
      </c>
    </row>
    <row r="71" spans="10:12" ht="15" customHeight="1" hidden="1">
      <c r="J71" s="1166" t="s">
        <v>221</v>
      </c>
      <c r="K71" s="1241">
        <f>SUM(K17,K30,K33,K41,K45,K49,K55,K59,K63)</f>
        <v>5035048.08</v>
      </c>
      <c r="L71" s="1241">
        <f>SUM(L17,L30,L33,L41,L45,L49,L55,L59,L63)</f>
        <v>4833827.220000001</v>
      </c>
    </row>
    <row r="72" spans="11:12" ht="15.75" customHeight="1" hidden="1">
      <c r="K72" s="1240">
        <f>SUM(K69:K71)</f>
        <v>25719779.08</v>
      </c>
      <c r="L72" s="1240">
        <f>SUM(L69:L71)</f>
        <v>16696215.05</v>
      </c>
    </row>
    <row r="73" spans="10:12" ht="39" customHeight="1" hidden="1">
      <c r="J73" s="1246" t="s">
        <v>285</v>
      </c>
      <c r="K73" s="1240">
        <f>SUM(K69:K70)</f>
        <v>20684731</v>
      </c>
      <c r="L73" s="1240">
        <f>SUM(L69:L70)</f>
        <v>11862387.83</v>
      </c>
    </row>
    <row r="74" spans="10:12" ht="19.5" customHeight="1" hidden="1">
      <c r="J74" s="132" t="s">
        <v>283</v>
      </c>
      <c r="K74" s="1240">
        <f>SUM(K8,K12,K15,K19,K22,K25,K28,K32,K35)</f>
        <v>2955693</v>
      </c>
      <c r="L74" s="1240">
        <f>SUM(L8,L12,L15,L19,L22,L25,L28,L32,L35)</f>
        <v>1761291.2599999998</v>
      </c>
    </row>
    <row r="75" spans="10:12" ht="39" customHeight="1" hidden="1">
      <c r="J75" s="1242" t="s">
        <v>284</v>
      </c>
      <c r="K75" s="1241">
        <f>SUM(K9,K13,K16,K20,K23,K26,K30,K36)</f>
        <v>847856</v>
      </c>
      <c r="L75" s="1241">
        <f>SUM(L9,L13,L16,L20,L23,L26,L30,L36)</f>
        <v>591160.3</v>
      </c>
    </row>
    <row r="76" spans="1:12" s="1244" customFormat="1" ht="16.5" customHeight="1" hidden="1">
      <c r="A76" s="1243"/>
      <c r="B76" s="1243"/>
      <c r="C76" s="1243"/>
      <c r="K76" s="1245">
        <f>SUM(K74:K75)</f>
        <v>3803549</v>
      </c>
      <c r="L76" s="1245">
        <f>SUM(L74:L75)</f>
        <v>2352451.5599999996</v>
      </c>
    </row>
  </sheetData>
  <sheetProtection password="CF93" sheet="1" formatRows="0" insertColumns="0" insertRows="0" insertHyperlinks="0" deleteColumns="0" deleteRows="0" sort="0" autoFilter="0" pivotTables="0"/>
  <mergeCells count="150">
    <mergeCell ref="I18:I20"/>
    <mergeCell ref="E18:E20"/>
    <mergeCell ref="F18:F20"/>
    <mergeCell ref="G18:G20"/>
    <mergeCell ref="H18:H20"/>
    <mergeCell ref="A18:A20"/>
    <mergeCell ref="B18:B20"/>
    <mergeCell ref="C18:C20"/>
    <mergeCell ref="D18:D20"/>
    <mergeCell ref="A7:A10"/>
    <mergeCell ref="B7:B10"/>
    <mergeCell ref="C7:C10"/>
    <mergeCell ref="D7:D10"/>
    <mergeCell ref="E7:E10"/>
    <mergeCell ref="F7:F10"/>
    <mergeCell ref="G7:G10"/>
    <mergeCell ref="H7:H10"/>
    <mergeCell ref="I24:I26"/>
    <mergeCell ref="A60:A63"/>
    <mergeCell ref="B60:B63"/>
    <mergeCell ref="C60:C63"/>
    <mergeCell ref="D60:D63"/>
    <mergeCell ref="E60:E63"/>
    <mergeCell ref="F60:F63"/>
    <mergeCell ref="G60:G63"/>
    <mergeCell ref="H60:H63"/>
    <mergeCell ref="I60:I63"/>
    <mergeCell ref="G14:G17"/>
    <mergeCell ref="G21:G23"/>
    <mergeCell ref="A24:A26"/>
    <mergeCell ref="B24:B26"/>
    <mergeCell ref="C24:C26"/>
    <mergeCell ref="D24:D26"/>
    <mergeCell ref="A21:A23"/>
    <mergeCell ref="B21:B23"/>
    <mergeCell ref="A14:A17"/>
    <mergeCell ref="C21:C23"/>
    <mergeCell ref="K1:L1"/>
    <mergeCell ref="F11:F13"/>
    <mergeCell ref="I11:I13"/>
    <mergeCell ref="G11:G13"/>
    <mergeCell ref="H11:H13"/>
    <mergeCell ref="A2:L2"/>
    <mergeCell ref="A11:A13"/>
    <mergeCell ref="B11:B13"/>
    <mergeCell ref="C11:C13"/>
    <mergeCell ref="I7:I10"/>
    <mergeCell ref="A68:J68"/>
    <mergeCell ref="A6:J6"/>
    <mergeCell ref="A37:J37"/>
    <mergeCell ref="A64:A67"/>
    <mergeCell ref="B64:B67"/>
    <mergeCell ref="G64:G67"/>
    <mergeCell ref="H64:H67"/>
    <mergeCell ref="C64:C67"/>
    <mergeCell ref="D64:D67"/>
    <mergeCell ref="B14:B17"/>
    <mergeCell ref="A56:A59"/>
    <mergeCell ref="B56:B59"/>
    <mergeCell ref="C56:C59"/>
    <mergeCell ref="D56:D59"/>
    <mergeCell ref="E50:E55"/>
    <mergeCell ref="F50:F55"/>
    <mergeCell ref="G50:G55"/>
    <mergeCell ref="E64:E67"/>
    <mergeCell ref="F64:F67"/>
    <mergeCell ref="E56:E59"/>
    <mergeCell ref="F56:F59"/>
    <mergeCell ref="G56:G59"/>
    <mergeCell ref="A50:A55"/>
    <mergeCell ref="B50:B55"/>
    <mergeCell ref="C50:C55"/>
    <mergeCell ref="D50:D55"/>
    <mergeCell ref="G46:G49"/>
    <mergeCell ref="H46:H49"/>
    <mergeCell ref="H56:H59"/>
    <mergeCell ref="I56:I59"/>
    <mergeCell ref="I46:I49"/>
    <mergeCell ref="A46:A49"/>
    <mergeCell ref="B46:B49"/>
    <mergeCell ref="C46:C49"/>
    <mergeCell ref="D46:D49"/>
    <mergeCell ref="H38:H41"/>
    <mergeCell ref="I38:I41"/>
    <mergeCell ref="A38:A41"/>
    <mergeCell ref="B38:B41"/>
    <mergeCell ref="C38:C41"/>
    <mergeCell ref="D38:D41"/>
    <mergeCell ref="E38:E41"/>
    <mergeCell ref="F38:F41"/>
    <mergeCell ref="G38:G41"/>
    <mergeCell ref="E34:E36"/>
    <mergeCell ref="F34:F36"/>
    <mergeCell ref="G34:G36"/>
    <mergeCell ref="H34:H36"/>
    <mergeCell ref="A34:A36"/>
    <mergeCell ref="B34:B36"/>
    <mergeCell ref="C34:C36"/>
    <mergeCell ref="D34:D36"/>
    <mergeCell ref="A27:A30"/>
    <mergeCell ref="B27:B30"/>
    <mergeCell ref="C27:C30"/>
    <mergeCell ref="D27:D30"/>
    <mergeCell ref="A31:A33"/>
    <mergeCell ref="B31:B33"/>
    <mergeCell ref="C31:C33"/>
    <mergeCell ref="D31:D33"/>
    <mergeCell ref="H21:H23"/>
    <mergeCell ref="I64:I67"/>
    <mergeCell ref="I27:I30"/>
    <mergeCell ref="H14:H17"/>
    <mergeCell ref="I14:I17"/>
    <mergeCell ref="H31:H33"/>
    <mergeCell ref="I31:I33"/>
    <mergeCell ref="I34:I36"/>
    <mergeCell ref="H27:H30"/>
    <mergeCell ref="I21:I23"/>
    <mergeCell ref="H24:H26"/>
    <mergeCell ref="E31:E33"/>
    <mergeCell ref="E27:E30"/>
    <mergeCell ref="F27:F30"/>
    <mergeCell ref="G27:G30"/>
    <mergeCell ref="F31:F33"/>
    <mergeCell ref="G31:G33"/>
    <mergeCell ref="E24:E26"/>
    <mergeCell ref="F24:F26"/>
    <mergeCell ref="G24:G26"/>
    <mergeCell ref="D21:D23"/>
    <mergeCell ref="E21:E23"/>
    <mergeCell ref="F21:F23"/>
    <mergeCell ref="F14:F17"/>
    <mergeCell ref="C14:C17"/>
    <mergeCell ref="D14:D17"/>
    <mergeCell ref="E11:E13"/>
    <mergeCell ref="E14:E17"/>
    <mergeCell ref="D11:D13"/>
    <mergeCell ref="A42:A45"/>
    <mergeCell ref="B42:B45"/>
    <mergeCell ref="C42:C45"/>
    <mergeCell ref="D42:D45"/>
    <mergeCell ref="I42:I45"/>
    <mergeCell ref="I54:I55"/>
    <mergeCell ref="I50:I53"/>
    <mergeCell ref="E42:E45"/>
    <mergeCell ref="F42:F45"/>
    <mergeCell ref="G42:G45"/>
    <mergeCell ref="H42:H45"/>
    <mergeCell ref="H50:H55"/>
    <mergeCell ref="E46:E49"/>
    <mergeCell ref="F46:F49"/>
  </mergeCells>
  <printOptions horizontalCentered="1" verticalCentered="1"/>
  <pageMargins left="0.7086614173228347" right="0.5118110236220472" top="0.9448818897637796" bottom="0.7480314960629921" header="0.31496062992125984" footer="0.31496062992125984"/>
  <pageSetup horizontalDpi="600" verticalDpi="600" orientation="landscape" paperSize="9" r:id="rId1"/>
  <rowBreaks count="3" manualBreakCount="3">
    <brk id="17" max="11" man="1"/>
    <brk id="33" max="11" man="1"/>
    <brk id="49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G100"/>
  <sheetViews>
    <sheetView view="pageBreakPreview" zoomScaleSheetLayoutView="100" workbookViewId="0" topLeftCell="A35">
      <selection activeCell="C49" sqref="C49"/>
    </sheetView>
  </sheetViews>
  <sheetFormatPr defaultColWidth="9.00390625" defaultRowHeight="12.75"/>
  <cols>
    <col min="1" max="1" width="4.00390625" style="1113" customWidth="1"/>
    <col min="2" max="2" width="8.625" style="1113" customWidth="1"/>
    <col min="3" max="3" width="87.875" style="1113" customWidth="1"/>
    <col min="4" max="4" width="13.125" style="1113" customWidth="1"/>
    <col min="5" max="5" width="12.375" style="1113" customWidth="1"/>
    <col min="6" max="6" width="5.75390625" style="1113" customWidth="1"/>
    <col min="7" max="7" width="9.125" style="1115" customWidth="1"/>
    <col min="8" max="16384" width="9.125" style="1113" customWidth="1"/>
  </cols>
  <sheetData>
    <row r="1" spans="5:6" ht="34.5" customHeight="1">
      <c r="E1" s="1549" t="s">
        <v>1240</v>
      </c>
      <c r="F1" s="1549"/>
    </row>
    <row r="2" spans="1:7" s="1065" customFormat="1" ht="24.75" customHeight="1">
      <c r="A2" s="1566" t="s">
        <v>601</v>
      </c>
      <c r="B2" s="1566"/>
      <c r="C2" s="1566"/>
      <c r="D2" s="1566"/>
      <c r="E2" s="1566"/>
      <c r="F2" s="1566"/>
      <c r="G2" s="1112"/>
    </row>
    <row r="3" spans="3:6" ht="15" customHeight="1" thickBot="1">
      <c r="C3" s="1111"/>
      <c r="F3" s="1114" t="s">
        <v>1426</v>
      </c>
    </row>
    <row r="4" spans="1:7" s="1111" customFormat="1" ht="31.5" customHeight="1">
      <c r="A4" s="1127" t="s">
        <v>338</v>
      </c>
      <c r="B4" s="50" t="s">
        <v>1427</v>
      </c>
      <c r="C4" s="50" t="s">
        <v>792</v>
      </c>
      <c r="D4" s="50" t="s">
        <v>1429</v>
      </c>
      <c r="E4" s="50" t="s">
        <v>1430</v>
      </c>
      <c r="F4" s="51" t="s">
        <v>1431</v>
      </c>
      <c r="G4" s="1049"/>
    </row>
    <row r="5" spans="1:7" s="1111" customFormat="1" ht="12" customHeight="1" thickBot="1">
      <c r="A5" s="1128">
        <v>1</v>
      </c>
      <c r="B5" s="1129">
        <v>2</v>
      </c>
      <c r="C5" s="1129">
        <v>3</v>
      </c>
      <c r="D5" s="1129">
        <v>4</v>
      </c>
      <c r="E5" s="1129">
        <v>5</v>
      </c>
      <c r="F5" s="1130">
        <v>6</v>
      </c>
      <c r="G5" s="1049"/>
    </row>
    <row r="6" spans="1:7" s="1136" customFormat="1" ht="24.75" customHeight="1">
      <c r="A6" s="1561" t="s">
        <v>68</v>
      </c>
      <c r="B6" s="1562"/>
      <c r="C6" s="1563"/>
      <c r="D6" s="1133">
        <f>SUM(D7,D8,D9,D10,D11,D12,D13,D14,D15,D16,D17,D18,D19,D20,D21,D22,D23)</f>
        <v>17787000</v>
      </c>
      <c r="E6" s="1133">
        <f>SUM(E7,E8,E9,E10,E11,E12,E13,E14,E15,E16,E17,E18,E19,E20,E21,E22,E23)</f>
        <v>10282091.98</v>
      </c>
      <c r="F6" s="1134">
        <f aca="true" t="shared" si="0" ref="F6:F37">E6/D6*100</f>
        <v>57.806780120312595</v>
      </c>
      <c r="G6" s="1135"/>
    </row>
    <row r="7" spans="1:6" ht="26.25" customHeight="1">
      <c r="A7" s="1144" t="s">
        <v>341</v>
      </c>
      <c r="B7" s="1121" t="s">
        <v>69</v>
      </c>
      <c r="C7" s="31" t="s">
        <v>204</v>
      </c>
      <c r="D7" s="1145">
        <v>6164000</v>
      </c>
      <c r="E7" s="1145">
        <v>4878073.46</v>
      </c>
      <c r="F7" s="1123">
        <f t="shared" si="0"/>
        <v>79.13811583387411</v>
      </c>
    </row>
    <row r="8" spans="1:6" ht="22.5" customHeight="1">
      <c r="A8" s="1116" t="s">
        <v>342</v>
      </c>
      <c r="B8" s="1117" t="s">
        <v>69</v>
      </c>
      <c r="C8" s="1107" t="s">
        <v>753</v>
      </c>
      <c r="D8" s="1118">
        <v>1750000</v>
      </c>
      <c r="E8" s="1119">
        <v>230799.6</v>
      </c>
      <c r="F8" s="1120">
        <f t="shared" si="0"/>
        <v>13.188548571428571</v>
      </c>
    </row>
    <row r="9" spans="1:6" ht="23.25" customHeight="1">
      <c r="A9" s="1116" t="s">
        <v>433</v>
      </c>
      <c r="B9" s="1121" t="s">
        <v>69</v>
      </c>
      <c r="C9" s="31" t="s">
        <v>602</v>
      </c>
      <c r="D9" s="1122">
        <v>100000</v>
      </c>
      <c r="E9" s="1122">
        <v>36695.25</v>
      </c>
      <c r="F9" s="1123">
        <f t="shared" si="0"/>
        <v>36.69525</v>
      </c>
    </row>
    <row r="10" spans="1:6" ht="22.5" customHeight="1">
      <c r="A10" s="1116" t="s">
        <v>440</v>
      </c>
      <c r="B10" s="1121" t="s">
        <v>69</v>
      </c>
      <c r="C10" s="31" t="s">
        <v>1299</v>
      </c>
      <c r="D10" s="1122">
        <v>1656126</v>
      </c>
      <c r="E10" s="1122">
        <v>1131377.75</v>
      </c>
      <c r="F10" s="1123">
        <f t="shared" si="0"/>
        <v>68.31471458089541</v>
      </c>
    </row>
    <row r="11" spans="1:6" ht="29.25" customHeight="1">
      <c r="A11" s="1116" t="s">
        <v>441</v>
      </c>
      <c r="B11" s="1121" t="s">
        <v>69</v>
      </c>
      <c r="C11" s="31" t="s">
        <v>836</v>
      </c>
      <c r="D11" s="1122">
        <v>100000</v>
      </c>
      <c r="E11" s="1122">
        <v>4880</v>
      </c>
      <c r="F11" s="1123">
        <f t="shared" si="0"/>
        <v>4.88</v>
      </c>
    </row>
    <row r="12" spans="1:6" ht="29.25" customHeight="1">
      <c r="A12" s="1116" t="s">
        <v>442</v>
      </c>
      <c r="B12" s="1121" t="s">
        <v>69</v>
      </c>
      <c r="C12" s="31" t="s">
        <v>603</v>
      </c>
      <c r="D12" s="1122">
        <v>80000</v>
      </c>
      <c r="E12" s="1122">
        <v>6100</v>
      </c>
      <c r="F12" s="1123">
        <f t="shared" si="0"/>
        <v>7.625</v>
      </c>
    </row>
    <row r="13" spans="1:6" ht="29.25" customHeight="1">
      <c r="A13" s="1116" t="s">
        <v>529</v>
      </c>
      <c r="B13" s="1121" t="s">
        <v>69</v>
      </c>
      <c r="C13" s="31" t="s">
        <v>884</v>
      </c>
      <c r="D13" s="1122">
        <v>459000</v>
      </c>
      <c r="E13" s="1122">
        <v>284304.18</v>
      </c>
      <c r="F13" s="1123">
        <f t="shared" si="0"/>
        <v>61.93990849673202</v>
      </c>
    </row>
    <row r="14" spans="1:6" ht="29.25" customHeight="1">
      <c r="A14" s="1116" t="s">
        <v>530</v>
      </c>
      <c r="B14" s="1121" t="s">
        <v>69</v>
      </c>
      <c r="C14" s="31" t="s">
        <v>837</v>
      </c>
      <c r="D14" s="1122">
        <v>133874</v>
      </c>
      <c r="E14" s="1122">
        <v>133872</v>
      </c>
      <c r="F14" s="1123">
        <f t="shared" si="0"/>
        <v>99.99850605793507</v>
      </c>
    </row>
    <row r="15" spans="1:6" ht="22.5" customHeight="1">
      <c r="A15" s="1116" t="s">
        <v>443</v>
      </c>
      <c r="B15" s="1121" t="s">
        <v>70</v>
      </c>
      <c r="C15" s="31" t="s">
        <v>63</v>
      </c>
      <c r="D15" s="1122">
        <v>3300000</v>
      </c>
      <c r="E15" s="1122">
        <v>1133258.76</v>
      </c>
      <c r="F15" s="1123">
        <f t="shared" si="0"/>
        <v>34.34117454545454</v>
      </c>
    </row>
    <row r="16" spans="1:6" ht="27" customHeight="1">
      <c r="A16" s="1116" t="s">
        <v>445</v>
      </c>
      <c r="B16" s="1121" t="s">
        <v>70</v>
      </c>
      <c r="C16" s="31" t="s">
        <v>661</v>
      </c>
      <c r="D16" s="1122">
        <v>100000</v>
      </c>
      <c r="E16" s="1122">
        <v>0</v>
      </c>
      <c r="F16" s="1123">
        <f t="shared" si="0"/>
        <v>0</v>
      </c>
    </row>
    <row r="17" spans="1:6" ht="27" customHeight="1">
      <c r="A17" s="1116" t="s">
        <v>531</v>
      </c>
      <c r="B17" s="1121" t="s">
        <v>70</v>
      </c>
      <c r="C17" s="31" t="s">
        <v>662</v>
      </c>
      <c r="D17" s="1122">
        <v>300000</v>
      </c>
      <c r="E17" s="1122">
        <v>0</v>
      </c>
      <c r="F17" s="1123">
        <f t="shared" si="0"/>
        <v>0</v>
      </c>
    </row>
    <row r="18" spans="1:6" ht="27" customHeight="1">
      <c r="A18" s="1116" t="s">
        <v>446</v>
      </c>
      <c r="B18" s="1121" t="s">
        <v>70</v>
      </c>
      <c r="C18" s="31" t="s">
        <v>838</v>
      </c>
      <c r="D18" s="1122">
        <v>400000</v>
      </c>
      <c r="E18" s="1122">
        <v>288721.99</v>
      </c>
      <c r="F18" s="1123">
        <f t="shared" si="0"/>
        <v>72.1804975</v>
      </c>
    </row>
    <row r="19" spans="1:6" ht="33" customHeight="1">
      <c r="A19" s="1116" t="s">
        <v>447</v>
      </c>
      <c r="B19" s="1121" t="s">
        <v>70</v>
      </c>
      <c r="C19" s="31" t="s">
        <v>147</v>
      </c>
      <c r="D19" s="1122">
        <v>170000</v>
      </c>
      <c r="E19" s="1122">
        <v>108942.15</v>
      </c>
      <c r="F19" s="1123">
        <f t="shared" si="0"/>
        <v>64.08361764705882</v>
      </c>
    </row>
    <row r="20" spans="1:6" ht="34.5" customHeight="1">
      <c r="A20" s="1116" t="s">
        <v>532</v>
      </c>
      <c r="B20" s="1121" t="s">
        <v>70</v>
      </c>
      <c r="C20" s="31" t="s">
        <v>839</v>
      </c>
      <c r="D20" s="1122">
        <v>120000</v>
      </c>
      <c r="E20" s="1122">
        <v>31110</v>
      </c>
      <c r="F20" s="1123">
        <f t="shared" si="0"/>
        <v>25.924999999999997</v>
      </c>
    </row>
    <row r="21" spans="1:6" ht="27" customHeight="1">
      <c r="A21" s="1116" t="s">
        <v>448</v>
      </c>
      <c r="B21" s="1121" t="s">
        <v>70</v>
      </c>
      <c r="C21" s="31" t="s">
        <v>754</v>
      </c>
      <c r="D21" s="1122">
        <v>106000</v>
      </c>
      <c r="E21" s="1122">
        <v>12.54</v>
      </c>
      <c r="F21" s="1123">
        <f t="shared" si="0"/>
        <v>0.011830188679245282</v>
      </c>
    </row>
    <row r="22" spans="1:6" ht="27" customHeight="1">
      <c r="A22" s="1116" t="s">
        <v>449</v>
      </c>
      <c r="B22" s="1121" t="s">
        <v>70</v>
      </c>
      <c r="C22" s="31" t="s">
        <v>755</v>
      </c>
      <c r="D22" s="1122">
        <v>1700000</v>
      </c>
      <c r="E22" s="1122">
        <v>1295780.41</v>
      </c>
      <c r="F22" s="1123">
        <f t="shared" si="0"/>
        <v>76.22237705882353</v>
      </c>
    </row>
    <row r="23" spans="1:6" ht="27" customHeight="1">
      <c r="A23" s="1116" t="s">
        <v>450</v>
      </c>
      <c r="B23" s="1121" t="s">
        <v>70</v>
      </c>
      <c r="C23" s="31" t="s">
        <v>1289</v>
      </c>
      <c r="D23" s="1122">
        <v>1148000</v>
      </c>
      <c r="E23" s="1122">
        <v>718163.89</v>
      </c>
      <c r="F23" s="1123">
        <f t="shared" si="0"/>
        <v>62.557830139372825</v>
      </c>
    </row>
    <row r="24" spans="1:7" s="1140" customFormat="1" ht="22.5" customHeight="1">
      <c r="A24" s="1557" t="s">
        <v>73</v>
      </c>
      <c r="B24" s="1558"/>
      <c r="C24" s="1559"/>
      <c r="D24" s="1137">
        <f>SUM(D25,D26,D27)</f>
        <v>5280100</v>
      </c>
      <c r="E24" s="1137">
        <f>SUM(E25,E26,E27)</f>
        <v>3362022.79</v>
      </c>
      <c r="F24" s="1138">
        <f t="shared" si="0"/>
        <v>63.67346811613417</v>
      </c>
      <c r="G24" s="1139"/>
    </row>
    <row r="25" spans="1:6" ht="22.5" customHeight="1">
      <c r="A25" s="1116" t="s">
        <v>451</v>
      </c>
      <c r="B25" s="1121" t="s">
        <v>912</v>
      </c>
      <c r="C25" s="31" t="s">
        <v>1290</v>
      </c>
      <c r="D25" s="1122">
        <v>5150000</v>
      </c>
      <c r="E25" s="1122">
        <v>3293946.79</v>
      </c>
      <c r="F25" s="1123">
        <f t="shared" si="0"/>
        <v>63.9601318446602</v>
      </c>
    </row>
    <row r="26" spans="1:6" ht="22.5" customHeight="1">
      <c r="A26" s="1116" t="s">
        <v>454</v>
      </c>
      <c r="B26" s="1121" t="s">
        <v>912</v>
      </c>
      <c r="C26" s="31" t="s">
        <v>1351</v>
      </c>
      <c r="D26" s="1122">
        <v>57100</v>
      </c>
      <c r="E26" s="1122">
        <v>57096</v>
      </c>
      <c r="F26" s="1123">
        <f t="shared" si="0"/>
        <v>99.99299474605955</v>
      </c>
    </row>
    <row r="27" spans="1:6" ht="22.5" customHeight="1">
      <c r="A27" s="1116" t="s">
        <v>455</v>
      </c>
      <c r="B27" s="1121" t="s">
        <v>912</v>
      </c>
      <c r="C27" s="31" t="s">
        <v>840</v>
      </c>
      <c r="D27" s="1122">
        <v>73000</v>
      </c>
      <c r="E27" s="1122">
        <v>10980</v>
      </c>
      <c r="F27" s="1123">
        <f t="shared" si="0"/>
        <v>15.041095890410958</v>
      </c>
    </row>
    <row r="28" spans="1:7" s="1140" customFormat="1" ht="23.25" customHeight="1">
      <c r="A28" s="1557" t="s">
        <v>75</v>
      </c>
      <c r="B28" s="1558"/>
      <c r="C28" s="1559"/>
      <c r="D28" s="1137">
        <f>SUM(D29)</f>
        <v>50000</v>
      </c>
      <c r="E28" s="1137">
        <f>SUM(E29)</f>
        <v>32025</v>
      </c>
      <c r="F28" s="1138">
        <f t="shared" si="0"/>
        <v>64.05</v>
      </c>
      <c r="G28" s="1139"/>
    </row>
    <row r="29" spans="1:6" ht="31.5" customHeight="1">
      <c r="A29" s="1116" t="s">
        <v>456</v>
      </c>
      <c r="B29" s="1121" t="s">
        <v>918</v>
      </c>
      <c r="C29" s="31" t="s">
        <v>604</v>
      </c>
      <c r="D29" s="1122">
        <v>50000</v>
      </c>
      <c r="E29" s="1122">
        <v>32025</v>
      </c>
      <c r="F29" s="1123">
        <f t="shared" si="0"/>
        <v>64.05</v>
      </c>
    </row>
    <row r="30" spans="1:7" s="1140" customFormat="1" ht="22.5" customHeight="1">
      <c r="A30" s="1560" t="s">
        <v>756</v>
      </c>
      <c r="B30" s="1558"/>
      <c r="C30" s="1559"/>
      <c r="D30" s="1137">
        <f>SUM(D31)</f>
        <v>562000</v>
      </c>
      <c r="E30" s="1137">
        <f>SUM(E31)</f>
        <v>275196.45</v>
      </c>
      <c r="F30" s="1138">
        <f t="shared" si="0"/>
        <v>48.96733985765125</v>
      </c>
      <c r="G30" s="1139"/>
    </row>
    <row r="31" spans="1:6" ht="22.5" customHeight="1">
      <c r="A31" s="1116" t="s">
        <v>457</v>
      </c>
      <c r="B31" s="1121" t="s">
        <v>88</v>
      </c>
      <c r="C31" s="31" t="s">
        <v>757</v>
      </c>
      <c r="D31" s="1122">
        <v>562000</v>
      </c>
      <c r="E31" s="1122">
        <v>275196.45</v>
      </c>
      <c r="F31" s="1123">
        <f t="shared" si="0"/>
        <v>48.96733985765125</v>
      </c>
    </row>
    <row r="32" spans="1:7" s="1142" customFormat="1" ht="22.5" customHeight="1">
      <c r="A32" s="1557" t="s">
        <v>759</v>
      </c>
      <c r="B32" s="1558"/>
      <c r="C32" s="1559"/>
      <c r="D32" s="1137">
        <f>D33+D34</f>
        <v>765000</v>
      </c>
      <c r="E32" s="1137">
        <f>E33+E34</f>
        <v>430244.66000000003</v>
      </c>
      <c r="F32" s="1138">
        <f t="shared" si="0"/>
        <v>56.241132026143795</v>
      </c>
      <c r="G32" s="1141"/>
    </row>
    <row r="33" spans="1:6" ht="22.5" customHeight="1">
      <c r="A33" s="1116" t="s">
        <v>298</v>
      </c>
      <c r="B33" s="1121" t="s">
        <v>103</v>
      </c>
      <c r="C33" s="31" t="s">
        <v>1291</v>
      </c>
      <c r="D33" s="1122">
        <v>200000</v>
      </c>
      <c r="E33" s="1122">
        <v>47729.78</v>
      </c>
      <c r="F33" s="1123">
        <f t="shared" si="0"/>
        <v>23.86489</v>
      </c>
    </row>
    <row r="34" spans="1:6" ht="22.5" customHeight="1">
      <c r="A34" s="1116" t="s">
        <v>299</v>
      </c>
      <c r="B34" s="1121" t="s">
        <v>103</v>
      </c>
      <c r="C34" s="31" t="s">
        <v>663</v>
      </c>
      <c r="D34" s="1122">
        <v>565000</v>
      </c>
      <c r="E34" s="1122">
        <v>382514.88</v>
      </c>
      <c r="F34" s="1123">
        <f t="shared" si="0"/>
        <v>67.70174867256638</v>
      </c>
    </row>
    <row r="35" spans="1:7" s="1140" customFormat="1" ht="22.5" customHeight="1">
      <c r="A35" s="1557" t="s">
        <v>113</v>
      </c>
      <c r="B35" s="1558"/>
      <c r="C35" s="1559"/>
      <c r="D35" s="1137">
        <f>D36+D37</f>
        <v>485000</v>
      </c>
      <c r="E35" s="1137">
        <f>E36+E37</f>
        <v>453689.39999999997</v>
      </c>
      <c r="F35" s="1138">
        <f t="shared" si="0"/>
        <v>93.544206185567</v>
      </c>
      <c r="G35" s="1139"/>
    </row>
    <row r="36" spans="1:6" ht="22.5" customHeight="1">
      <c r="A36" s="1116" t="s">
        <v>300</v>
      </c>
      <c r="B36" s="1121" t="s">
        <v>114</v>
      </c>
      <c r="C36" s="31" t="s">
        <v>760</v>
      </c>
      <c r="D36" s="1122">
        <v>35000</v>
      </c>
      <c r="E36" s="1122">
        <v>4184.6</v>
      </c>
      <c r="F36" s="1123">
        <f t="shared" si="0"/>
        <v>11.956000000000001</v>
      </c>
    </row>
    <row r="37" spans="1:6" ht="22.5" customHeight="1">
      <c r="A37" s="1116" t="s">
        <v>301</v>
      </c>
      <c r="B37" s="1121" t="s">
        <v>958</v>
      </c>
      <c r="C37" s="31" t="s">
        <v>664</v>
      </c>
      <c r="D37" s="1119">
        <v>450000</v>
      </c>
      <c r="E37" s="1119">
        <v>449504.8</v>
      </c>
      <c r="F37" s="1120">
        <f t="shared" si="0"/>
        <v>99.88995555555556</v>
      </c>
    </row>
    <row r="38" spans="1:7" s="1140" customFormat="1" ht="22.5" customHeight="1">
      <c r="A38" s="1561" t="s">
        <v>122</v>
      </c>
      <c r="B38" s="1562"/>
      <c r="C38" s="1563"/>
      <c r="D38" s="1133">
        <f>SUM(D39,D40)</f>
        <v>246000</v>
      </c>
      <c r="E38" s="1133">
        <f>SUM(E39,E40)</f>
        <v>66894.8</v>
      </c>
      <c r="F38" s="1134">
        <f aca="true" t="shared" si="1" ref="F38:F55">E38/D38*100</f>
        <v>27.193008130081303</v>
      </c>
      <c r="G38" s="1139"/>
    </row>
    <row r="39" spans="1:6" ht="22.5" customHeight="1">
      <c r="A39" s="1116" t="s">
        <v>1071</v>
      </c>
      <c r="B39" s="1121" t="s">
        <v>983</v>
      </c>
      <c r="C39" s="31" t="s">
        <v>605</v>
      </c>
      <c r="D39" s="1122">
        <v>96000</v>
      </c>
      <c r="E39" s="1122">
        <v>30500</v>
      </c>
      <c r="F39" s="1123">
        <f t="shared" si="1"/>
        <v>31.770833333333332</v>
      </c>
    </row>
    <row r="40" spans="1:6" ht="22.5" customHeight="1">
      <c r="A40" s="1116" t="s">
        <v>1072</v>
      </c>
      <c r="B40" s="1121" t="s">
        <v>123</v>
      </c>
      <c r="C40" s="31" t="s">
        <v>148</v>
      </c>
      <c r="D40" s="1122">
        <v>150000</v>
      </c>
      <c r="E40" s="1122">
        <v>36394.8</v>
      </c>
      <c r="F40" s="1123">
        <f t="shared" si="1"/>
        <v>24.2632</v>
      </c>
    </row>
    <row r="41" spans="1:7" s="1142" customFormat="1" ht="22.5" customHeight="1">
      <c r="A41" s="1557" t="s">
        <v>690</v>
      </c>
      <c r="B41" s="1558"/>
      <c r="C41" s="1559"/>
      <c r="D41" s="1133">
        <f>SUM(D42)</f>
        <v>210000</v>
      </c>
      <c r="E41" s="1133">
        <f>SUM(E42)</f>
        <v>169457.75</v>
      </c>
      <c r="F41" s="1143">
        <f t="shared" si="1"/>
        <v>80.69416666666666</v>
      </c>
      <c r="G41" s="1141"/>
    </row>
    <row r="42" spans="1:6" ht="22.5" customHeight="1">
      <c r="A42" s="1116" t="s">
        <v>1073</v>
      </c>
      <c r="B42" s="1121" t="s">
        <v>691</v>
      </c>
      <c r="C42" s="31" t="s">
        <v>665</v>
      </c>
      <c r="D42" s="1122">
        <v>210000</v>
      </c>
      <c r="E42" s="1122">
        <v>169457.75</v>
      </c>
      <c r="F42" s="1123">
        <f t="shared" si="1"/>
        <v>80.69416666666666</v>
      </c>
    </row>
    <row r="43" spans="1:7" s="1140" customFormat="1" ht="22.5" customHeight="1">
      <c r="A43" s="1557" t="s">
        <v>1050</v>
      </c>
      <c r="B43" s="1558"/>
      <c r="C43" s="1559"/>
      <c r="D43" s="1137">
        <f>SUM(D44,D45,D46,D47,D48,D49)</f>
        <v>8455700</v>
      </c>
      <c r="E43" s="1137">
        <f>SUM(E44,E45,E46,E47,E48,E49)</f>
        <v>5711872.7700000005</v>
      </c>
      <c r="F43" s="1138">
        <f t="shared" si="1"/>
        <v>67.55056080513737</v>
      </c>
      <c r="G43" s="1139"/>
    </row>
    <row r="44" spans="1:6" ht="27.75" customHeight="1">
      <c r="A44" s="1144" t="s">
        <v>1306</v>
      </c>
      <c r="B44" s="1125" t="s">
        <v>1051</v>
      </c>
      <c r="C44" s="1146" t="s">
        <v>271</v>
      </c>
      <c r="D44" s="1147">
        <v>5400000</v>
      </c>
      <c r="E44" s="1147">
        <v>4871178.69</v>
      </c>
      <c r="F44" s="1148">
        <f t="shared" si="1"/>
        <v>90.20701277777778</v>
      </c>
    </row>
    <row r="45" spans="1:7" s="1151" customFormat="1" ht="32.25" customHeight="1">
      <c r="A45" s="1116" t="s">
        <v>1307</v>
      </c>
      <c r="B45" s="1121" t="s">
        <v>1051</v>
      </c>
      <c r="C45" s="1149" t="s">
        <v>1414</v>
      </c>
      <c r="D45" s="1122">
        <v>1730000</v>
      </c>
      <c r="E45" s="1122">
        <v>0</v>
      </c>
      <c r="F45" s="1123">
        <f t="shared" si="1"/>
        <v>0</v>
      </c>
      <c r="G45" s="1150"/>
    </row>
    <row r="46" spans="1:7" s="1151" customFormat="1" ht="32.25" customHeight="1">
      <c r="A46" s="1116" t="s">
        <v>1096</v>
      </c>
      <c r="B46" s="1121" t="s">
        <v>1051</v>
      </c>
      <c r="C46" s="1149" t="s">
        <v>606</v>
      </c>
      <c r="D46" s="1122">
        <v>260000</v>
      </c>
      <c r="E46" s="1122">
        <v>2076.24</v>
      </c>
      <c r="F46" s="1123">
        <f t="shared" si="1"/>
        <v>0.7985538461538461</v>
      </c>
      <c r="G46" s="1150"/>
    </row>
    <row r="47" spans="1:6" ht="27.75" customHeight="1">
      <c r="A47" s="1116" t="s">
        <v>129</v>
      </c>
      <c r="B47" s="1121" t="s">
        <v>218</v>
      </c>
      <c r="C47" s="31" t="s">
        <v>607</v>
      </c>
      <c r="D47" s="1122">
        <v>326000</v>
      </c>
      <c r="E47" s="1122">
        <v>178113.76</v>
      </c>
      <c r="F47" s="1123">
        <f t="shared" si="1"/>
        <v>54.636122699386505</v>
      </c>
    </row>
    <row r="48" spans="1:6" ht="30" customHeight="1">
      <c r="A48" s="1152" t="s">
        <v>1303</v>
      </c>
      <c r="B48" s="1153" t="s">
        <v>220</v>
      </c>
      <c r="C48" s="715" t="s">
        <v>608</v>
      </c>
      <c r="D48" s="1124">
        <v>250000</v>
      </c>
      <c r="E48" s="1124">
        <v>172696.48</v>
      </c>
      <c r="F48" s="1120">
        <f t="shared" si="1"/>
        <v>69.078592</v>
      </c>
    </row>
    <row r="49" spans="1:7" s="1151" customFormat="1" ht="30" customHeight="1">
      <c r="A49" s="1116" t="s">
        <v>1352</v>
      </c>
      <c r="B49" s="1121" t="s">
        <v>220</v>
      </c>
      <c r="C49" s="1149" t="s">
        <v>841</v>
      </c>
      <c r="D49" s="1122">
        <v>489700</v>
      </c>
      <c r="E49" s="1122">
        <v>487807.6</v>
      </c>
      <c r="F49" s="1123">
        <f t="shared" si="1"/>
        <v>99.6135593220339</v>
      </c>
      <c r="G49" s="1150"/>
    </row>
    <row r="50" spans="1:7" s="1155" customFormat="1" ht="22.5" customHeight="1">
      <c r="A50" s="1557" t="s">
        <v>1061</v>
      </c>
      <c r="B50" s="1564"/>
      <c r="C50" s="1565"/>
      <c r="D50" s="1133">
        <f>D51</f>
        <v>30000</v>
      </c>
      <c r="E50" s="1133">
        <f>E51</f>
        <v>0</v>
      </c>
      <c r="F50" s="1138">
        <f t="shared" si="1"/>
        <v>0</v>
      </c>
      <c r="G50" s="1154"/>
    </row>
    <row r="51" spans="1:7" s="1151" customFormat="1" ht="29.25" customHeight="1">
      <c r="A51" s="1116" t="s">
        <v>547</v>
      </c>
      <c r="B51" s="1121" t="s">
        <v>708</v>
      </c>
      <c r="C51" s="1156" t="s">
        <v>885</v>
      </c>
      <c r="D51" s="1119">
        <v>30000</v>
      </c>
      <c r="E51" s="1119">
        <v>0</v>
      </c>
      <c r="F51" s="1123">
        <f t="shared" si="1"/>
        <v>0</v>
      </c>
      <c r="G51" s="1150"/>
    </row>
    <row r="52" spans="1:7" s="1140" customFormat="1" ht="22.5" customHeight="1">
      <c r="A52" s="1561" t="s">
        <v>246</v>
      </c>
      <c r="B52" s="1562"/>
      <c r="C52" s="1563"/>
      <c r="D52" s="1133">
        <f>SUM(D53,D54,D55)</f>
        <v>8556000</v>
      </c>
      <c r="E52" s="1133">
        <f>SUM(E53,E54,E55)</f>
        <v>6395156.56</v>
      </c>
      <c r="F52" s="1134">
        <f t="shared" si="1"/>
        <v>74.74470032725571</v>
      </c>
      <c r="G52" s="1139"/>
    </row>
    <row r="53" spans="1:6" ht="22.5" customHeight="1">
      <c r="A53" s="1116" t="s">
        <v>548</v>
      </c>
      <c r="B53" s="1121" t="s">
        <v>250</v>
      </c>
      <c r="C53" s="31" t="s">
        <v>1099</v>
      </c>
      <c r="D53" s="1122">
        <v>3350000</v>
      </c>
      <c r="E53" s="1122">
        <v>1358062.41</v>
      </c>
      <c r="F53" s="1120">
        <f t="shared" si="1"/>
        <v>40.53917641791045</v>
      </c>
    </row>
    <row r="54" spans="1:6" ht="22.5" customHeight="1">
      <c r="A54" s="1116" t="s">
        <v>549</v>
      </c>
      <c r="B54" s="1121" t="s">
        <v>250</v>
      </c>
      <c r="C54" s="31" t="s">
        <v>1100</v>
      </c>
      <c r="D54" s="1122">
        <v>5200000</v>
      </c>
      <c r="E54" s="1122">
        <v>5034140.43</v>
      </c>
      <c r="F54" s="1120">
        <f t="shared" si="1"/>
        <v>96.81039288461538</v>
      </c>
    </row>
    <row r="55" spans="1:6" ht="32.25" customHeight="1">
      <c r="A55" s="1157" t="s">
        <v>559</v>
      </c>
      <c r="B55" s="1125" t="s">
        <v>250</v>
      </c>
      <c r="C55" s="1126" t="s">
        <v>149</v>
      </c>
      <c r="D55" s="1124">
        <v>6000</v>
      </c>
      <c r="E55" s="1124">
        <v>2953.72</v>
      </c>
      <c r="F55" s="1120">
        <f t="shared" si="1"/>
        <v>49.22866666666666</v>
      </c>
    </row>
    <row r="56" spans="1:7" s="1132" customFormat="1" ht="27.75" customHeight="1" thickBot="1">
      <c r="A56" s="1554" t="s">
        <v>169</v>
      </c>
      <c r="B56" s="1555"/>
      <c r="C56" s="1556"/>
      <c r="D56" s="1158">
        <f>SUM(D6,D24,D28,D30,D32,D35,D38,D41,D43,D50,D52)</f>
        <v>42426800</v>
      </c>
      <c r="E56" s="1158">
        <f>SUM(E6,E24,E28,E30,E32,E35,E38,E41,E43,E50,E52)</f>
        <v>27178652.16</v>
      </c>
      <c r="F56" s="1159">
        <f>E56/D56*100</f>
        <v>64.06010389659367</v>
      </c>
      <c r="G56" s="1131"/>
    </row>
    <row r="57" s="13" customFormat="1" ht="9.75" customHeight="1">
      <c r="G57" s="14"/>
    </row>
    <row r="58" s="13" customFormat="1" ht="12.75">
      <c r="G58" s="14"/>
    </row>
    <row r="59" s="13" customFormat="1" ht="12.75">
      <c r="G59" s="14"/>
    </row>
    <row r="60" s="13" customFormat="1" ht="12.75">
      <c r="G60" s="14"/>
    </row>
    <row r="61" s="13" customFormat="1" ht="12.75">
      <c r="G61" s="14"/>
    </row>
    <row r="62" s="13" customFormat="1" ht="12.75">
      <c r="G62" s="14"/>
    </row>
    <row r="63" s="13" customFormat="1" ht="12.75">
      <c r="G63" s="14"/>
    </row>
    <row r="64" s="13" customFormat="1" ht="12.75">
      <c r="G64" s="14"/>
    </row>
    <row r="65" s="13" customFormat="1" ht="12.75">
      <c r="G65" s="14"/>
    </row>
    <row r="66" s="13" customFormat="1" ht="12.75">
      <c r="G66" s="14"/>
    </row>
    <row r="67" s="13" customFormat="1" ht="12.75">
      <c r="G67" s="14"/>
    </row>
    <row r="68" s="13" customFormat="1" ht="12.75">
      <c r="G68" s="14"/>
    </row>
    <row r="69" s="13" customFormat="1" ht="12.75">
      <c r="G69" s="14"/>
    </row>
    <row r="70" s="13" customFormat="1" ht="12.75">
      <c r="G70" s="14"/>
    </row>
    <row r="71" s="13" customFormat="1" ht="12.75">
      <c r="G71" s="14"/>
    </row>
    <row r="72" s="13" customFormat="1" ht="12.75">
      <c r="G72" s="14"/>
    </row>
    <row r="73" s="13" customFormat="1" ht="12.75">
      <c r="G73" s="14"/>
    </row>
    <row r="74" s="13" customFormat="1" ht="12.75">
      <c r="G74" s="14"/>
    </row>
    <row r="75" s="13" customFormat="1" ht="12.75">
      <c r="G75" s="14"/>
    </row>
    <row r="76" s="13" customFormat="1" ht="12.75">
      <c r="G76" s="14"/>
    </row>
    <row r="77" s="13" customFormat="1" ht="12.75">
      <c r="G77" s="14"/>
    </row>
    <row r="78" s="13" customFormat="1" ht="12.75">
      <c r="G78" s="14"/>
    </row>
    <row r="79" s="13" customFormat="1" ht="12.75">
      <c r="G79" s="14"/>
    </row>
    <row r="80" s="13" customFormat="1" ht="12.75">
      <c r="G80" s="14"/>
    </row>
    <row r="81" s="13" customFormat="1" ht="12.75">
      <c r="G81" s="14"/>
    </row>
    <row r="82" s="13" customFormat="1" ht="12.75">
      <c r="G82" s="14"/>
    </row>
    <row r="83" s="13" customFormat="1" ht="12.75">
      <c r="G83" s="14"/>
    </row>
    <row r="84" s="13" customFormat="1" ht="12.75">
      <c r="G84" s="14"/>
    </row>
    <row r="85" s="13" customFormat="1" ht="12.75">
      <c r="G85" s="14"/>
    </row>
    <row r="86" s="13" customFormat="1" ht="12.75">
      <c r="G86" s="14"/>
    </row>
    <row r="87" s="13" customFormat="1" ht="12.75">
      <c r="G87" s="14"/>
    </row>
    <row r="88" s="13" customFormat="1" ht="12.75">
      <c r="G88" s="14"/>
    </row>
    <row r="89" s="13" customFormat="1" ht="12.75">
      <c r="G89" s="14"/>
    </row>
    <row r="90" s="13" customFormat="1" ht="12.75">
      <c r="G90" s="14"/>
    </row>
    <row r="91" s="13" customFormat="1" ht="12.75">
      <c r="G91" s="14"/>
    </row>
    <row r="92" s="13" customFormat="1" ht="12.75">
      <c r="G92" s="14"/>
    </row>
    <row r="93" s="13" customFormat="1" ht="12.75">
      <c r="G93" s="14"/>
    </row>
    <row r="94" s="13" customFormat="1" ht="12.75">
      <c r="G94" s="14"/>
    </row>
    <row r="95" s="13" customFormat="1" ht="12.75">
      <c r="G95" s="14"/>
    </row>
    <row r="96" s="13" customFormat="1" ht="12.75">
      <c r="G96" s="14"/>
    </row>
    <row r="97" s="13" customFormat="1" ht="12.75">
      <c r="G97" s="14"/>
    </row>
    <row r="98" s="13" customFormat="1" ht="12.75">
      <c r="G98" s="14"/>
    </row>
    <row r="99" s="13" customFormat="1" ht="12.75">
      <c r="G99" s="14"/>
    </row>
    <row r="100" s="13" customFormat="1" ht="12.75">
      <c r="G100" s="14"/>
    </row>
  </sheetData>
  <sheetProtection password="CF93" sheet="1" formatCells="0" formatColumns="0" formatRows="0" insertColumns="0" insertRows="0" insertHyperlinks="0" deleteColumns="0" deleteRows="0" sort="0" autoFilter="0" pivotTables="0"/>
  <mergeCells count="14">
    <mergeCell ref="E1:F1"/>
    <mergeCell ref="A2:F2"/>
    <mergeCell ref="A6:C6"/>
    <mergeCell ref="A28:C28"/>
    <mergeCell ref="A24:C24"/>
    <mergeCell ref="A56:C56"/>
    <mergeCell ref="A41:C41"/>
    <mergeCell ref="A32:C32"/>
    <mergeCell ref="A30:C30"/>
    <mergeCell ref="A38:C38"/>
    <mergeCell ref="A43:C43"/>
    <mergeCell ref="A52:C52"/>
    <mergeCell ref="A35:C35"/>
    <mergeCell ref="A50:C5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K35"/>
  <sheetViews>
    <sheetView view="pageBreakPreview" zoomScaleSheetLayoutView="100" zoomScalePageLayoutView="0" workbookViewId="0" topLeftCell="A1">
      <pane ySplit="8" topLeftCell="BM9" activePane="bottomLeft" state="frozen"/>
      <selection pane="topLeft" activeCell="A1" sqref="A1"/>
      <selection pane="bottomLeft" activeCell="H33" sqref="H33"/>
    </sheetView>
  </sheetViews>
  <sheetFormatPr defaultColWidth="9.00390625" defaultRowHeight="12.75"/>
  <cols>
    <col min="1" max="1" width="5.625" style="670" customWidth="1"/>
    <col min="2" max="2" width="7.75390625" style="670" customWidth="1"/>
    <col min="3" max="3" width="34.00390625" style="669" customWidth="1"/>
    <col min="4" max="4" width="14.625" style="669" customWidth="1"/>
    <col min="5" max="6" width="12.25390625" style="669" customWidth="1"/>
    <col min="7" max="7" width="12.125" style="669" customWidth="1"/>
    <col min="8" max="8" width="12.25390625" style="669" customWidth="1"/>
    <col min="9" max="9" width="14.625" style="669" customWidth="1"/>
    <col min="10" max="10" width="10.375" style="669" customWidth="1"/>
    <col min="11" max="11" width="9.00390625" style="669" customWidth="1"/>
    <col min="12" max="16384" width="9.125" style="669" customWidth="1"/>
  </cols>
  <sheetData>
    <row r="1" spans="1:2" s="668" customFormat="1" ht="12.75">
      <c r="A1" s="667"/>
      <c r="B1" s="667"/>
    </row>
    <row r="2" spans="1:9" ht="12.75">
      <c r="A2" s="667"/>
      <c r="B2" s="667"/>
      <c r="C2" s="668"/>
      <c r="D2" s="668"/>
      <c r="E2" s="668"/>
      <c r="F2" s="668"/>
      <c r="G2" s="668"/>
      <c r="H2" s="155"/>
      <c r="I2" s="155" t="s">
        <v>857</v>
      </c>
    </row>
    <row r="3" ht="12.75" customHeight="1">
      <c r="H3" s="155"/>
    </row>
    <row r="4" spans="1:9" s="156" customFormat="1" ht="21" customHeight="1">
      <c r="A4" s="1581" t="s">
        <v>302</v>
      </c>
      <c r="B4" s="1581"/>
      <c r="C4" s="1581"/>
      <c r="D4" s="1581"/>
      <c r="E4" s="1581"/>
      <c r="F4" s="1581"/>
      <c r="G4" s="1581"/>
      <c r="H4" s="1581"/>
      <c r="I4" s="1581"/>
    </row>
    <row r="5" spans="8:10" ht="19.5" customHeight="1" thickBot="1">
      <c r="H5" s="309"/>
      <c r="I5" s="309" t="s">
        <v>1426</v>
      </c>
      <c r="J5" s="309"/>
    </row>
    <row r="6" spans="1:9" s="671" customFormat="1" ht="17.25" customHeight="1">
      <c r="A6" s="1473" t="s">
        <v>254</v>
      </c>
      <c r="B6" s="1570" t="s">
        <v>1427</v>
      </c>
      <c r="C6" s="1471" t="s">
        <v>1413</v>
      </c>
      <c r="D6" s="1375" t="s">
        <v>718</v>
      </c>
      <c r="E6" s="1470" t="s">
        <v>368</v>
      </c>
      <c r="F6" s="1470"/>
      <c r="G6" s="1470" t="s">
        <v>330</v>
      </c>
      <c r="H6" s="1569"/>
      <c r="I6" s="1578" t="s">
        <v>719</v>
      </c>
    </row>
    <row r="7" spans="1:9" s="671" customFormat="1" ht="39.75" customHeight="1">
      <c r="A7" s="1474"/>
      <c r="B7" s="1571"/>
      <c r="C7" s="1580"/>
      <c r="D7" s="1376"/>
      <c r="E7" s="672" t="s">
        <v>1429</v>
      </c>
      <c r="F7" s="311" t="s">
        <v>1430</v>
      </c>
      <c r="G7" s="672" t="s">
        <v>1429</v>
      </c>
      <c r="H7" s="673" t="s">
        <v>1430</v>
      </c>
      <c r="I7" s="1579"/>
    </row>
    <row r="8" spans="1:11" s="674" customFormat="1" ht="12.75" customHeight="1" thickBot="1">
      <c r="A8" s="166" t="s">
        <v>1342</v>
      </c>
      <c r="B8" s="167" t="s">
        <v>697</v>
      </c>
      <c r="C8" s="168">
        <v>3</v>
      </c>
      <c r="D8" s="168">
        <v>4</v>
      </c>
      <c r="E8" s="168">
        <v>5</v>
      </c>
      <c r="F8" s="169">
        <v>6</v>
      </c>
      <c r="G8" s="169">
        <v>7</v>
      </c>
      <c r="H8" s="168">
        <v>8</v>
      </c>
      <c r="I8" s="313">
        <v>9</v>
      </c>
      <c r="K8" s="674" t="s">
        <v>876</v>
      </c>
    </row>
    <row r="9" spans="1:11" s="46" customFormat="1" ht="18.75" customHeight="1">
      <c r="A9" s="1575" t="s">
        <v>94</v>
      </c>
      <c r="B9" s="1576"/>
      <c r="C9" s="1577"/>
      <c r="D9" s="675">
        <f aca="true" t="shared" si="0" ref="D9:I9">SUM(D10,D11,D17,D21,D22)</f>
        <v>410114.48</v>
      </c>
      <c r="E9" s="57">
        <f t="shared" si="0"/>
        <v>2661050</v>
      </c>
      <c r="F9" s="57">
        <f t="shared" si="0"/>
        <v>2635014.15</v>
      </c>
      <c r="G9" s="57">
        <f t="shared" si="0"/>
        <v>3071164</v>
      </c>
      <c r="H9" s="57">
        <f t="shared" si="0"/>
        <v>3044989.76</v>
      </c>
      <c r="I9" s="676">
        <f t="shared" si="0"/>
        <v>138.87</v>
      </c>
      <c r="J9" s="35">
        <f>D9+F9-H9</f>
        <v>138.87000000011176</v>
      </c>
      <c r="K9" s="35">
        <f aca="true" t="shared" si="1" ref="K9:K20">I9-J9</f>
        <v>-1.1175416148034856E-10</v>
      </c>
    </row>
    <row r="10" spans="1:11" s="36" customFormat="1" ht="24.75" customHeight="1">
      <c r="A10" s="956" t="s">
        <v>67</v>
      </c>
      <c r="B10" s="957" t="s">
        <v>70</v>
      </c>
      <c r="C10" s="958" t="s">
        <v>721</v>
      </c>
      <c r="D10" s="959">
        <v>308504.73</v>
      </c>
      <c r="E10" s="959">
        <v>950000</v>
      </c>
      <c r="F10" s="959">
        <v>960768.06</v>
      </c>
      <c r="G10" s="959">
        <v>1258505</v>
      </c>
      <c r="H10" s="960">
        <v>1269213.99</v>
      </c>
      <c r="I10" s="613">
        <v>58.8</v>
      </c>
      <c r="J10" s="35">
        <f>D10+F10-H10</f>
        <v>58.800000000046566</v>
      </c>
      <c r="K10" s="35">
        <f t="shared" si="1"/>
        <v>-4.6568970901716966E-11</v>
      </c>
    </row>
    <row r="11" spans="1:11" s="36" customFormat="1" ht="24.75" customHeight="1">
      <c r="A11" s="961" t="s">
        <v>112</v>
      </c>
      <c r="B11" s="962" t="s">
        <v>114</v>
      </c>
      <c r="C11" s="963" t="s">
        <v>115</v>
      </c>
      <c r="D11" s="964">
        <f aca="true" t="shared" si="2" ref="D11:I11">SUM(D12,D13,D14,D15,D16)</f>
        <v>28014.030000000002</v>
      </c>
      <c r="E11" s="964">
        <f t="shared" si="2"/>
        <v>734794</v>
      </c>
      <c r="F11" s="964">
        <f t="shared" si="2"/>
        <v>714585.9</v>
      </c>
      <c r="G11" s="964">
        <f t="shared" si="2"/>
        <v>762808</v>
      </c>
      <c r="H11" s="964">
        <f t="shared" si="2"/>
        <v>742519.89</v>
      </c>
      <c r="I11" s="965">
        <f t="shared" si="2"/>
        <v>80.04</v>
      </c>
      <c r="J11" s="35">
        <f>D11+F11-H11</f>
        <v>80.04000000003725</v>
      </c>
      <c r="K11" s="35">
        <f t="shared" si="1"/>
        <v>-3.724665020854445E-11</v>
      </c>
    </row>
    <row r="12" spans="1:11" s="42" customFormat="1" ht="24.75" customHeight="1">
      <c r="A12" s="966" t="s">
        <v>112</v>
      </c>
      <c r="B12" s="967" t="s">
        <v>114</v>
      </c>
      <c r="C12" s="968" t="s">
        <v>1263</v>
      </c>
      <c r="D12" s="969">
        <v>11139.27</v>
      </c>
      <c r="E12" s="969">
        <v>154451</v>
      </c>
      <c r="F12" s="969">
        <v>150946.79</v>
      </c>
      <c r="G12" s="969">
        <v>165590</v>
      </c>
      <c r="H12" s="970">
        <v>162086.06</v>
      </c>
      <c r="I12" s="971">
        <v>0</v>
      </c>
      <c r="J12" s="68">
        <f aca="true" t="shared" si="3" ref="J12:J20">D12+F12-H12</f>
        <v>0</v>
      </c>
      <c r="K12" s="35">
        <f t="shared" si="1"/>
        <v>0</v>
      </c>
    </row>
    <row r="13" spans="1:11" s="42" customFormat="1" ht="24.75" customHeight="1">
      <c r="A13" s="966" t="s">
        <v>112</v>
      </c>
      <c r="B13" s="967" t="s">
        <v>114</v>
      </c>
      <c r="C13" s="968" t="s">
        <v>1264</v>
      </c>
      <c r="D13" s="969">
        <v>3265.81</v>
      </c>
      <c r="E13" s="969">
        <v>28734</v>
      </c>
      <c r="F13" s="969">
        <v>28395.66</v>
      </c>
      <c r="G13" s="969">
        <v>32000</v>
      </c>
      <c r="H13" s="970">
        <v>31661.47</v>
      </c>
      <c r="I13" s="971">
        <v>0</v>
      </c>
      <c r="J13" s="68">
        <f t="shared" si="3"/>
        <v>0</v>
      </c>
      <c r="K13" s="35">
        <f t="shared" si="1"/>
        <v>0</v>
      </c>
    </row>
    <row r="14" spans="1:11" s="42" customFormat="1" ht="24.75" customHeight="1">
      <c r="A14" s="966" t="s">
        <v>112</v>
      </c>
      <c r="B14" s="967" t="s">
        <v>114</v>
      </c>
      <c r="C14" s="968" t="s">
        <v>904</v>
      </c>
      <c r="D14" s="969">
        <v>1791.95</v>
      </c>
      <c r="E14" s="969">
        <v>154175</v>
      </c>
      <c r="F14" s="969">
        <v>154174.33</v>
      </c>
      <c r="G14" s="969">
        <v>155967</v>
      </c>
      <c r="H14" s="970">
        <v>155886.28</v>
      </c>
      <c r="I14" s="971">
        <v>80</v>
      </c>
      <c r="J14" s="68">
        <f t="shared" si="3"/>
        <v>80</v>
      </c>
      <c r="K14" s="35">
        <f t="shared" si="1"/>
        <v>0</v>
      </c>
    </row>
    <row r="15" spans="1:11" s="42" customFormat="1" ht="24.75" customHeight="1">
      <c r="A15" s="972" t="s">
        <v>112</v>
      </c>
      <c r="B15" s="973" t="s">
        <v>114</v>
      </c>
      <c r="C15" s="974" t="s">
        <v>1265</v>
      </c>
      <c r="D15" s="975">
        <v>7719.46</v>
      </c>
      <c r="E15" s="975">
        <v>217434</v>
      </c>
      <c r="F15" s="975">
        <v>217434</v>
      </c>
      <c r="G15" s="975">
        <v>225153</v>
      </c>
      <c r="H15" s="976">
        <v>225153.42</v>
      </c>
      <c r="I15" s="977">
        <v>0.04</v>
      </c>
      <c r="J15" s="68">
        <f t="shared" si="3"/>
        <v>0.03999999997904524</v>
      </c>
      <c r="K15" s="35">
        <f t="shared" si="1"/>
        <v>2.0954758761515535E-11</v>
      </c>
    </row>
    <row r="16" spans="1:11" s="42" customFormat="1" ht="24.75" customHeight="1">
      <c r="A16" s="978" t="s">
        <v>112</v>
      </c>
      <c r="B16" s="979" t="s">
        <v>114</v>
      </c>
      <c r="C16" s="980" t="s">
        <v>803</v>
      </c>
      <c r="D16" s="981">
        <v>4097.54</v>
      </c>
      <c r="E16" s="981">
        <v>180000</v>
      </c>
      <c r="F16" s="981">
        <v>163635.12</v>
      </c>
      <c r="G16" s="981">
        <v>184098</v>
      </c>
      <c r="H16" s="982">
        <v>167732.66</v>
      </c>
      <c r="I16" s="983">
        <v>0</v>
      </c>
      <c r="J16" s="68">
        <f t="shared" si="3"/>
        <v>0</v>
      </c>
      <c r="K16" s="35">
        <f t="shared" si="1"/>
        <v>0</v>
      </c>
    </row>
    <row r="17" spans="1:11" s="36" customFormat="1" ht="24.75" customHeight="1">
      <c r="A17" s="961" t="s">
        <v>112</v>
      </c>
      <c r="B17" s="962" t="s">
        <v>116</v>
      </c>
      <c r="C17" s="963" t="s">
        <v>117</v>
      </c>
      <c r="D17" s="964">
        <f aca="true" t="shared" si="4" ref="D17:I17">SUM(D18,D19,D20)</f>
        <v>53272.3</v>
      </c>
      <c r="E17" s="964">
        <f t="shared" si="4"/>
        <v>663155</v>
      </c>
      <c r="F17" s="964">
        <f t="shared" si="4"/>
        <v>651752.26</v>
      </c>
      <c r="G17" s="964">
        <f t="shared" si="4"/>
        <v>716427</v>
      </c>
      <c r="H17" s="964">
        <f t="shared" si="4"/>
        <v>705024.5299999999</v>
      </c>
      <c r="I17" s="984">
        <f t="shared" si="4"/>
        <v>0.03</v>
      </c>
      <c r="J17" s="35">
        <f t="shared" si="3"/>
        <v>0.030000000144355</v>
      </c>
      <c r="K17" s="35">
        <f t="shared" si="1"/>
        <v>-1.443550001756222E-10</v>
      </c>
    </row>
    <row r="18" spans="1:11" s="42" customFormat="1" ht="24.75" customHeight="1">
      <c r="A18" s="966" t="s">
        <v>112</v>
      </c>
      <c r="B18" s="967" t="s">
        <v>116</v>
      </c>
      <c r="C18" s="968" t="s">
        <v>1268</v>
      </c>
      <c r="D18" s="969">
        <v>32048.27</v>
      </c>
      <c r="E18" s="969">
        <v>480041</v>
      </c>
      <c r="F18" s="969">
        <v>480040.36</v>
      </c>
      <c r="G18" s="969">
        <v>512089</v>
      </c>
      <c r="H18" s="970">
        <v>512088.63</v>
      </c>
      <c r="I18" s="971">
        <v>0</v>
      </c>
      <c r="J18" s="68">
        <f t="shared" si="3"/>
        <v>0</v>
      </c>
      <c r="K18" s="35">
        <f t="shared" si="1"/>
        <v>0</v>
      </c>
    </row>
    <row r="19" spans="1:11" s="42" customFormat="1" ht="24.75" customHeight="1">
      <c r="A19" s="966" t="s">
        <v>112</v>
      </c>
      <c r="B19" s="967" t="s">
        <v>116</v>
      </c>
      <c r="C19" s="968" t="s">
        <v>1269</v>
      </c>
      <c r="D19" s="969">
        <v>3189.49</v>
      </c>
      <c r="E19" s="969">
        <v>164148</v>
      </c>
      <c r="F19" s="969">
        <v>152745.85</v>
      </c>
      <c r="G19" s="969">
        <v>167337</v>
      </c>
      <c r="H19" s="970">
        <v>155935.31</v>
      </c>
      <c r="I19" s="971">
        <v>0.03</v>
      </c>
      <c r="J19" s="68">
        <f t="shared" si="3"/>
        <v>0.029999999998835847</v>
      </c>
      <c r="K19" s="35">
        <f t="shared" si="1"/>
        <v>1.1641521080463235E-12</v>
      </c>
    </row>
    <row r="20" spans="1:11" s="42" customFormat="1" ht="24.75" customHeight="1">
      <c r="A20" s="978" t="s">
        <v>112</v>
      </c>
      <c r="B20" s="979" t="s">
        <v>116</v>
      </c>
      <c r="C20" s="980" t="s">
        <v>1270</v>
      </c>
      <c r="D20" s="981">
        <v>18034.54</v>
      </c>
      <c r="E20" s="981">
        <v>18966</v>
      </c>
      <c r="F20" s="981">
        <v>18966.05</v>
      </c>
      <c r="G20" s="981">
        <v>37001</v>
      </c>
      <c r="H20" s="982">
        <v>37000.59</v>
      </c>
      <c r="I20" s="983">
        <v>0</v>
      </c>
      <c r="J20" s="68">
        <f t="shared" si="3"/>
        <v>0</v>
      </c>
      <c r="K20" s="35">
        <f t="shared" si="1"/>
        <v>0</v>
      </c>
    </row>
    <row r="21" spans="1:11" s="36" customFormat="1" ht="24.75" customHeight="1">
      <c r="A21" s="956" t="s">
        <v>125</v>
      </c>
      <c r="B21" s="957" t="s">
        <v>126</v>
      </c>
      <c r="C21" s="958" t="s">
        <v>722</v>
      </c>
      <c r="D21" s="959">
        <v>17207.48</v>
      </c>
      <c r="E21" s="959">
        <v>265098</v>
      </c>
      <c r="F21" s="959">
        <v>265097.08</v>
      </c>
      <c r="G21" s="959">
        <v>282305</v>
      </c>
      <c r="H21" s="960">
        <v>282304.56</v>
      </c>
      <c r="I21" s="613">
        <v>0</v>
      </c>
      <c r="J21" s="35">
        <f>D21+F21-H21</f>
        <v>0</v>
      </c>
      <c r="K21" s="35">
        <f>I21-J21</f>
        <v>0</v>
      </c>
    </row>
    <row r="22" spans="1:11" s="36" customFormat="1" ht="24.75" customHeight="1">
      <c r="A22" s="956" t="s">
        <v>135</v>
      </c>
      <c r="B22" s="957" t="s">
        <v>210</v>
      </c>
      <c r="C22" s="958" t="s">
        <v>725</v>
      </c>
      <c r="D22" s="959">
        <v>3115.94</v>
      </c>
      <c r="E22" s="959">
        <v>48003</v>
      </c>
      <c r="F22" s="959">
        <v>42810.85</v>
      </c>
      <c r="G22" s="959">
        <v>51119</v>
      </c>
      <c r="H22" s="960">
        <v>45926.79</v>
      </c>
      <c r="I22" s="613">
        <v>0</v>
      </c>
      <c r="J22" s="35">
        <f>D22+F22-H22</f>
        <v>0</v>
      </c>
      <c r="K22" s="35">
        <f>I22-J22</f>
        <v>0</v>
      </c>
    </row>
    <row r="23" spans="1:11" s="46" customFormat="1" ht="21" customHeight="1">
      <c r="A23" s="1572" t="s">
        <v>1387</v>
      </c>
      <c r="B23" s="1573"/>
      <c r="C23" s="1574"/>
      <c r="D23" s="985">
        <f aca="true" t="shared" si="5" ref="D23:I23">SUM(D24,D27,D28,D29,D32,D33,D34)</f>
        <v>771342.4800000001</v>
      </c>
      <c r="E23" s="985">
        <f t="shared" si="5"/>
        <v>2457385</v>
      </c>
      <c r="F23" s="985">
        <f t="shared" si="5"/>
        <v>2530242.26</v>
      </c>
      <c r="G23" s="985">
        <f t="shared" si="5"/>
        <v>3228727</v>
      </c>
      <c r="H23" s="985">
        <f t="shared" si="5"/>
        <v>3301224.59</v>
      </c>
      <c r="I23" s="986">
        <f t="shared" si="5"/>
        <v>360.15</v>
      </c>
      <c r="J23" s="35">
        <f>D23+F23-H23</f>
        <v>360.14999999990687</v>
      </c>
      <c r="K23" s="35">
        <f>I23-J23</f>
        <v>9.310952009400353E-11</v>
      </c>
    </row>
    <row r="24" spans="1:11" s="43" customFormat="1" ht="40.5" customHeight="1">
      <c r="A24" s="987" t="s">
        <v>67</v>
      </c>
      <c r="B24" s="988" t="s">
        <v>69</v>
      </c>
      <c r="C24" s="989" t="s">
        <v>127</v>
      </c>
      <c r="D24" s="990">
        <f aca="true" t="shared" si="6" ref="D24:I24">SUM(D25,D26)</f>
        <v>514196.9</v>
      </c>
      <c r="E24" s="990">
        <f t="shared" si="6"/>
        <v>986147</v>
      </c>
      <c r="F24" s="990">
        <f t="shared" si="6"/>
        <v>1143686.45</v>
      </c>
      <c r="G24" s="990">
        <f t="shared" si="6"/>
        <v>1500343</v>
      </c>
      <c r="H24" s="990">
        <f t="shared" si="6"/>
        <v>1657883.35</v>
      </c>
      <c r="I24" s="991">
        <f t="shared" si="6"/>
        <v>0</v>
      </c>
      <c r="J24" s="35">
        <f>D24+F24-H24</f>
        <v>0</v>
      </c>
      <c r="K24" s="35">
        <f>I24-J24</f>
        <v>0</v>
      </c>
    </row>
    <row r="25" spans="1:11" s="42" customFormat="1" ht="24.75" customHeight="1">
      <c r="A25" s="966" t="s">
        <v>67</v>
      </c>
      <c r="B25" s="967" t="s">
        <v>69</v>
      </c>
      <c r="C25" s="968" t="s">
        <v>720</v>
      </c>
      <c r="D25" s="969">
        <v>237857.45</v>
      </c>
      <c r="E25" s="969">
        <v>471147</v>
      </c>
      <c r="F25" s="969">
        <v>471146.54</v>
      </c>
      <c r="G25" s="969">
        <v>709004</v>
      </c>
      <c r="H25" s="970">
        <v>709003.99</v>
      </c>
      <c r="I25" s="971">
        <v>0</v>
      </c>
      <c r="J25" s="68">
        <f>D25+F25-H25</f>
        <v>0</v>
      </c>
      <c r="K25" s="68">
        <f>I25-J25</f>
        <v>0</v>
      </c>
    </row>
    <row r="26" spans="1:11" s="42" customFormat="1" ht="24.75" customHeight="1">
      <c r="A26" s="978" t="s">
        <v>67</v>
      </c>
      <c r="B26" s="979" t="s">
        <v>69</v>
      </c>
      <c r="C26" s="980" t="s">
        <v>721</v>
      </c>
      <c r="D26" s="981">
        <v>276339.45</v>
      </c>
      <c r="E26" s="981">
        <v>515000</v>
      </c>
      <c r="F26" s="981">
        <v>672539.91</v>
      </c>
      <c r="G26" s="981">
        <v>791339</v>
      </c>
      <c r="H26" s="982">
        <v>948879.36</v>
      </c>
      <c r="I26" s="983">
        <v>0</v>
      </c>
      <c r="J26" s="68">
        <f aca="true" t="shared" si="7" ref="J26:J35">D26+F26-H26</f>
        <v>0</v>
      </c>
      <c r="K26" s="68">
        <f aca="true" t="shared" si="8" ref="K26:K35">I26-J26</f>
        <v>0</v>
      </c>
    </row>
    <row r="27" spans="1:11" s="36" customFormat="1" ht="24.75" customHeight="1">
      <c r="A27" s="956" t="s">
        <v>105</v>
      </c>
      <c r="B27" s="957" t="s">
        <v>106</v>
      </c>
      <c r="C27" s="958" t="s">
        <v>351</v>
      </c>
      <c r="D27" s="959">
        <v>6623.65</v>
      </c>
      <c r="E27" s="959">
        <v>63999</v>
      </c>
      <c r="F27" s="959">
        <v>63999.1</v>
      </c>
      <c r="G27" s="959">
        <v>70623</v>
      </c>
      <c r="H27" s="960">
        <v>70622.6</v>
      </c>
      <c r="I27" s="613">
        <v>0.15</v>
      </c>
      <c r="J27" s="68">
        <f t="shared" si="7"/>
        <v>0.14999999999417923</v>
      </c>
      <c r="K27" s="68">
        <f t="shared" si="8"/>
        <v>5.820760540231618E-12</v>
      </c>
    </row>
    <row r="28" spans="1:11" s="36" customFormat="1" ht="26.25" customHeight="1">
      <c r="A28" s="956" t="s">
        <v>112</v>
      </c>
      <c r="B28" s="957" t="s">
        <v>118</v>
      </c>
      <c r="C28" s="958" t="s">
        <v>1415</v>
      </c>
      <c r="D28" s="959">
        <v>112.02</v>
      </c>
      <c r="E28" s="959">
        <v>53355</v>
      </c>
      <c r="F28" s="959">
        <v>53354.82</v>
      </c>
      <c r="G28" s="959">
        <v>53467</v>
      </c>
      <c r="H28" s="960">
        <v>53466.84</v>
      </c>
      <c r="I28" s="613">
        <v>0</v>
      </c>
      <c r="J28" s="35">
        <f>D28+F28-H28</f>
        <v>0</v>
      </c>
      <c r="K28" s="35">
        <f>I28-J28</f>
        <v>0</v>
      </c>
    </row>
    <row r="29" spans="1:11" s="36" customFormat="1" ht="24.75" customHeight="1">
      <c r="A29" s="961" t="s">
        <v>112</v>
      </c>
      <c r="B29" s="962" t="s">
        <v>119</v>
      </c>
      <c r="C29" s="963" t="s">
        <v>120</v>
      </c>
      <c r="D29" s="964">
        <f aca="true" t="shared" si="9" ref="D29:I29">SUM(D30,D31)</f>
        <v>129565.79</v>
      </c>
      <c r="E29" s="964">
        <f t="shared" si="9"/>
        <v>290185</v>
      </c>
      <c r="F29" s="964">
        <f t="shared" si="9"/>
        <v>288397.44</v>
      </c>
      <c r="G29" s="964">
        <f t="shared" si="9"/>
        <v>419751</v>
      </c>
      <c r="H29" s="964">
        <f t="shared" si="9"/>
        <v>417963.23000000004</v>
      </c>
      <c r="I29" s="984">
        <f t="shared" si="9"/>
        <v>0</v>
      </c>
      <c r="J29" s="35">
        <f t="shared" si="7"/>
        <v>0</v>
      </c>
      <c r="K29" s="35">
        <f t="shared" si="8"/>
        <v>0</v>
      </c>
    </row>
    <row r="30" spans="1:11" s="42" customFormat="1" ht="24.75" customHeight="1">
      <c r="A30" s="966" t="s">
        <v>112</v>
      </c>
      <c r="B30" s="967" t="s">
        <v>119</v>
      </c>
      <c r="C30" s="968" t="s">
        <v>1272</v>
      </c>
      <c r="D30" s="969">
        <v>8880.5</v>
      </c>
      <c r="E30" s="969">
        <v>50855</v>
      </c>
      <c r="F30" s="969">
        <v>50799.14</v>
      </c>
      <c r="G30" s="969">
        <v>59736</v>
      </c>
      <c r="H30" s="970">
        <v>59679.64</v>
      </c>
      <c r="I30" s="971">
        <v>0</v>
      </c>
      <c r="J30" s="68">
        <f t="shared" si="7"/>
        <v>0</v>
      </c>
      <c r="K30" s="68">
        <f t="shared" si="8"/>
        <v>0</v>
      </c>
    </row>
    <row r="31" spans="1:11" s="42" customFormat="1" ht="24.75" customHeight="1">
      <c r="A31" s="978" t="s">
        <v>112</v>
      </c>
      <c r="B31" s="979" t="s">
        <v>119</v>
      </c>
      <c r="C31" s="980" t="s">
        <v>1273</v>
      </c>
      <c r="D31" s="981">
        <v>120685.29</v>
      </c>
      <c r="E31" s="981">
        <v>239330</v>
      </c>
      <c r="F31" s="981">
        <v>237598.3</v>
      </c>
      <c r="G31" s="981">
        <v>360015</v>
      </c>
      <c r="H31" s="982">
        <v>358283.59</v>
      </c>
      <c r="I31" s="983">
        <v>0</v>
      </c>
      <c r="J31" s="68">
        <f t="shared" si="7"/>
        <v>0</v>
      </c>
      <c r="K31" s="68">
        <f t="shared" si="8"/>
        <v>0</v>
      </c>
    </row>
    <row r="32" spans="1:11" s="36" customFormat="1" ht="24.75" customHeight="1">
      <c r="A32" s="956" t="s">
        <v>135</v>
      </c>
      <c r="B32" s="957" t="s">
        <v>140</v>
      </c>
      <c r="C32" s="958" t="s">
        <v>723</v>
      </c>
      <c r="D32" s="959">
        <v>97662.98</v>
      </c>
      <c r="E32" s="959">
        <v>460500</v>
      </c>
      <c r="F32" s="959">
        <v>406710.53</v>
      </c>
      <c r="G32" s="959">
        <v>558163</v>
      </c>
      <c r="H32" s="960">
        <v>504373.51</v>
      </c>
      <c r="I32" s="613">
        <v>0</v>
      </c>
      <c r="J32" s="35">
        <f t="shared" si="7"/>
        <v>0</v>
      </c>
      <c r="K32" s="35">
        <f t="shared" si="8"/>
        <v>0</v>
      </c>
    </row>
    <row r="33" spans="1:11" s="36" customFormat="1" ht="24.75" customHeight="1">
      <c r="A33" s="956" t="s">
        <v>135</v>
      </c>
      <c r="B33" s="957" t="s">
        <v>141</v>
      </c>
      <c r="C33" s="958" t="s">
        <v>724</v>
      </c>
      <c r="D33" s="959">
        <v>4727.85</v>
      </c>
      <c r="E33" s="959">
        <v>6002</v>
      </c>
      <c r="F33" s="959">
        <v>5460.45</v>
      </c>
      <c r="G33" s="959">
        <v>10730</v>
      </c>
      <c r="H33" s="960">
        <v>10188.3</v>
      </c>
      <c r="I33" s="613">
        <v>0</v>
      </c>
      <c r="J33" s="35">
        <f t="shared" si="7"/>
        <v>0</v>
      </c>
      <c r="K33" s="35">
        <f t="shared" si="8"/>
        <v>0</v>
      </c>
    </row>
    <row r="34" spans="1:11" s="36" customFormat="1" ht="24.75" customHeight="1" thickBot="1">
      <c r="A34" s="994" t="s">
        <v>135</v>
      </c>
      <c r="B34" s="995" t="s">
        <v>212</v>
      </c>
      <c r="C34" s="996" t="s">
        <v>1271</v>
      </c>
      <c r="D34" s="997">
        <v>18453.29</v>
      </c>
      <c r="E34" s="997">
        <v>597197</v>
      </c>
      <c r="F34" s="997">
        <v>568633.47</v>
      </c>
      <c r="G34" s="997">
        <v>615650</v>
      </c>
      <c r="H34" s="998">
        <v>586726.76</v>
      </c>
      <c r="I34" s="999">
        <v>360</v>
      </c>
      <c r="J34" s="35">
        <f>D34+F34-H34</f>
        <v>360</v>
      </c>
      <c r="K34" s="35">
        <f>I34-J34</f>
        <v>0</v>
      </c>
    </row>
    <row r="35" spans="1:11" s="639" customFormat="1" ht="24.75" customHeight="1" thickBot="1">
      <c r="A35" s="1567" t="s">
        <v>1262</v>
      </c>
      <c r="B35" s="1568"/>
      <c r="C35" s="1568"/>
      <c r="D35" s="992">
        <f aca="true" t="shared" si="10" ref="D35:I35">SUM(D9,D23)</f>
        <v>1181456.96</v>
      </c>
      <c r="E35" s="992">
        <f t="shared" si="10"/>
        <v>5118435</v>
      </c>
      <c r="F35" s="992">
        <f t="shared" si="10"/>
        <v>5165256.41</v>
      </c>
      <c r="G35" s="992">
        <f t="shared" si="10"/>
        <v>6299891</v>
      </c>
      <c r="H35" s="992">
        <f t="shared" si="10"/>
        <v>6346214.35</v>
      </c>
      <c r="I35" s="993">
        <f t="shared" si="10"/>
        <v>499.02</v>
      </c>
      <c r="J35" s="35">
        <f t="shared" si="7"/>
        <v>499.0200000004843</v>
      </c>
      <c r="K35" s="35">
        <f t="shared" si="8"/>
        <v>-4.843059286940843E-10</v>
      </c>
    </row>
  </sheetData>
  <sheetProtection password="CF93" sheet="1" formatRows="0" insertColumns="0" insertRows="0" insertHyperlinks="0" deleteColumns="0" deleteRows="0" sort="0" autoFilter="0" pivotTables="0"/>
  <mergeCells count="11">
    <mergeCell ref="I6:I7"/>
    <mergeCell ref="C6:C7"/>
    <mergeCell ref="E6:F6"/>
    <mergeCell ref="A4:I4"/>
    <mergeCell ref="A35:C35"/>
    <mergeCell ref="G6:H6"/>
    <mergeCell ref="A6:A7"/>
    <mergeCell ref="B6:B7"/>
    <mergeCell ref="D6:D7"/>
    <mergeCell ref="A23:C23"/>
    <mergeCell ref="A9:C9"/>
  </mergeCells>
  <printOptions/>
  <pageMargins left="1.1811023622047245" right="0.7874015748031497" top="0.5905511811023623" bottom="0.5905511811023623" header="0.5118110236220472" footer="0.5118110236220472"/>
  <pageSetup horizontalDpi="300" verticalDpi="300" orientation="landscape" paperSize="9" r:id="rId1"/>
  <rowBreaks count="1" manualBreakCount="1">
    <brk id="22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view="pageBreakPreview" zoomScaleSheetLayoutView="100" zoomScalePageLayoutView="0" workbookViewId="0" topLeftCell="A6">
      <selection activeCell="C19" sqref="C19:C21"/>
    </sheetView>
  </sheetViews>
  <sheetFormatPr defaultColWidth="9.00390625" defaultRowHeight="12.75"/>
  <cols>
    <col min="1" max="1" width="3.375" style="1162" customWidth="1"/>
    <col min="2" max="2" width="8.75390625" style="1162" customWidth="1"/>
    <col min="3" max="3" width="50.375" style="1163" customWidth="1"/>
    <col min="4" max="4" width="13.25390625" style="1164" hidden="1" customWidth="1"/>
    <col min="5" max="5" width="12.00390625" style="1163" customWidth="1"/>
    <col min="6" max="6" width="12.125" style="1195" customWidth="1"/>
    <col min="7" max="7" width="10.00390625" style="1163" hidden="1" customWidth="1"/>
    <col min="8" max="16384" width="9.125" style="1163" customWidth="1"/>
  </cols>
  <sheetData>
    <row r="1" spans="6:7" ht="12.75">
      <c r="F1" s="47" t="s">
        <v>858</v>
      </c>
      <c r="G1" s="47"/>
    </row>
    <row r="2" spans="6:7" ht="19.5" customHeight="1">
      <c r="F2" s="1436"/>
      <c r="G2" s="1436"/>
    </row>
    <row r="3" spans="1:6" ht="29.25" customHeight="1">
      <c r="A3" s="1585" t="s">
        <v>3</v>
      </c>
      <c r="B3" s="1585"/>
      <c r="C3" s="1585"/>
      <c r="D3" s="1585"/>
      <c r="E3" s="1585"/>
      <c r="F3" s="1585"/>
    </row>
    <row r="4" spans="5:7" ht="29.25" customHeight="1" thickBot="1">
      <c r="E4" s="1166"/>
      <c r="F4" s="1167" t="s">
        <v>1426</v>
      </c>
      <c r="G4" s="1167"/>
    </row>
    <row r="5" spans="1:7" s="1165" customFormat="1" ht="56.25" customHeight="1">
      <c r="A5" s="1168" t="s">
        <v>338</v>
      </c>
      <c r="B5" s="1169" t="s">
        <v>1427</v>
      </c>
      <c r="C5" s="1169" t="s">
        <v>255</v>
      </c>
      <c r="D5" s="1170" t="s">
        <v>1305</v>
      </c>
      <c r="E5" s="1170" t="s">
        <v>960</v>
      </c>
      <c r="F5" s="1171" t="s">
        <v>791</v>
      </c>
      <c r="G5" s="1172" t="s">
        <v>824</v>
      </c>
    </row>
    <row r="6" spans="1:7" s="1178" customFormat="1" ht="14.25" customHeight="1">
      <c r="A6" s="1173">
        <v>1</v>
      </c>
      <c r="B6" s="1174">
        <v>2</v>
      </c>
      <c r="C6" s="1174">
        <v>3</v>
      </c>
      <c r="D6" s="1175">
        <v>4</v>
      </c>
      <c r="E6" s="1175">
        <v>4</v>
      </c>
      <c r="F6" s="1176">
        <v>5</v>
      </c>
      <c r="G6" s="1177">
        <v>6</v>
      </c>
    </row>
    <row r="7" spans="1:7" ht="56.25" customHeight="1">
      <c r="A7" s="1179" t="s">
        <v>341</v>
      </c>
      <c r="B7" s="1180">
        <v>60015</v>
      </c>
      <c r="C7" s="31" t="s">
        <v>1441</v>
      </c>
      <c r="D7" s="1181" t="s">
        <v>1442</v>
      </c>
      <c r="E7" s="1182">
        <v>1353611</v>
      </c>
      <c r="F7" s="1183">
        <v>1183441.84</v>
      </c>
      <c r="G7" s="1184">
        <f>E7-F7</f>
        <v>170169.15999999992</v>
      </c>
    </row>
    <row r="8" spans="1:7" ht="22.5" customHeight="1">
      <c r="A8" s="1179" t="s">
        <v>342</v>
      </c>
      <c r="B8" s="1180">
        <v>60015</v>
      </c>
      <c r="C8" s="31" t="s">
        <v>1443</v>
      </c>
      <c r="D8" s="1181" t="s">
        <v>1442</v>
      </c>
      <c r="E8" s="1182">
        <v>23284</v>
      </c>
      <c r="F8" s="1183">
        <v>2440</v>
      </c>
      <c r="G8" s="1184">
        <f aca="true" t="shared" si="0" ref="G8:G16">E8-F8</f>
        <v>20844</v>
      </c>
    </row>
    <row r="9" spans="1:7" ht="18.75" customHeight="1">
      <c r="A9" s="1179" t="s">
        <v>433</v>
      </c>
      <c r="B9" s="1180">
        <v>60016</v>
      </c>
      <c r="C9" s="31" t="s">
        <v>754</v>
      </c>
      <c r="D9" s="1181" t="s">
        <v>1442</v>
      </c>
      <c r="E9" s="1182">
        <v>109660</v>
      </c>
      <c r="F9" s="1183">
        <v>2440</v>
      </c>
      <c r="G9" s="1184">
        <f t="shared" si="0"/>
        <v>107220</v>
      </c>
    </row>
    <row r="10" spans="1:7" ht="21" customHeight="1">
      <c r="A10" s="1179" t="s">
        <v>440</v>
      </c>
      <c r="B10" s="1180">
        <v>63095</v>
      </c>
      <c r="C10" s="31" t="s">
        <v>1290</v>
      </c>
      <c r="D10" s="1181" t="s">
        <v>1442</v>
      </c>
      <c r="E10" s="1182">
        <v>115751</v>
      </c>
      <c r="F10" s="1183">
        <v>115633.55</v>
      </c>
      <c r="G10" s="1184">
        <f t="shared" si="0"/>
        <v>117.44999999999709</v>
      </c>
    </row>
    <row r="11" spans="1:7" ht="19.5" customHeight="1">
      <c r="A11" s="1179" t="s">
        <v>441</v>
      </c>
      <c r="B11" s="1180">
        <v>63095</v>
      </c>
      <c r="C11" s="31" t="s">
        <v>1351</v>
      </c>
      <c r="D11" s="1181" t="s">
        <v>1442</v>
      </c>
      <c r="E11" s="1182">
        <v>91000</v>
      </c>
      <c r="F11" s="1183">
        <v>14000</v>
      </c>
      <c r="G11" s="1184">
        <f t="shared" si="0"/>
        <v>77000</v>
      </c>
    </row>
    <row r="12" spans="1:7" ht="32.25" customHeight="1">
      <c r="A12" s="1179" t="s">
        <v>442</v>
      </c>
      <c r="B12" s="1180">
        <v>70095</v>
      </c>
      <c r="C12" s="31" t="s">
        <v>1444</v>
      </c>
      <c r="D12" s="1181" t="s">
        <v>1442</v>
      </c>
      <c r="E12" s="1182">
        <v>24836</v>
      </c>
      <c r="F12" s="1183">
        <v>20293.16</v>
      </c>
      <c r="G12" s="1184">
        <f t="shared" si="0"/>
        <v>4542.84</v>
      </c>
    </row>
    <row r="13" spans="1:7" ht="19.5" customHeight="1">
      <c r="A13" s="1179" t="s">
        <v>529</v>
      </c>
      <c r="B13" s="1180">
        <v>71035</v>
      </c>
      <c r="C13" s="31" t="s">
        <v>1445</v>
      </c>
      <c r="D13" s="1181" t="s">
        <v>1446</v>
      </c>
      <c r="E13" s="1182">
        <v>299771</v>
      </c>
      <c r="F13" s="1183">
        <v>59061.38</v>
      </c>
      <c r="G13" s="1184">
        <f t="shared" si="0"/>
        <v>240709.62</v>
      </c>
    </row>
    <row r="14" spans="1:7" ht="45" customHeight="1">
      <c r="A14" s="1179" t="s">
        <v>530</v>
      </c>
      <c r="B14" s="1180">
        <v>85154</v>
      </c>
      <c r="C14" s="1194" t="s">
        <v>1447</v>
      </c>
      <c r="D14" s="1181" t="s">
        <v>1442</v>
      </c>
      <c r="E14" s="1182">
        <v>140700</v>
      </c>
      <c r="F14" s="1183">
        <v>89866.12</v>
      </c>
      <c r="G14" s="1184">
        <f t="shared" si="0"/>
        <v>50833.880000000005</v>
      </c>
    </row>
    <row r="15" spans="1:7" ht="48" customHeight="1">
      <c r="A15" s="1179" t="s">
        <v>443</v>
      </c>
      <c r="B15" s="1180">
        <v>85201</v>
      </c>
      <c r="C15" s="31" t="s">
        <v>0</v>
      </c>
      <c r="D15" s="1181" t="s">
        <v>1442</v>
      </c>
      <c r="E15" s="1182">
        <v>333790</v>
      </c>
      <c r="F15" s="1183">
        <v>223331.88</v>
      </c>
      <c r="G15" s="1184">
        <f t="shared" si="0"/>
        <v>110458.12</v>
      </c>
    </row>
    <row r="16" spans="1:7" ht="36" customHeight="1" thickBot="1">
      <c r="A16" s="1185" t="s">
        <v>445</v>
      </c>
      <c r="B16" s="1186">
        <v>92120</v>
      </c>
      <c r="C16" s="1069" t="s">
        <v>1</v>
      </c>
      <c r="D16" s="1187" t="s">
        <v>1442</v>
      </c>
      <c r="E16" s="1188">
        <v>103065</v>
      </c>
      <c r="F16" s="1189">
        <v>97835.95</v>
      </c>
      <c r="G16" s="1184">
        <f t="shared" si="0"/>
        <v>5229.050000000003</v>
      </c>
    </row>
    <row r="17" spans="1:7" s="1193" customFormat="1" ht="24" customHeight="1" thickBot="1" thickTop="1">
      <c r="A17" s="1582" t="s">
        <v>2</v>
      </c>
      <c r="B17" s="1583"/>
      <c r="C17" s="1583"/>
      <c r="D17" s="1584"/>
      <c r="E17" s="1190">
        <f>SUM(E7,E8,E9,E10,E11,E12,E13,E14,E15,E16)</f>
        <v>2595468</v>
      </c>
      <c r="F17" s="1191">
        <f>SUM(F7,F8,F9,F10,F11,F12,F13,F14,F15,F16)</f>
        <v>1808343.8799999997</v>
      </c>
      <c r="G17" s="1192"/>
    </row>
  </sheetData>
  <sheetProtection password="CF93" sheet="1" formatRows="0" insertColumns="0" insertRows="0" insertHyperlinks="0" deleteColumns="0" deleteRows="0" sort="0" autoFilter="0" pivotTables="0"/>
  <mergeCells count="3">
    <mergeCell ref="A17:D17"/>
    <mergeCell ref="A3:F3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1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4.375" style="75" customWidth="1"/>
    <col min="2" max="2" width="17.00390625" style="75" customWidth="1"/>
    <col min="3" max="3" width="13.75390625" style="73" customWidth="1"/>
    <col min="4" max="4" width="13.875" style="73" customWidth="1"/>
    <col min="5" max="5" width="14.25390625" style="73" customWidth="1"/>
    <col min="6" max="6" width="13.625" style="73" customWidth="1"/>
    <col min="7" max="7" width="17.25390625" style="73" customWidth="1"/>
    <col min="8" max="8" width="16.375" style="73" customWidth="1"/>
    <col min="9" max="16384" width="9.125" style="73" customWidth="1"/>
  </cols>
  <sheetData>
    <row r="1" ht="23.25" customHeight="1">
      <c r="F1" s="74" t="s">
        <v>850</v>
      </c>
    </row>
    <row r="2" ht="23.25" customHeight="1">
      <c r="F2" s="76"/>
    </row>
    <row r="3" spans="1:6" ht="30.75" customHeight="1">
      <c r="A3" s="1400" t="s">
        <v>1401</v>
      </c>
      <c r="B3" s="1400"/>
      <c r="C3" s="1400"/>
      <c r="D3" s="1400"/>
      <c r="E3" s="1400"/>
      <c r="F3" s="1400"/>
    </row>
    <row r="4" ht="16.5" customHeight="1" thickBot="1">
      <c r="F4" s="76" t="s">
        <v>1426</v>
      </c>
    </row>
    <row r="5" spans="1:6" s="96" customFormat="1" ht="18" customHeight="1">
      <c r="A5" s="1411" t="s">
        <v>700</v>
      </c>
      <c r="B5" s="1417" t="s">
        <v>1417</v>
      </c>
      <c r="C5" s="1413" t="s">
        <v>538</v>
      </c>
      <c r="D5" s="1414"/>
      <c r="E5" s="1413" t="s">
        <v>539</v>
      </c>
      <c r="F5" s="1384"/>
    </row>
    <row r="6" spans="1:6" s="96" customFormat="1" ht="18" customHeight="1">
      <c r="A6" s="1412"/>
      <c r="B6" s="1385"/>
      <c r="C6" s="97" t="s">
        <v>701</v>
      </c>
      <c r="D6" s="97" t="s">
        <v>702</v>
      </c>
      <c r="E6" s="97" t="s">
        <v>701</v>
      </c>
      <c r="F6" s="98" t="s">
        <v>702</v>
      </c>
    </row>
    <row r="7" spans="1:6" s="96" customFormat="1" ht="13.5" customHeight="1">
      <c r="A7" s="99">
        <v>1</v>
      </c>
      <c r="B7" s="100">
        <v>2</v>
      </c>
      <c r="C7" s="97">
        <v>3</v>
      </c>
      <c r="D7" s="97">
        <v>4</v>
      </c>
      <c r="E7" s="97">
        <v>5</v>
      </c>
      <c r="F7" s="98">
        <v>6</v>
      </c>
    </row>
    <row r="8" spans="1:6" s="80" customFormat="1" ht="18" customHeight="1">
      <c r="A8" s="1396" t="s">
        <v>703</v>
      </c>
      <c r="B8" s="1397"/>
      <c r="C8" s="1394">
        <v>0</v>
      </c>
      <c r="D8" s="1395"/>
      <c r="E8" s="1394">
        <v>8800000</v>
      </c>
      <c r="F8" s="1401"/>
    </row>
    <row r="9" spans="1:6" ht="18" customHeight="1">
      <c r="A9" s="101" t="s">
        <v>31</v>
      </c>
      <c r="B9" s="102" t="s">
        <v>32</v>
      </c>
      <c r="C9" s="103">
        <v>0</v>
      </c>
      <c r="D9" s="103">
        <v>6548000</v>
      </c>
      <c r="E9" s="103">
        <v>0</v>
      </c>
      <c r="F9" s="104">
        <v>0</v>
      </c>
    </row>
    <row r="10" spans="1:6" ht="18" customHeight="1">
      <c r="A10" s="101" t="s">
        <v>997</v>
      </c>
      <c r="B10" s="102" t="s">
        <v>568</v>
      </c>
      <c r="C10" s="103">
        <v>0</v>
      </c>
      <c r="D10" s="103">
        <v>108440</v>
      </c>
      <c r="E10" s="103">
        <v>0</v>
      </c>
      <c r="F10" s="104">
        <v>0</v>
      </c>
    </row>
    <row r="11" spans="1:6" s="80" customFormat="1" ht="18" customHeight="1">
      <c r="A11" s="1386" t="s">
        <v>334</v>
      </c>
      <c r="B11" s="1387"/>
      <c r="C11" s="95">
        <f>SUM(C9:C10)</f>
        <v>0</v>
      </c>
      <c r="D11" s="95">
        <f>SUM(D9:D10)</f>
        <v>6656440</v>
      </c>
      <c r="E11" s="95">
        <f>SUM(E9:E10)</f>
        <v>0</v>
      </c>
      <c r="F11" s="105">
        <f>SUM(F9:F10)</f>
        <v>0</v>
      </c>
    </row>
    <row r="12" spans="1:6" s="80" customFormat="1" ht="18" customHeight="1">
      <c r="A12" s="1388" t="s">
        <v>704</v>
      </c>
      <c r="B12" s="1383"/>
      <c r="C12" s="1415">
        <f>SUM(C11:D11)</f>
        <v>6656440</v>
      </c>
      <c r="D12" s="1416"/>
      <c r="E12" s="1415">
        <f>SUM(E11:F11)</f>
        <v>0</v>
      </c>
      <c r="F12" s="1381"/>
    </row>
    <row r="13" spans="1:6" s="80" customFormat="1" ht="18" customHeight="1" thickBot="1">
      <c r="A13" s="1409" t="s">
        <v>705</v>
      </c>
      <c r="B13" s="1410"/>
      <c r="C13" s="1391">
        <f>SUM(C8,C12)</f>
        <v>6656440</v>
      </c>
      <c r="D13" s="1392"/>
      <c r="E13" s="1391">
        <f>SUM(E8,E12)</f>
        <v>8800000</v>
      </c>
      <c r="F13" s="1393"/>
    </row>
  </sheetData>
  <sheetProtection password="CF93" sheet="1" formatRows="0" insertColumns="0" insertRows="0" insertHyperlinks="0" deleteColumns="0" deleteRows="0" sort="0" autoFilter="0" pivotTables="0"/>
  <mergeCells count="15">
    <mergeCell ref="A3:F3"/>
    <mergeCell ref="A11:B11"/>
    <mergeCell ref="A12:B12"/>
    <mergeCell ref="E8:F8"/>
    <mergeCell ref="E5:F5"/>
    <mergeCell ref="E12:F12"/>
    <mergeCell ref="E13:F13"/>
    <mergeCell ref="A13:B13"/>
    <mergeCell ref="A5:A6"/>
    <mergeCell ref="A8:B8"/>
    <mergeCell ref="C8:D8"/>
    <mergeCell ref="C5:D5"/>
    <mergeCell ref="C12:D12"/>
    <mergeCell ref="C13:D13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G56"/>
  <sheetViews>
    <sheetView view="pageBreakPreview" zoomScaleSheetLayoutView="100" zoomScalePageLayoutView="0" workbookViewId="0" topLeftCell="A37">
      <selection activeCell="C49" sqref="C49"/>
    </sheetView>
  </sheetViews>
  <sheetFormatPr defaultColWidth="9.00390625" defaultRowHeight="12.75"/>
  <cols>
    <col min="1" max="1" width="3.625" style="36" customWidth="1"/>
    <col min="2" max="2" width="4.375" style="36" customWidth="1"/>
    <col min="3" max="3" width="48.875" style="36" customWidth="1"/>
    <col min="4" max="5" width="12.00390625" style="36" customWidth="1"/>
    <col min="6" max="6" width="6.25390625" style="36" customWidth="1"/>
    <col min="7" max="16384" width="9.125" style="36" customWidth="1"/>
  </cols>
  <sheetData>
    <row r="1" spans="5:6" ht="12" customHeight="1">
      <c r="E1" s="1436" t="s">
        <v>867</v>
      </c>
      <c r="F1" s="1436"/>
    </row>
    <row r="3" spans="1:6" ht="12.75">
      <c r="A3" s="1357" t="s">
        <v>948</v>
      </c>
      <c r="B3" s="1357"/>
      <c r="C3" s="1357"/>
      <c r="D3" s="1357"/>
      <c r="E3" s="1357"/>
      <c r="F3" s="1357"/>
    </row>
    <row r="4" spans="1:6" ht="12.75">
      <c r="A4" s="46"/>
      <c r="B4" s="46"/>
      <c r="C4" s="46"/>
      <c r="D4" s="46"/>
      <c r="E4" s="46"/>
      <c r="F4" s="46"/>
    </row>
    <row r="5" spans="1:6" s="639" customFormat="1" ht="12.75" customHeight="1" thickBot="1">
      <c r="A5" s="1591" t="s">
        <v>949</v>
      </c>
      <c r="B5" s="1591"/>
      <c r="C5" s="1591"/>
      <c r="F5" s="47" t="s">
        <v>1426</v>
      </c>
    </row>
    <row r="6" spans="1:6" s="46" customFormat="1" ht="12.75">
      <c r="A6" s="677" t="s">
        <v>338</v>
      </c>
      <c r="B6" s="678" t="s">
        <v>259</v>
      </c>
      <c r="C6" s="678" t="s">
        <v>1428</v>
      </c>
      <c r="D6" s="679" t="s">
        <v>1429</v>
      </c>
      <c r="E6" s="679" t="s">
        <v>1430</v>
      </c>
      <c r="F6" s="680" t="s">
        <v>726</v>
      </c>
    </row>
    <row r="7" spans="1:6" s="685" customFormat="1" ht="12.75" customHeight="1" thickBot="1">
      <c r="A7" s="681">
        <v>1</v>
      </c>
      <c r="B7" s="682">
        <v>2</v>
      </c>
      <c r="C7" s="682">
        <v>3</v>
      </c>
      <c r="D7" s="683">
        <v>4</v>
      </c>
      <c r="E7" s="683">
        <v>5</v>
      </c>
      <c r="F7" s="684">
        <v>6</v>
      </c>
    </row>
    <row r="8" spans="1:6" s="639" customFormat="1" ht="27.75" customHeight="1">
      <c r="A8" s="686" t="s">
        <v>727</v>
      </c>
      <c r="B8" s="687"/>
      <c r="C8" s="688" t="s">
        <v>1105</v>
      </c>
      <c r="D8" s="689">
        <v>129756</v>
      </c>
      <c r="E8" s="689">
        <v>129755.91</v>
      </c>
      <c r="F8" s="690" t="s">
        <v>349</v>
      </c>
    </row>
    <row r="9" spans="1:6" s="639" customFormat="1" ht="18.75" customHeight="1">
      <c r="A9" s="691" t="s">
        <v>728</v>
      </c>
      <c r="B9" s="692"/>
      <c r="C9" s="692" t="s">
        <v>329</v>
      </c>
      <c r="D9" s="693">
        <f>SUM(D10,D11,D12,)+D13+D14</f>
        <v>10360200</v>
      </c>
      <c r="E9" s="693">
        <f>SUM(E10,E11,E12,)+E13+E14</f>
        <v>10355632.39</v>
      </c>
      <c r="F9" s="694">
        <f aca="true" t="shared" si="0" ref="F9:F19">E9/D9*100</f>
        <v>99.95591195150674</v>
      </c>
    </row>
    <row r="10" spans="1:6" ht="18.75" customHeight="1">
      <c r="A10" s="645" t="s">
        <v>341</v>
      </c>
      <c r="B10" s="695" t="s">
        <v>610</v>
      </c>
      <c r="C10" s="699" t="s">
        <v>729</v>
      </c>
      <c r="D10" s="697">
        <v>8943200</v>
      </c>
      <c r="E10" s="697">
        <v>8922486.69</v>
      </c>
      <c r="F10" s="698">
        <f t="shared" si="0"/>
        <v>99.76839039717326</v>
      </c>
    </row>
    <row r="11" spans="1:6" ht="18.75" customHeight="1">
      <c r="A11" s="645" t="s">
        <v>342</v>
      </c>
      <c r="B11" s="695" t="s">
        <v>611</v>
      </c>
      <c r="C11" s="699" t="s">
        <v>268</v>
      </c>
      <c r="D11" s="697">
        <v>220000</v>
      </c>
      <c r="E11" s="697">
        <v>240983.22</v>
      </c>
      <c r="F11" s="698">
        <f t="shared" si="0"/>
        <v>109.53782727272727</v>
      </c>
    </row>
    <row r="12" spans="1:6" ht="18.75" customHeight="1">
      <c r="A12" s="645" t="s">
        <v>433</v>
      </c>
      <c r="B12" s="695" t="s">
        <v>612</v>
      </c>
      <c r="C12" s="699" t="s">
        <v>266</v>
      </c>
      <c r="D12" s="697">
        <v>186000</v>
      </c>
      <c r="E12" s="697">
        <v>196011.35</v>
      </c>
      <c r="F12" s="698">
        <f t="shared" si="0"/>
        <v>105.38244623655915</v>
      </c>
    </row>
    <row r="13" spans="1:6" ht="27" customHeight="1">
      <c r="A13" s="645" t="s">
        <v>440</v>
      </c>
      <c r="B13" s="695" t="s">
        <v>730</v>
      </c>
      <c r="C13" s="696" t="s">
        <v>731</v>
      </c>
      <c r="D13" s="697">
        <v>400000</v>
      </c>
      <c r="E13" s="697">
        <v>400000</v>
      </c>
      <c r="F13" s="698">
        <f t="shared" si="0"/>
        <v>100</v>
      </c>
    </row>
    <row r="14" spans="1:6" ht="18.75" customHeight="1" thickBot="1">
      <c r="A14" s="645"/>
      <c r="B14" s="695"/>
      <c r="C14" s="699" t="s">
        <v>732</v>
      </c>
      <c r="D14" s="697">
        <v>611000</v>
      </c>
      <c r="E14" s="697">
        <v>596151.13</v>
      </c>
      <c r="F14" s="698">
        <f t="shared" si="0"/>
        <v>97.56974304418985</v>
      </c>
    </row>
    <row r="15" spans="1:6" s="639" customFormat="1" ht="18" customHeight="1" thickBot="1">
      <c r="A15" s="1589" t="s">
        <v>733</v>
      </c>
      <c r="B15" s="1590"/>
      <c r="C15" s="1590"/>
      <c r="D15" s="700">
        <f>D9+D8</f>
        <v>10489956</v>
      </c>
      <c r="E15" s="700">
        <f>E9+E8</f>
        <v>10485388.3</v>
      </c>
      <c r="F15" s="701">
        <f t="shared" si="0"/>
        <v>99.95645644271531</v>
      </c>
    </row>
    <row r="16" spans="1:6" s="639" customFormat="1" ht="18" customHeight="1">
      <c r="A16" s="691" t="s">
        <v>735</v>
      </c>
      <c r="B16" s="692"/>
      <c r="C16" s="692" t="s">
        <v>736</v>
      </c>
      <c r="D16" s="693">
        <f>SUM(D17,D18,D19,D20,D21,D22,D23,D24,D25,D26,D27,D28,D29,D30,D31,D32,D33,D34,D35,D36,D37,D38,D39,D40,D41,D42,D43,D44,D45,D46)+D47+D48+D49+D50+D51</f>
        <v>9886856</v>
      </c>
      <c r="E16" s="693">
        <f>SUM(E17,E18,E19,E20,E21,E22,E23,E24,E25,E26,E27,E28,E29,E30,E31,E32,E33,E34,E35,E36,E37,E38,E39,E40,E41,E42,E43,E44,E45,E46)+E47+E48+E49+E50+E51</f>
        <v>9895877.59</v>
      </c>
      <c r="F16" s="694">
        <f t="shared" si="0"/>
        <v>100.09124831999172</v>
      </c>
    </row>
    <row r="17" spans="1:6" ht="18.75" customHeight="1">
      <c r="A17" s="711" t="s">
        <v>341</v>
      </c>
      <c r="B17" s="646">
        <v>3020</v>
      </c>
      <c r="C17" s="696" t="s">
        <v>737</v>
      </c>
      <c r="D17" s="712">
        <v>26000</v>
      </c>
      <c r="E17" s="697">
        <v>20798.61</v>
      </c>
      <c r="F17" s="713">
        <f t="shared" si="0"/>
        <v>79.99465384615385</v>
      </c>
    </row>
    <row r="18" spans="1:7" ht="18.75" customHeight="1">
      <c r="A18" s="711" t="s">
        <v>342</v>
      </c>
      <c r="B18" s="646">
        <v>4010</v>
      </c>
      <c r="C18" s="696" t="s">
        <v>738</v>
      </c>
      <c r="D18" s="697">
        <v>1419000</v>
      </c>
      <c r="E18" s="697">
        <v>1349688.26</v>
      </c>
      <c r="F18" s="698">
        <f t="shared" si="0"/>
        <v>95.115451726568</v>
      </c>
      <c r="G18" s="35"/>
    </row>
    <row r="19" spans="1:6" ht="18.75" customHeight="1">
      <c r="A19" s="711" t="s">
        <v>433</v>
      </c>
      <c r="B19" s="646">
        <v>4040</v>
      </c>
      <c r="C19" s="696" t="s">
        <v>739</v>
      </c>
      <c r="D19" s="697">
        <v>124000</v>
      </c>
      <c r="E19" s="697">
        <v>107164.39</v>
      </c>
      <c r="F19" s="698">
        <f t="shared" si="0"/>
        <v>86.42289516129033</v>
      </c>
    </row>
    <row r="20" spans="1:6" ht="18.75" customHeight="1">
      <c r="A20" s="711" t="s">
        <v>440</v>
      </c>
      <c r="B20" s="646">
        <v>4110</v>
      </c>
      <c r="C20" s="696" t="s">
        <v>745</v>
      </c>
      <c r="D20" s="697">
        <v>245000</v>
      </c>
      <c r="E20" s="697">
        <v>219433.65</v>
      </c>
      <c r="F20" s="698">
        <f aca="true" t="shared" si="1" ref="F20:F50">E20/D20*100</f>
        <v>89.56475510204082</v>
      </c>
    </row>
    <row r="21" spans="1:6" ht="18.75" customHeight="1">
      <c r="A21" s="711" t="s">
        <v>441</v>
      </c>
      <c r="B21" s="646">
        <v>4120</v>
      </c>
      <c r="C21" s="696" t="s">
        <v>746</v>
      </c>
      <c r="D21" s="697">
        <v>39000</v>
      </c>
      <c r="E21" s="697">
        <v>30574.79</v>
      </c>
      <c r="F21" s="698">
        <f t="shared" si="1"/>
        <v>78.39689743589744</v>
      </c>
    </row>
    <row r="22" spans="1:6" ht="18.75" customHeight="1">
      <c r="A22" s="711" t="s">
        <v>442</v>
      </c>
      <c r="B22" s="646">
        <v>4170</v>
      </c>
      <c r="C22" s="696" t="s">
        <v>747</v>
      </c>
      <c r="D22" s="697">
        <v>25000</v>
      </c>
      <c r="E22" s="697">
        <v>19777.3</v>
      </c>
      <c r="F22" s="698">
        <f t="shared" si="1"/>
        <v>79.1092</v>
      </c>
    </row>
    <row r="23" spans="1:6" ht="18.75" customHeight="1">
      <c r="A23" s="711" t="s">
        <v>529</v>
      </c>
      <c r="B23" s="646">
        <v>4210</v>
      </c>
      <c r="C23" s="696" t="s">
        <v>748</v>
      </c>
      <c r="D23" s="697">
        <v>143000</v>
      </c>
      <c r="E23" s="697">
        <v>127137.18</v>
      </c>
      <c r="F23" s="698">
        <f t="shared" si="1"/>
        <v>88.90711888111888</v>
      </c>
    </row>
    <row r="24" spans="1:6" ht="18.75" customHeight="1">
      <c r="A24" s="711" t="s">
        <v>530</v>
      </c>
      <c r="B24" s="646">
        <v>4260</v>
      </c>
      <c r="C24" s="696" t="s">
        <v>749</v>
      </c>
      <c r="D24" s="697">
        <v>1600000</v>
      </c>
      <c r="E24" s="697">
        <v>1575719.15</v>
      </c>
      <c r="F24" s="698">
        <f t="shared" si="1"/>
        <v>98.482446875</v>
      </c>
    </row>
    <row r="25" spans="1:6" ht="18.75" customHeight="1">
      <c r="A25" s="711" t="s">
        <v>443</v>
      </c>
      <c r="B25" s="646">
        <v>4270</v>
      </c>
      <c r="C25" s="696" t="s">
        <v>750</v>
      </c>
      <c r="D25" s="697">
        <v>2128250</v>
      </c>
      <c r="E25" s="697">
        <v>1904575.06</v>
      </c>
      <c r="F25" s="698">
        <f t="shared" si="1"/>
        <v>89.49019429108422</v>
      </c>
    </row>
    <row r="26" spans="1:6" ht="18.75" customHeight="1">
      <c r="A26" s="711" t="s">
        <v>445</v>
      </c>
      <c r="B26" s="646">
        <v>4280</v>
      </c>
      <c r="C26" s="696" t="s">
        <v>807</v>
      </c>
      <c r="D26" s="697">
        <v>2000</v>
      </c>
      <c r="E26" s="697">
        <v>1754.7</v>
      </c>
      <c r="F26" s="698">
        <f t="shared" si="1"/>
        <v>87.73500000000001</v>
      </c>
    </row>
    <row r="27" spans="1:6" ht="18.75" customHeight="1">
      <c r="A27" s="711" t="s">
        <v>531</v>
      </c>
      <c r="B27" s="646">
        <v>4300</v>
      </c>
      <c r="C27" s="696" t="s">
        <v>764</v>
      </c>
      <c r="D27" s="697">
        <v>2590006</v>
      </c>
      <c r="E27" s="697">
        <v>2480972.76</v>
      </c>
      <c r="F27" s="698">
        <f t="shared" si="1"/>
        <v>95.79023214618034</v>
      </c>
    </row>
    <row r="28" spans="1:6" ht="18.75" customHeight="1">
      <c r="A28" s="711" t="s">
        <v>446</v>
      </c>
      <c r="B28" s="646">
        <v>4350</v>
      </c>
      <c r="C28" s="702" t="s">
        <v>765</v>
      </c>
      <c r="D28" s="697">
        <v>1200</v>
      </c>
      <c r="E28" s="697">
        <v>920</v>
      </c>
      <c r="F28" s="698">
        <f t="shared" si="1"/>
        <v>76.66666666666667</v>
      </c>
    </row>
    <row r="29" spans="1:6" ht="28.5" customHeight="1">
      <c r="A29" s="711" t="s">
        <v>447</v>
      </c>
      <c r="B29" s="646">
        <v>4360</v>
      </c>
      <c r="C29" s="702" t="s">
        <v>766</v>
      </c>
      <c r="D29" s="697">
        <v>8000</v>
      </c>
      <c r="E29" s="697">
        <v>5791.86</v>
      </c>
      <c r="F29" s="698">
        <f t="shared" si="1"/>
        <v>72.39824999999999</v>
      </c>
    </row>
    <row r="30" spans="1:6" ht="28.5" customHeight="1">
      <c r="A30" s="711" t="s">
        <v>532</v>
      </c>
      <c r="B30" s="646">
        <v>4370</v>
      </c>
      <c r="C30" s="702" t="s">
        <v>767</v>
      </c>
      <c r="D30" s="697">
        <v>8000</v>
      </c>
      <c r="E30" s="697">
        <v>7108.98</v>
      </c>
      <c r="F30" s="698">
        <f t="shared" si="1"/>
        <v>88.86225</v>
      </c>
    </row>
    <row r="31" spans="1:6" ht="19.5" customHeight="1" hidden="1">
      <c r="A31" s="711" t="s">
        <v>448</v>
      </c>
      <c r="B31" s="646">
        <v>4390</v>
      </c>
      <c r="C31" s="702" t="s">
        <v>810</v>
      </c>
      <c r="D31" s="697">
        <v>0</v>
      </c>
      <c r="E31" s="697">
        <v>0</v>
      </c>
      <c r="F31" s="698" t="e">
        <f t="shared" si="1"/>
        <v>#DIV/0!</v>
      </c>
    </row>
    <row r="32" spans="1:6" ht="30" customHeight="1">
      <c r="A32" s="711" t="s">
        <v>448</v>
      </c>
      <c r="B32" s="646">
        <v>4400</v>
      </c>
      <c r="C32" s="702" t="s">
        <v>768</v>
      </c>
      <c r="D32" s="697">
        <v>5000</v>
      </c>
      <c r="E32" s="697">
        <v>4315.46</v>
      </c>
      <c r="F32" s="698">
        <f t="shared" si="1"/>
        <v>86.3092</v>
      </c>
    </row>
    <row r="33" spans="1:6" ht="18.75" customHeight="1">
      <c r="A33" s="711" t="s">
        <v>449</v>
      </c>
      <c r="B33" s="646">
        <v>4410</v>
      </c>
      <c r="C33" s="696" t="s">
        <v>769</v>
      </c>
      <c r="D33" s="697">
        <v>10000</v>
      </c>
      <c r="E33" s="697">
        <v>5566.23</v>
      </c>
      <c r="F33" s="698">
        <f t="shared" si="1"/>
        <v>55.662299999999995</v>
      </c>
    </row>
    <row r="34" spans="1:6" ht="18.75" customHeight="1">
      <c r="A34" s="711" t="s">
        <v>450</v>
      </c>
      <c r="B34" s="646">
        <v>4430</v>
      </c>
      <c r="C34" s="696" t="s">
        <v>770</v>
      </c>
      <c r="D34" s="697">
        <v>13000</v>
      </c>
      <c r="E34" s="697">
        <v>11072</v>
      </c>
      <c r="F34" s="698">
        <f t="shared" si="1"/>
        <v>85.16923076923077</v>
      </c>
    </row>
    <row r="35" spans="1:6" ht="18.75" customHeight="1">
      <c r="A35" s="711" t="s">
        <v>451</v>
      </c>
      <c r="B35" s="646">
        <v>4440</v>
      </c>
      <c r="C35" s="696" t="s">
        <v>771</v>
      </c>
      <c r="D35" s="697">
        <v>53000</v>
      </c>
      <c r="E35" s="697">
        <v>48323.04</v>
      </c>
      <c r="F35" s="698">
        <f t="shared" si="1"/>
        <v>91.17554716981132</v>
      </c>
    </row>
    <row r="36" spans="1:6" ht="18.75" customHeight="1">
      <c r="A36" s="711" t="s">
        <v>454</v>
      </c>
      <c r="B36" s="646">
        <v>4480</v>
      </c>
      <c r="C36" s="696" t="s">
        <v>286</v>
      </c>
      <c r="D36" s="697">
        <v>588000</v>
      </c>
      <c r="E36" s="697">
        <v>587177</v>
      </c>
      <c r="F36" s="698">
        <f t="shared" si="1"/>
        <v>99.86003401360544</v>
      </c>
    </row>
    <row r="37" spans="1:6" ht="28.5" customHeight="1">
      <c r="A37" s="711" t="s">
        <v>455</v>
      </c>
      <c r="B37" s="646">
        <v>4500</v>
      </c>
      <c r="C37" s="696" t="s">
        <v>877</v>
      </c>
      <c r="D37" s="697">
        <v>2000</v>
      </c>
      <c r="E37" s="697">
        <v>0</v>
      </c>
      <c r="F37" s="698">
        <f t="shared" si="1"/>
        <v>0</v>
      </c>
    </row>
    <row r="38" spans="1:6" ht="23.25" customHeight="1">
      <c r="A38" s="711" t="s">
        <v>456</v>
      </c>
      <c r="B38" s="646">
        <v>4510</v>
      </c>
      <c r="C38" s="696" t="s">
        <v>132</v>
      </c>
      <c r="D38" s="697">
        <v>45000</v>
      </c>
      <c r="E38" s="697">
        <v>34260.44</v>
      </c>
      <c r="F38" s="698">
        <f t="shared" si="1"/>
        <v>76.13431111111112</v>
      </c>
    </row>
    <row r="39" spans="1:6" ht="23.25" customHeight="1">
      <c r="A39" s="711" t="s">
        <v>457</v>
      </c>
      <c r="B39" s="646">
        <v>4520</v>
      </c>
      <c r="C39" s="696" t="s">
        <v>812</v>
      </c>
      <c r="D39" s="697">
        <v>2000</v>
      </c>
      <c r="E39" s="697">
        <v>1959.7</v>
      </c>
      <c r="F39" s="698">
        <f t="shared" si="1"/>
        <v>97.985</v>
      </c>
    </row>
    <row r="40" spans="1:6" ht="23.25" customHeight="1">
      <c r="A40" s="711" t="s">
        <v>298</v>
      </c>
      <c r="B40" s="646">
        <v>4530</v>
      </c>
      <c r="C40" s="696" t="s">
        <v>945</v>
      </c>
      <c r="D40" s="697">
        <v>6000</v>
      </c>
      <c r="E40" s="697">
        <v>0</v>
      </c>
      <c r="F40" s="698">
        <f t="shared" si="1"/>
        <v>0</v>
      </c>
    </row>
    <row r="41" spans="1:6" ht="27" customHeight="1">
      <c r="A41" s="711" t="s">
        <v>299</v>
      </c>
      <c r="B41" s="646">
        <v>4570</v>
      </c>
      <c r="C41" s="696" t="s">
        <v>772</v>
      </c>
      <c r="D41" s="697">
        <v>1000</v>
      </c>
      <c r="E41" s="697">
        <v>120.19</v>
      </c>
      <c r="F41" s="698">
        <f t="shared" si="1"/>
        <v>12.018999999999998</v>
      </c>
    </row>
    <row r="42" spans="1:6" ht="18" customHeight="1">
      <c r="A42" s="711" t="s">
        <v>300</v>
      </c>
      <c r="B42" s="646">
        <v>4580</v>
      </c>
      <c r="C42" s="696" t="s">
        <v>268</v>
      </c>
      <c r="D42" s="697">
        <v>5000</v>
      </c>
      <c r="E42" s="697">
        <v>1508.56</v>
      </c>
      <c r="F42" s="698">
        <f t="shared" si="1"/>
        <v>30.1712</v>
      </c>
    </row>
    <row r="43" spans="1:6" ht="18" customHeight="1">
      <c r="A43" s="711" t="s">
        <v>301</v>
      </c>
      <c r="B43" s="646">
        <v>4590</v>
      </c>
      <c r="C43" s="696" t="s">
        <v>773</v>
      </c>
      <c r="D43" s="697">
        <v>1000</v>
      </c>
      <c r="E43" s="697">
        <v>0</v>
      </c>
      <c r="F43" s="698">
        <f t="shared" si="1"/>
        <v>0</v>
      </c>
    </row>
    <row r="44" spans="1:6" ht="19.5" customHeight="1">
      <c r="A44" s="711" t="s">
        <v>1071</v>
      </c>
      <c r="B44" s="646">
        <v>4610</v>
      </c>
      <c r="C44" s="696" t="s">
        <v>774</v>
      </c>
      <c r="D44" s="697">
        <v>80000</v>
      </c>
      <c r="E44" s="697">
        <v>76792.98</v>
      </c>
      <c r="F44" s="698">
        <f t="shared" si="1"/>
        <v>95.99122499999999</v>
      </c>
    </row>
    <row r="45" spans="1:6" ht="26.25" customHeight="1">
      <c r="A45" s="711" t="s">
        <v>1072</v>
      </c>
      <c r="B45" s="646">
        <v>4700</v>
      </c>
      <c r="C45" s="696" t="s">
        <v>775</v>
      </c>
      <c r="D45" s="697">
        <v>7000</v>
      </c>
      <c r="E45" s="697">
        <v>5713.44</v>
      </c>
      <c r="F45" s="698">
        <f t="shared" si="1"/>
        <v>81.62057142857142</v>
      </c>
    </row>
    <row r="46" spans="1:6" ht="28.5" customHeight="1">
      <c r="A46" s="711" t="s">
        <v>1073</v>
      </c>
      <c r="B46" s="646">
        <v>4740</v>
      </c>
      <c r="C46" s="696" t="s">
        <v>776</v>
      </c>
      <c r="D46" s="697">
        <v>10000</v>
      </c>
      <c r="E46" s="697">
        <v>8155.23</v>
      </c>
      <c r="F46" s="698">
        <f t="shared" si="1"/>
        <v>81.5523</v>
      </c>
    </row>
    <row r="47" spans="1:6" ht="19.5" customHeight="1">
      <c r="A47" s="711" t="s">
        <v>1306</v>
      </c>
      <c r="B47" s="646">
        <v>4750</v>
      </c>
      <c r="C47" s="696" t="s">
        <v>780</v>
      </c>
      <c r="D47" s="697">
        <v>20000</v>
      </c>
      <c r="E47" s="697">
        <v>17296.04</v>
      </c>
      <c r="F47" s="698">
        <f t="shared" si="1"/>
        <v>86.48020000000001</v>
      </c>
    </row>
    <row r="48" spans="1:6" ht="19.5" customHeight="1">
      <c r="A48" s="711" t="s">
        <v>1307</v>
      </c>
      <c r="B48" s="646">
        <v>6070</v>
      </c>
      <c r="C48" s="696" t="s">
        <v>781</v>
      </c>
      <c r="D48" s="697">
        <v>42400</v>
      </c>
      <c r="E48" s="697">
        <v>35565.92</v>
      </c>
      <c r="F48" s="698">
        <f t="shared" si="1"/>
        <v>83.88188679245283</v>
      </c>
    </row>
    <row r="49" spans="1:6" ht="19.5" customHeight="1">
      <c r="A49" s="711" t="s">
        <v>1096</v>
      </c>
      <c r="B49" s="646">
        <v>6080</v>
      </c>
      <c r="C49" s="696" t="s">
        <v>782</v>
      </c>
      <c r="D49" s="697">
        <v>27000</v>
      </c>
      <c r="E49" s="697">
        <v>22468</v>
      </c>
      <c r="F49" s="698">
        <f t="shared" si="1"/>
        <v>83.21481481481482</v>
      </c>
    </row>
    <row r="50" spans="1:6" ht="18" customHeight="1">
      <c r="A50" s="714"/>
      <c r="B50" s="715"/>
      <c r="C50" s="696" t="s">
        <v>783</v>
      </c>
      <c r="D50" s="697">
        <v>611000</v>
      </c>
      <c r="E50" s="697">
        <v>596151.13</v>
      </c>
      <c r="F50" s="698">
        <f t="shared" si="1"/>
        <v>97.56974304418985</v>
      </c>
    </row>
    <row r="51" spans="1:6" ht="19.5" customHeight="1">
      <c r="A51" s="59"/>
      <c r="B51" s="703"/>
      <c r="C51" s="716" t="s">
        <v>784</v>
      </c>
      <c r="D51" s="704">
        <v>0</v>
      </c>
      <c r="E51" s="704">
        <v>588015.54</v>
      </c>
      <c r="F51" s="717" t="s">
        <v>313</v>
      </c>
    </row>
    <row r="52" spans="1:6" s="639" customFormat="1" ht="19.5" customHeight="1">
      <c r="A52" s="718" t="s">
        <v>785</v>
      </c>
      <c r="B52" s="719"/>
      <c r="C52" s="720" t="s">
        <v>314</v>
      </c>
      <c r="D52" s="721">
        <v>278000</v>
      </c>
      <c r="E52" s="721">
        <v>265032</v>
      </c>
      <c r="F52" s="722" t="s">
        <v>349</v>
      </c>
    </row>
    <row r="53" spans="1:6" s="639" customFormat="1" ht="19.5" customHeight="1" hidden="1">
      <c r="A53" s="718" t="s">
        <v>814</v>
      </c>
      <c r="B53" s="719"/>
      <c r="C53" s="720" t="s">
        <v>813</v>
      </c>
      <c r="D53" s="721">
        <v>0</v>
      </c>
      <c r="E53" s="721">
        <v>0</v>
      </c>
      <c r="F53" s="722" t="s">
        <v>313</v>
      </c>
    </row>
    <row r="54" spans="1:6" s="639" customFormat="1" ht="25.5" customHeight="1" thickBot="1">
      <c r="A54" s="706" t="s">
        <v>814</v>
      </c>
      <c r="B54" s="707"/>
      <c r="C54" s="708" t="s">
        <v>1106</v>
      </c>
      <c r="D54" s="709">
        <v>325100</v>
      </c>
      <c r="E54" s="709">
        <v>324478.71</v>
      </c>
      <c r="F54" s="710" t="s">
        <v>349</v>
      </c>
    </row>
    <row r="55" spans="1:6" ht="18" customHeight="1" thickBot="1">
      <c r="A55" s="1586" t="s">
        <v>819</v>
      </c>
      <c r="B55" s="1587"/>
      <c r="C55" s="1588"/>
      <c r="D55" s="700">
        <f>D16+D52+D53+D54</f>
        <v>10489956</v>
      </c>
      <c r="E55" s="700">
        <f>E16+E52+E53+E54</f>
        <v>10485388.3</v>
      </c>
      <c r="F55" s="701">
        <f>E55/D55*100</f>
        <v>99.95645644271531</v>
      </c>
    </row>
    <row r="56" spans="3:5" ht="12.75">
      <c r="C56" s="44" t="s">
        <v>193</v>
      </c>
      <c r="D56" s="35">
        <f>D15-D55</f>
        <v>0</v>
      </c>
      <c r="E56" s="35">
        <f>E15-E55</f>
        <v>0</v>
      </c>
    </row>
  </sheetData>
  <sheetProtection password="CF93" sheet="1" formatRows="0" insertColumns="0" insertRows="0" insertHyperlinks="0" deleteColumns="0" deleteRows="0" sort="0" autoFilter="0" pivotTables="0"/>
  <mergeCells count="5">
    <mergeCell ref="A55:C55"/>
    <mergeCell ref="A15:C15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F44"/>
  <sheetViews>
    <sheetView view="pageBreakPreview" zoomScaleSheetLayoutView="100" zoomScalePageLayoutView="0" workbookViewId="0" topLeftCell="A1">
      <selection activeCell="J13" sqref="J13"/>
    </sheetView>
  </sheetViews>
  <sheetFormatPr defaultColWidth="9.00390625" defaultRowHeight="12.75"/>
  <cols>
    <col min="1" max="1" width="3.625" style="36" customWidth="1"/>
    <col min="2" max="2" width="4.375" style="36" customWidth="1"/>
    <col min="3" max="3" width="49.75390625" style="36" customWidth="1"/>
    <col min="4" max="4" width="11.875" style="36" customWidth="1"/>
    <col min="5" max="5" width="11.25390625" style="36" bestFit="1" customWidth="1"/>
    <col min="6" max="6" width="5.125" style="36" customWidth="1"/>
    <col min="7" max="16384" width="9.125" style="36" customWidth="1"/>
  </cols>
  <sheetData>
    <row r="1" spans="5:6" ht="27" customHeight="1">
      <c r="E1" s="1436" t="s">
        <v>866</v>
      </c>
      <c r="F1" s="1436"/>
    </row>
    <row r="2" spans="1:6" ht="31.5" customHeight="1">
      <c r="A2" s="1357" t="s">
        <v>787</v>
      </c>
      <c r="B2" s="1357"/>
      <c r="C2" s="1357"/>
      <c r="D2" s="1357"/>
      <c r="E2" s="1357"/>
      <c r="F2" s="1357"/>
    </row>
    <row r="3" spans="1:6" ht="19.5" customHeight="1" thickBot="1">
      <c r="A3" s="1591" t="s">
        <v>950</v>
      </c>
      <c r="B3" s="1591"/>
      <c r="C3" s="1591"/>
      <c r="F3" s="44" t="s">
        <v>1426</v>
      </c>
    </row>
    <row r="4" spans="1:6" s="46" customFormat="1" ht="15" customHeight="1">
      <c r="A4" s="677" t="s">
        <v>338</v>
      </c>
      <c r="B4" s="678" t="s">
        <v>259</v>
      </c>
      <c r="C4" s="678" t="s">
        <v>1428</v>
      </c>
      <c r="D4" s="679" t="s">
        <v>1429</v>
      </c>
      <c r="E4" s="679" t="s">
        <v>1430</v>
      </c>
      <c r="F4" s="680" t="s">
        <v>726</v>
      </c>
    </row>
    <row r="5" spans="1:6" s="685" customFormat="1" ht="12" customHeight="1" thickBot="1">
      <c r="A5" s="681">
        <v>1</v>
      </c>
      <c r="B5" s="682">
        <v>2</v>
      </c>
      <c r="C5" s="682">
        <v>3</v>
      </c>
      <c r="D5" s="683">
        <v>4</v>
      </c>
      <c r="E5" s="683">
        <v>5</v>
      </c>
      <c r="F5" s="684">
        <v>6</v>
      </c>
    </row>
    <row r="6" spans="1:6" s="639" customFormat="1" ht="24" customHeight="1">
      <c r="A6" s="686" t="s">
        <v>727</v>
      </c>
      <c r="B6" s="687"/>
      <c r="C6" s="688" t="s">
        <v>1105</v>
      </c>
      <c r="D6" s="689">
        <v>-426966</v>
      </c>
      <c r="E6" s="689">
        <v>-426965.92</v>
      </c>
      <c r="F6" s="690" t="s">
        <v>349</v>
      </c>
    </row>
    <row r="7" spans="1:6" s="639" customFormat="1" ht="19.5" customHeight="1">
      <c r="A7" s="691" t="s">
        <v>728</v>
      </c>
      <c r="B7" s="692"/>
      <c r="C7" s="692" t="s">
        <v>329</v>
      </c>
      <c r="D7" s="693">
        <f>SUM(D8:D13)</f>
        <v>8983471</v>
      </c>
      <c r="E7" s="693">
        <f>SUM(E8:E13)</f>
        <v>8129064.91</v>
      </c>
      <c r="F7" s="694">
        <f aca="true" t="shared" si="0" ref="F7:F12">E7/D7*100</f>
        <v>90.48913176209953</v>
      </c>
    </row>
    <row r="8" spans="1:6" ht="54" customHeight="1">
      <c r="A8" s="645" t="s">
        <v>341</v>
      </c>
      <c r="B8" s="695" t="s">
        <v>615</v>
      </c>
      <c r="C8" s="696" t="s">
        <v>699</v>
      </c>
      <c r="D8" s="697">
        <v>31217</v>
      </c>
      <c r="E8" s="697">
        <v>29496.5</v>
      </c>
      <c r="F8" s="698">
        <f t="shared" si="0"/>
        <v>94.48857994041708</v>
      </c>
    </row>
    <row r="9" spans="1:6" ht="16.5" customHeight="1">
      <c r="A9" s="645" t="s">
        <v>342</v>
      </c>
      <c r="B9" s="695" t="s">
        <v>610</v>
      </c>
      <c r="C9" s="699" t="s">
        <v>729</v>
      </c>
      <c r="D9" s="697">
        <v>2935671</v>
      </c>
      <c r="E9" s="697">
        <v>2083299.87</v>
      </c>
      <c r="F9" s="698">
        <f t="shared" si="0"/>
        <v>70.9650321851461</v>
      </c>
    </row>
    <row r="10" spans="1:6" ht="16.5" customHeight="1">
      <c r="A10" s="645" t="s">
        <v>433</v>
      </c>
      <c r="B10" s="695" t="s">
        <v>611</v>
      </c>
      <c r="C10" s="699" t="s">
        <v>268</v>
      </c>
      <c r="D10" s="697">
        <v>3998</v>
      </c>
      <c r="E10" s="697">
        <v>2958.72</v>
      </c>
      <c r="F10" s="698">
        <f t="shared" si="0"/>
        <v>74.00500250125062</v>
      </c>
    </row>
    <row r="11" spans="1:6" ht="16.5" customHeight="1">
      <c r="A11" s="645" t="s">
        <v>440</v>
      </c>
      <c r="B11" s="695" t="s">
        <v>612</v>
      </c>
      <c r="C11" s="699" t="s">
        <v>266</v>
      </c>
      <c r="D11" s="697">
        <v>33879</v>
      </c>
      <c r="E11" s="697">
        <v>34605.36</v>
      </c>
      <c r="F11" s="698">
        <f t="shared" si="0"/>
        <v>102.14398299831755</v>
      </c>
    </row>
    <row r="12" spans="1:6" ht="26.25" customHeight="1">
      <c r="A12" s="645" t="s">
        <v>441</v>
      </c>
      <c r="B12" s="695" t="s">
        <v>789</v>
      </c>
      <c r="C12" s="696" t="s">
        <v>804</v>
      </c>
      <c r="D12" s="697">
        <v>5882646</v>
      </c>
      <c r="E12" s="697">
        <v>5882646</v>
      </c>
      <c r="F12" s="698">
        <f t="shared" si="0"/>
        <v>100</v>
      </c>
    </row>
    <row r="13" spans="1:6" ht="16.5" customHeight="1" thickBot="1">
      <c r="A13" s="645"/>
      <c r="B13" s="695"/>
      <c r="C13" s="699" t="s">
        <v>732</v>
      </c>
      <c r="D13" s="697">
        <v>96060</v>
      </c>
      <c r="E13" s="697">
        <v>96058.46</v>
      </c>
      <c r="F13" s="698">
        <f aca="true" t="shared" si="1" ref="F13:F18">E13/D13*100</f>
        <v>99.99839683531127</v>
      </c>
    </row>
    <row r="14" spans="1:6" s="639" customFormat="1" ht="18.75" customHeight="1" thickBot="1">
      <c r="A14" s="1589" t="s">
        <v>733</v>
      </c>
      <c r="B14" s="1590"/>
      <c r="C14" s="1590"/>
      <c r="D14" s="700">
        <f>D7+D6</f>
        <v>8556505</v>
      </c>
      <c r="E14" s="700">
        <f>E7+E6</f>
        <v>7702098.99</v>
      </c>
      <c r="F14" s="701">
        <f t="shared" si="1"/>
        <v>90.01454437296536</v>
      </c>
    </row>
    <row r="15" spans="1:6" s="639" customFormat="1" ht="18.75" customHeight="1">
      <c r="A15" s="691" t="s">
        <v>735</v>
      </c>
      <c r="B15" s="692"/>
      <c r="C15" s="692" t="s">
        <v>736</v>
      </c>
      <c r="D15" s="693">
        <f>SUM(D16,D17,D18,D19,D20,D21,D22,D23,D24,D25,D26,D27,D28,D29,D30,D31,D32,D33,D34,D35,D36,D37,D38,D39,D40,D41)</f>
        <v>8496505</v>
      </c>
      <c r="E15" s="693">
        <f>SUM(E16,E17,E18,E19,E20,E21,E22,E23,E24,E25,E26,E27,E28,E29,E30,E31,E32,E33,E34,E35,E36,E37,E38,E39,E40,E41)</f>
        <v>8496461.940000001</v>
      </c>
      <c r="F15" s="694">
        <f t="shared" si="1"/>
        <v>99.99949320338187</v>
      </c>
    </row>
    <row r="16" spans="1:6" ht="16.5" customHeight="1">
      <c r="A16" s="645" t="s">
        <v>341</v>
      </c>
      <c r="B16" s="646">
        <v>3020</v>
      </c>
      <c r="C16" s="699" t="s">
        <v>737</v>
      </c>
      <c r="D16" s="697">
        <v>9061</v>
      </c>
      <c r="E16" s="697">
        <v>9058.45</v>
      </c>
      <c r="F16" s="698">
        <f t="shared" si="1"/>
        <v>99.97185741088181</v>
      </c>
    </row>
    <row r="17" spans="1:6" ht="16.5" customHeight="1">
      <c r="A17" s="645" t="s">
        <v>342</v>
      </c>
      <c r="B17" s="646">
        <v>4010</v>
      </c>
      <c r="C17" s="699" t="s">
        <v>738</v>
      </c>
      <c r="D17" s="697">
        <v>5032969</v>
      </c>
      <c r="E17" s="697">
        <v>5032967.41</v>
      </c>
      <c r="F17" s="698">
        <f t="shared" si="1"/>
        <v>99.99996840830929</v>
      </c>
    </row>
    <row r="18" spans="1:6" ht="16.5" customHeight="1">
      <c r="A18" s="645" t="s">
        <v>433</v>
      </c>
      <c r="B18" s="646">
        <v>4040</v>
      </c>
      <c r="C18" s="699" t="s">
        <v>739</v>
      </c>
      <c r="D18" s="697">
        <v>390567</v>
      </c>
      <c r="E18" s="697">
        <v>390563.97</v>
      </c>
      <c r="F18" s="698">
        <f t="shared" si="1"/>
        <v>99.99922420480992</v>
      </c>
    </row>
    <row r="19" spans="1:6" ht="16.5" customHeight="1">
      <c r="A19" s="645" t="s">
        <v>440</v>
      </c>
      <c r="B19" s="646">
        <v>4110</v>
      </c>
      <c r="C19" s="699" t="s">
        <v>745</v>
      </c>
      <c r="D19" s="697">
        <v>788838</v>
      </c>
      <c r="E19" s="697">
        <v>788835.42</v>
      </c>
      <c r="F19" s="698">
        <f aca="true" t="shared" si="2" ref="F19:F40">E19/D19*100</f>
        <v>99.9996729366486</v>
      </c>
    </row>
    <row r="20" spans="1:6" ht="16.5" customHeight="1">
      <c r="A20" s="645" t="s">
        <v>441</v>
      </c>
      <c r="B20" s="646">
        <v>4120</v>
      </c>
      <c r="C20" s="699" t="s">
        <v>746</v>
      </c>
      <c r="D20" s="697">
        <v>110189</v>
      </c>
      <c r="E20" s="697">
        <v>110186.74</v>
      </c>
      <c r="F20" s="698">
        <f t="shared" si="2"/>
        <v>99.99794897857318</v>
      </c>
    </row>
    <row r="21" spans="1:6" ht="29.25" customHeight="1">
      <c r="A21" s="645" t="s">
        <v>442</v>
      </c>
      <c r="B21" s="646">
        <v>4140</v>
      </c>
      <c r="C21" s="696" t="s">
        <v>809</v>
      </c>
      <c r="D21" s="697">
        <v>11280</v>
      </c>
      <c r="E21" s="697">
        <v>11280</v>
      </c>
      <c r="F21" s="698">
        <f t="shared" si="2"/>
        <v>100</v>
      </c>
    </row>
    <row r="22" spans="1:6" ht="16.5" customHeight="1">
      <c r="A22" s="645" t="s">
        <v>529</v>
      </c>
      <c r="B22" s="646">
        <v>4210</v>
      </c>
      <c r="C22" s="699" t="s">
        <v>748</v>
      </c>
      <c r="D22" s="697">
        <v>180869</v>
      </c>
      <c r="E22" s="697">
        <v>180866.84</v>
      </c>
      <c r="F22" s="698">
        <f t="shared" si="2"/>
        <v>99.99880576549879</v>
      </c>
    </row>
    <row r="23" spans="1:6" ht="16.5" customHeight="1">
      <c r="A23" s="645" t="s">
        <v>530</v>
      </c>
      <c r="B23" s="646">
        <v>4220</v>
      </c>
      <c r="C23" s="699" t="s">
        <v>805</v>
      </c>
      <c r="D23" s="697">
        <v>728305</v>
      </c>
      <c r="E23" s="697">
        <v>728301.16</v>
      </c>
      <c r="F23" s="698">
        <f t="shared" si="2"/>
        <v>99.9994727483678</v>
      </c>
    </row>
    <row r="24" spans="1:6" ht="16.5" customHeight="1">
      <c r="A24" s="645" t="s">
        <v>443</v>
      </c>
      <c r="B24" s="646">
        <v>4240</v>
      </c>
      <c r="C24" s="699" t="s">
        <v>806</v>
      </c>
      <c r="D24" s="697">
        <v>21422</v>
      </c>
      <c r="E24" s="697">
        <v>21424.37</v>
      </c>
      <c r="F24" s="698">
        <f t="shared" si="2"/>
        <v>100.01106339277376</v>
      </c>
    </row>
    <row r="25" spans="1:6" ht="16.5" customHeight="1">
      <c r="A25" s="645" t="s">
        <v>445</v>
      </c>
      <c r="B25" s="646">
        <v>4260</v>
      </c>
      <c r="C25" s="699" t="s">
        <v>749</v>
      </c>
      <c r="D25" s="697">
        <v>461968</v>
      </c>
      <c r="E25" s="697">
        <v>461965.38</v>
      </c>
      <c r="F25" s="698">
        <f t="shared" si="2"/>
        <v>99.99943286115057</v>
      </c>
    </row>
    <row r="26" spans="1:6" ht="16.5" customHeight="1">
      <c r="A26" s="645" t="s">
        <v>531</v>
      </c>
      <c r="B26" s="646">
        <v>4270</v>
      </c>
      <c r="C26" s="699" t="s">
        <v>750</v>
      </c>
      <c r="D26" s="697">
        <v>91658</v>
      </c>
      <c r="E26" s="697">
        <v>91654.85</v>
      </c>
      <c r="F26" s="698">
        <f t="shared" si="2"/>
        <v>99.99656331144035</v>
      </c>
    </row>
    <row r="27" spans="1:6" ht="16.5" customHeight="1">
      <c r="A27" s="645" t="s">
        <v>446</v>
      </c>
      <c r="B27" s="646">
        <v>4280</v>
      </c>
      <c r="C27" s="699" t="s">
        <v>807</v>
      </c>
      <c r="D27" s="697">
        <v>7683</v>
      </c>
      <c r="E27" s="697">
        <v>7680.3</v>
      </c>
      <c r="F27" s="698">
        <f t="shared" si="2"/>
        <v>99.96485747754782</v>
      </c>
    </row>
    <row r="28" spans="1:6" ht="16.5" customHeight="1">
      <c r="A28" s="645" t="s">
        <v>447</v>
      </c>
      <c r="B28" s="646">
        <v>4300</v>
      </c>
      <c r="C28" s="699" t="s">
        <v>764</v>
      </c>
      <c r="D28" s="697">
        <v>184695</v>
      </c>
      <c r="E28" s="697">
        <v>184690.69</v>
      </c>
      <c r="F28" s="698">
        <f t="shared" si="2"/>
        <v>99.99766642302174</v>
      </c>
    </row>
    <row r="29" spans="1:6" ht="16.5" customHeight="1">
      <c r="A29" s="645" t="s">
        <v>532</v>
      </c>
      <c r="B29" s="646">
        <v>4350</v>
      </c>
      <c r="C29" s="699" t="s">
        <v>765</v>
      </c>
      <c r="D29" s="697">
        <v>4039</v>
      </c>
      <c r="E29" s="697">
        <v>4037.3</v>
      </c>
      <c r="F29" s="698">
        <f t="shared" si="2"/>
        <v>99.95791037385492</v>
      </c>
    </row>
    <row r="30" spans="1:6" ht="27.75" customHeight="1">
      <c r="A30" s="645" t="s">
        <v>448</v>
      </c>
      <c r="B30" s="646">
        <v>4370</v>
      </c>
      <c r="C30" s="696" t="s">
        <v>767</v>
      </c>
      <c r="D30" s="697">
        <v>11199</v>
      </c>
      <c r="E30" s="697">
        <v>11196.94</v>
      </c>
      <c r="F30" s="698">
        <f t="shared" si="2"/>
        <v>99.98160550049113</v>
      </c>
    </row>
    <row r="31" spans="1:6" ht="27.75" customHeight="1">
      <c r="A31" s="645" t="s">
        <v>449</v>
      </c>
      <c r="B31" s="646">
        <v>4390</v>
      </c>
      <c r="C31" s="702" t="s">
        <v>810</v>
      </c>
      <c r="D31" s="697">
        <v>1342</v>
      </c>
      <c r="E31" s="697">
        <v>1342</v>
      </c>
      <c r="F31" s="698">
        <f t="shared" si="2"/>
        <v>100</v>
      </c>
    </row>
    <row r="32" spans="1:6" ht="16.5" customHeight="1">
      <c r="A32" s="645" t="s">
        <v>450</v>
      </c>
      <c r="B32" s="646">
        <v>4410</v>
      </c>
      <c r="C32" s="699" t="s">
        <v>769</v>
      </c>
      <c r="D32" s="697">
        <v>192</v>
      </c>
      <c r="E32" s="697">
        <v>191.4</v>
      </c>
      <c r="F32" s="698">
        <f t="shared" si="2"/>
        <v>99.6875</v>
      </c>
    </row>
    <row r="33" spans="1:6" ht="16.5" customHeight="1">
      <c r="A33" s="645" t="s">
        <v>451</v>
      </c>
      <c r="B33" s="646">
        <v>4430</v>
      </c>
      <c r="C33" s="699" t="s">
        <v>770</v>
      </c>
      <c r="D33" s="697">
        <v>13744</v>
      </c>
      <c r="E33" s="697">
        <v>13742.82</v>
      </c>
      <c r="F33" s="698">
        <f t="shared" si="2"/>
        <v>99.99141443539</v>
      </c>
    </row>
    <row r="34" spans="1:6" ht="16.5" customHeight="1">
      <c r="A34" s="645" t="s">
        <v>454</v>
      </c>
      <c r="B34" s="646">
        <v>4440</v>
      </c>
      <c r="C34" s="699" t="s">
        <v>771</v>
      </c>
      <c r="D34" s="697">
        <v>325652</v>
      </c>
      <c r="E34" s="697">
        <v>325652</v>
      </c>
      <c r="F34" s="698">
        <f t="shared" si="2"/>
        <v>100</v>
      </c>
    </row>
    <row r="35" spans="1:6" ht="16.5" customHeight="1">
      <c r="A35" s="645" t="s">
        <v>455</v>
      </c>
      <c r="B35" s="646">
        <v>4480</v>
      </c>
      <c r="C35" s="699" t="s">
        <v>286</v>
      </c>
      <c r="D35" s="697">
        <v>17</v>
      </c>
      <c r="E35" s="697">
        <v>17</v>
      </c>
      <c r="F35" s="698">
        <f t="shared" si="2"/>
        <v>100</v>
      </c>
    </row>
    <row r="36" spans="1:6" ht="16.5" customHeight="1">
      <c r="A36" s="645" t="s">
        <v>456</v>
      </c>
      <c r="B36" s="646">
        <v>4510</v>
      </c>
      <c r="C36" s="696" t="s">
        <v>132</v>
      </c>
      <c r="D36" s="697">
        <v>685</v>
      </c>
      <c r="E36" s="697">
        <v>685</v>
      </c>
      <c r="F36" s="698">
        <f t="shared" si="2"/>
        <v>100</v>
      </c>
    </row>
    <row r="37" spans="1:6" ht="30" customHeight="1">
      <c r="A37" s="645" t="s">
        <v>457</v>
      </c>
      <c r="B37" s="646">
        <v>4700</v>
      </c>
      <c r="C37" s="696" t="s">
        <v>775</v>
      </c>
      <c r="D37" s="697">
        <v>14050</v>
      </c>
      <c r="E37" s="697">
        <v>14048</v>
      </c>
      <c r="F37" s="698">
        <f t="shared" si="2"/>
        <v>99.98576512455516</v>
      </c>
    </row>
    <row r="38" spans="1:6" ht="25.5" customHeight="1">
      <c r="A38" s="645" t="s">
        <v>298</v>
      </c>
      <c r="B38" s="646">
        <v>4740</v>
      </c>
      <c r="C38" s="696" t="s">
        <v>776</v>
      </c>
      <c r="D38" s="697">
        <v>2619</v>
      </c>
      <c r="E38" s="697">
        <v>2616.29</v>
      </c>
      <c r="F38" s="698">
        <f t="shared" si="2"/>
        <v>99.89652539137074</v>
      </c>
    </row>
    <row r="39" spans="1:6" ht="16.5" customHeight="1">
      <c r="A39" s="645" t="s">
        <v>299</v>
      </c>
      <c r="B39" s="646">
        <v>4750</v>
      </c>
      <c r="C39" s="699" t="s">
        <v>780</v>
      </c>
      <c r="D39" s="697">
        <v>7402</v>
      </c>
      <c r="E39" s="697">
        <v>7399.15</v>
      </c>
      <c r="F39" s="698">
        <f t="shared" si="2"/>
        <v>99.96149689273169</v>
      </c>
    </row>
    <row r="40" spans="1:6" ht="16.5" customHeight="1" hidden="1">
      <c r="A40" s="645" t="s">
        <v>300</v>
      </c>
      <c r="B40" s="646">
        <v>6080</v>
      </c>
      <c r="C40" s="699" t="s">
        <v>782</v>
      </c>
      <c r="D40" s="697"/>
      <c r="E40" s="697"/>
      <c r="F40" s="698" t="e">
        <f t="shared" si="2"/>
        <v>#DIV/0!</v>
      </c>
    </row>
    <row r="41" spans="1:6" ht="16.5" customHeight="1">
      <c r="A41" s="59"/>
      <c r="B41" s="647"/>
      <c r="C41" s="703" t="s">
        <v>783</v>
      </c>
      <c r="D41" s="704">
        <v>96060</v>
      </c>
      <c r="E41" s="704">
        <v>96058.46</v>
      </c>
      <c r="F41" s="705">
        <f>E41/D41*100</f>
        <v>99.99839683531127</v>
      </c>
    </row>
    <row r="42" spans="1:6" s="639" customFormat="1" ht="30" customHeight="1" thickBot="1">
      <c r="A42" s="706" t="s">
        <v>785</v>
      </c>
      <c r="B42" s="707"/>
      <c r="C42" s="708" t="s">
        <v>1106</v>
      </c>
      <c r="D42" s="709">
        <f>D6+D7-D15</f>
        <v>60000</v>
      </c>
      <c r="E42" s="709">
        <f>E6+E7-E15</f>
        <v>-794362.9500000011</v>
      </c>
      <c r="F42" s="710" t="s">
        <v>349</v>
      </c>
    </row>
    <row r="43" spans="1:6" ht="18.75" customHeight="1" thickBot="1">
      <c r="A43" s="1589" t="s">
        <v>786</v>
      </c>
      <c r="B43" s="1590"/>
      <c r="C43" s="1590"/>
      <c r="D43" s="700">
        <f>D42+D15</f>
        <v>8556505</v>
      </c>
      <c r="E43" s="700">
        <f>E42+E15</f>
        <v>7702098.99</v>
      </c>
      <c r="F43" s="701">
        <f>E43/D43*100</f>
        <v>90.01454437296536</v>
      </c>
    </row>
    <row r="44" spans="3:5" ht="12.75">
      <c r="C44" s="44" t="s">
        <v>193</v>
      </c>
      <c r="D44" s="35">
        <f>D14-D43</f>
        <v>0</v>
      </c>
      <c r="E44" s="35">
        <f>E14-E43</f>
        <v>0</v>
      </c>
    </row>
  </sheetData>
  <sheetProtection password="CF93" sheet="1" formatRows="0" insertColumns="0" insertRows="0" insertHyperlinks="0" deleteColumns="0" deleteRows="0" sort="0" autoFilter="0" pivotTables="0"/>
  <mergeCells count="5">
    <mergeCell ref="A14:C14"/>
    <mergeCell ref="A43:C43"/>
    <mergeCell ref="A2:F2"/>
    <mergeCell ref="E1:F1"/>
    <mergeCell ref="A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F52"/>
  <sheetViews>
    <sheetView view="pageBreakPreview" zoomScaleSheetLayoutView="100" zoomScalePageLayoutView="0" workbookViewId="0" topLeftCell="A34">
      <selection activeCell="A51" sqref="A1:IV16384"/>
    </sheetView>
  </sheetViews>
  <sheetFormatPr defaultColWidth="9.00390625" defaultRowHeight="12.75"/>
  <cols>
    <col min="1" max="1" width="3.625" style="36" customWidth="1"/>
    <col min="2" max="2" width="4.375" style="36" customWidth="1"/>
    <col min="3" max="3" width="50.625" style="36" customWidth="1"/>
    <col min="4" max="4" width="11.25390625" style="36" customWidth="1"/>
    <col min="5" max="5" width="11.25390625" style="36" bestFit="1" customWidth="1"/>
    <col min="6" max="6" width="5.625" style="36" customWidth="1"/>
    <col min="7" max="16384" width="9.125" style="36" customWidth="1"/>
  </cols>
  <sheetData>
    <row r="1" spans="5:6" ht="12.75">
      <c r="E1" s="1436" t="s">
        <v>865</v>
      </c>
      <c r="F1" s="1436"/>
    </row>
    <row r="3" spans="1:6" ht="12" customHeight="1">
      <c r="A3" s="1357" t="s">
        <v>808</v>
      </c>
      <c r="B3" s="1357"/>
      <c r="C3" s="1357"/>
      <c r="D3" s="1357"/>
      <c r="E3" s="1357"/>
      <c r="F3" s="1357"/>
    </row>
    <row r="4" spans="1:6" ht="12" customHeight="1">
      <c r="A4" s="46"/>
      <c r="B4" s="46"/>
      <c r="C4" s="46"/>
      <c r="D4" s="46"/>
      <c r="E4" s="46"/>
      <c r="F4" s="46"/>
    </row>
    <row r="5" spans="1:6" ht="14.25" customHeight="1" thickBot="1">
      <c r="A5" s="1591" t="s">
        <v>951</v>
      </c>
      <c r="B5" s="1591"/>
      <c r="C5" s="1591"/>
      <c r="F5" s="44" t="s">
        <v>1426</v>
      </c>
    </row>
    <row r="6" spans="1:6" s="46" customFormat="1" ht="22.5" customHeight="1">
      <c r="A6" s="677" t="s">
        <v>338</v>
      </c>
      <c r="B6" s="678" t="s">
        <v>259</v>
      </c>
      <c r="C6" s="678" t="s">
        <v>1428</v>
      </c>
      <c r="D6" s="679" t="s">
        <v>1429</v>
      </c>
      <c r="E6" s="679" t="s">
        <v>1430</v>
      </c>
      <c r="F6" s="680" t="s">
        <v>726</v>
      </c>
    </row>
    <row r="7" spans="1:6" s="685" customFormat="1" ht="12" customHeight="1" thickBot="1">
      <c r="A7" s="681">
        <v>1</v>
      </c>
      <c r="B7" s="682">
        <v>2</v>
      </c>
      <c r="C7" s="682">
        <v>3</v>
      </c>
      <c r="D7" s="683">
        <v>4</v>
      </c>
      <c r="E7" s="683">
        <v>5</v>
      </c>
      <c r="F7" s="684">
        <v>6</v>
      </c>
    </row>
    <row r="8" spans="1:6" s="639" customFormat="1" ht="27" customHeight="1">
      <c r="A8" s="686" t="s">
        <v>727</v>
      </c>
      <c r="B8" s="687"/>
      <c r="C8" s="688" t="s">
        <v>1105</v>
      </c>
      <c r="D8" s="689">
        <v>142131</v>
      </c>
      <c r="E8" s="689">
        <v>142130.79</v>
      </c>
      <c r="F8" s="723" t="s">
        <v>349</v>
      </c>
    </row>
    <row r="9" spans="1:6" s="639" customFormat="1" ht="19.5" customHeight="1">
      <c r="A9" s="691" t="s">
        <v>728</v>
      </c>
      <c r="B9" s="692"/>
      <c r="C9" s="692" t="s">
        <v>329</v>
      </c>
      <c r="D9" s="693">
        <f>SUM(D10,D11,D12,D13,D14,D15,D16)</f>
        <v>6793728</v>
      </c>
      <c r="E9" s="693">
        <f>SUM(E10,E11,E12,E13,E14,E15,E16)</f>
        <v>6700686.149999999</v>
      </c>
      <c r="F9" s="694">
        <f aca="true" t="shared" si="0" ref="F9:F21">E9/D9*100</f>
        <v>98.63047431395545</v>
      </c>
    </row>
    <row r="10" spans="1:6" ht="53.25" customHeight="1">
      <c r="A10" s="645" t="s">
        <v>341</v>
      </c>
      <c r="B10" s="695" t="s">
        <v>615</v>
      </c>
      <c r="C10" s="696" t="s">
        <v>788</v>
      </c>
      <c r="D10" s="697">
        <v>1577000</v>
      </c>
      <c r="E10" s="697">
        <v>1576072.63</v>
      </c>
      <c r="F10" s="698">
        <f t="shared" si="0"/>
        <v>99.94119403931515</v>
      </c>
    </row>
    <row r="11" spans="1:6" ht="18.75" customHeight="1">
      <c r="A11" s="645" t="s">
        <v>342</v>
      </c>
      <c r="B11" s="695" t="s">
        <v>610</v>
      </c>
      <c r="C11" s="699" t="s">
        <v>729</v>
      </c>
      <c r="D11" s="697">
        <v>2215000</v>
      </c>
      <c r="E11" s="697">
        <v>2214512.71</v>
      </c>
      <c r="F11" s="698">
        <f t="shared" si="0"/>
        <v>99.97800045146727</v>
      </c>
    </row>
    <row r="12" spans="1:6" ht="18.75" customHeight="1">
      <c r="A12" s="645" t="s">
        <v>433</v>
      </c>
      <c r="B12" s="695" t="s">
        <v>611</v>
      </c>
      <c r="C12" s="699" t="s">
        <v>268</v>
      </c>
      <c r="D12" s="697">
        <v>13000</v>
      </c>
      <c r="E12" s="697">
        <v>12957.29</v>
      </c>
      <c r="F12" s="698">
        <f t="shared" si="0"/>
        <v>99.67146153846154</v>
      </c>
    </row>
    <row r="13" spans="1:6" ht="18.75" customHeight="1">
      <c r="A13" s="645" t="s">
        <v>440</v>
      </c>
      <c r="B13" s="695" t="s">
        <v>612</v>
      </c>
      <c r="C13" s="699" t="s">
        <v>266</v>
      </c>
      <c r="D13" s="697">
        <v>15900</v>
      </c>
      <c r="E13" s="697">
        <v>15690.21</v>
      </c>
      <c r="F13" s="698">
        <f t="shared" si="0"/>
        <v>98.68056603773584</v>
      </c>
    </row>
    <row r="14" spans="1:6" ht="31.5" customHeight="1">
      <c r="A14" s="645" t="s">
        <v>441</v>
      </c>
      <c r="B14" s="695" t="s">
        <v>730</v>
      </c>
      <c r="C14" s="696" t="s">
        <v>731</v>
      </c>
      <c r="D14" s="697">
        <v>794393</v>
      </c>
      <c r="E14" s="697">
        <v>794392.52</v>
      </c>
      <c r="F14" s="698">
        <f t="shared" si="0"/>
        <v>99.99993957650685</v>
      </c>
    </row>
    <row r="15" spans="1:6" ht="18.75" customHeight="1">
      <c r="A15" s="645"/>
      <c r="B15" s="695"/>
      <c r="C15" s="699" t="s">
        <v>732</v>
      </c>
      <c r="D15" s="697">
        <v>2160048</v>
      </c>
      <c r="E15" s="697">
        <v>2068674.38</v>
      </c>
      <c r="F15" s="698">
        <f t="shared" si="0"/>
        <v>95.76983381850773</v>
      </c>
    </row>
    <row r="16" spans="1:6" ht="17.25" customHeight="1" thickBot="1">
      <c r="A16" s="645"/>
      <c r="B16" s="695"/>
      <c r="C16" s="699" t="s">
        <v>1287</v>
      </c>
      <c r="D16" s="697">
        <v>18387</v>
      </c>
      <c r="E16" s="697">
        <v>18386.41</v>
      </c>
      <c r="F16" s="698">
        <f t="shared" si="0"/>
        <v>99.99679121118182</v>
      </c>
    </row>
    <row r="17" spans="1:6" s="639" customFormat="1" ht="18.75" customHeight="1" thickBot="1">
      <c r="A17" s="1589" t="s">
        <v>733</v>
      </c>
      <c r="B17" s="1590"/>
      <c r="C17" s="1590"/>
      <c r="D17" s="700">
        <f>D9+D8</f>
        <v>6935859</v>
      </c>
      <c r="E17" s="700">
        <f>E9+E8</f>
        <v>6842816.9399999995</v>
      </c>
      <c r="F17" s="701">
        <f t="shared" si="0"/>
        <v>98.65853587854077</v>
      </c>
    </row>
    <row r="18" spans="1:6" s="639" customFormat="1" ht="18.75" customHeight="1">
      <c r="A18" s="686" t="s">
        <v>735</v>
      </c>
      <c r="B18" s="687"/>
      <c r="C18" s="687" t="s">
        <v>736</v>
      </c>
      <c r="D18" s="689">
        <f>SUM(D19,D20,D21,D22,D23,D24,D25,D26,D27,D28,D29,D30,D31,D32,D33,D34,D35,D36,D37,D38,D39,D40,D41,D42,D43,D44,D45,D46,D47,D48)</f>
        <v>6846109</v>
      </c>
      <c r="E18" s="689">
        <f>SUM(E19,E20,E21,E22,E23,E24,E25,E26,E27,E28,E29,E30,E31,E32,E33,E34,E35,E36,E37,E38,E39,E40,E41,E42,E43,E44,E45,E46,E47,E48)</f>
        <v>6650473.100000001</v>
      </c>
      <c r="F18" s="724">
        <f t="shared" si="0"/>
        <v>97.14237824726426</v>
      </c>
    </row>
    <row r="19" spans="1:6" ht="18.75" customHeight="1">
      <c r="A19" s="645" t="s">
        <v>341</v>
      </c>
      <c r="B19" s="646">
        <v>3020</v>
      </c>
      <c r="C19" s="699" t="s">
        <v>737</v>
      </c>
      <c r="D19" s="697">
        <v>13000</v>
      </c>
      <c r="E19" s="697">
        <v>12330.65</v>
      </c>
      <c r="F19" s="698">
        <f t="shared" si="0"/>
        <v>94.85115384615385</v>
      </c>
    </row>
    <row r="20" spans="1:6" ht="18.75" customHeight="1">
      <c r="A20" s="645" t="s">
        <v>342</v>
      </c>
      <c r="B20" s="646">
        <v>4010</v>
      </c>
      <c r="C20" s="699" t="s">
        <v>738</v>
      </c>
      <c r="D20" s="697">
        <v>1690000</v>
      </c>
      <c r="E20" s="697">
        <v>1683746.58</v>
      </c>
      <c r="F20" s="698">
        <f t="shared" si="0"/>
        <v>99.629975147929</v>
      </c>
    </row>
    <row r="21" spans="1:6" ht="18.75" customHeight="1">
      <c r="A21" s="645" t="s">
        <v>433</v>
      </c>
      <c r="B21" s="646">
        <v>4040</v>
      </c>
      <c r="C21" s="699" t="s">
        <v>739</v>
      </c>
      <c r="D21" s="697">
        <v>136000</v>
      </c>
      <c r="E21" s="697">
        <v>135320.7</v>
      </c>
      <c r="F21" s="698">
        <f t="shared" si="0"/>
        <v>99.50051470588235</v>
      </c>
    </row>
    <row r="22" spans="1:6" ht="18.75" customHeight="1">
      <c r="A22" s="645" t="s">
        <v>440</v>
      </c>
      <c r="B22" s="646">
        <v>4110</v>
      </c>
      <c r="C22" s="699" t="s">
        <v>745</v>
      </c>
      <c r="D22" s="697">
        <v>316674</v>
      </c>
      <c r="E22" s="697">
        <v>315929.79</v>
      </c>
      <c r="F22" s="698">
        <f aca="true" t="shared" si="1" ref="F22:F37">E22/D22*100</f>
        <v>99.7649917580856</v>
      </c>
    </row>
    <row r="23" spans="1:6" ht="18.75" customHeight="1">
      <c r="A23" s="645" t="s">
        <v>441</v>
      </c>
      <c r="B23" s="646">
        <v>4120</v>
      </c>
      <c r="C23" s="699" t="s">
        <v>746</v>
      </c>
      <c r="D23" s="697">
        <v>40000</v>
      </c>
      <c r="E23" s="697">
        <v>38382.78</v>
      </c>
      <c r="F23" s="698">
        <f t="shared" si="1"/>
        <v>95.95694999999999</v>
      </c>
    </row>
    <row r="24" spans="1:6" ht="30" customHeight="1">
      <c r="A24" s="645" t="s">
        <v>442</v>
      </c>
      <c r="B24" s="646">
        <v>4140</v>
      </c>
      <c r="C24" s="696" t="s">
        <v>809</v>
      </c>
      <c r="D24" s="697">
        <v>15000</v>
      </c>
      <c r="E24" s="697">
        <v>13217</v>
      </c>
      <c r="F24" s="698">
        <f t="shared" si="1"/>
        <v>88.11333333333333</v>
      </c>
    </row>
    <row r="25" spans="1:6" ht="18.75" customHeight="1">
      <c r="A25" s="645" t="s">
        <v>529</v>
      </c>
      <c r="B25" s="646">
        <v>4170</v>
      </c>
      <c r="C25" s="699" t="s">
        <v>747</v>
      </c>
      <c r="D25" s="697">
        <v>575000</v>
      </c>
      <c r="E25" s="697">
        <v>570130.77</v>
      </c>
      <c r="F25" s="698">
        <f t="shared" si="1"/>
        <v>99.15317739130435</v>
      </c>
    </row>
    <row r="26" spans="1:6" ht="18.75" customHeight="1">
      <c r="A26" s="645" t="s">
        <v>530</v>
      </c>
      <c r="B26" s="646">
        <v>4210</v>
      </c>
      <c r="C26" s="699" t="s">
        <v>748</v>
      </c>
      <c r="D26" s="697">
        <v>390000</v>
      </c>
      <c r="E26" s="697">
        <v>355281.31</v>
      </c>
      <c r="F26" s="698">
        <f t="shared" si="1"/>
        <v>91.09777179487179</v>
      </c>
    </row>
    <row r="27" spans="1:6" ht="18.75" customHeight="1">
      <c r="A27" s="645" t="s">
        <v>443</v>
      </c>
      <c r="B27" s="646">
        <v>4260</v>
      </c>
      <c r="C27" s="699" t="s">
        <v>749</v>
      </c>
      <c r="D27" s="697">
        <v>800000</v>
      </c>
      <c r="E27" s="697">
        <v>791390.97</v>
      </c>
      <c r="F27" s="698">
        <f t="shared" si="1"/>
        <v>98.92387124999999</v>
      </c>
    </row>
    <row r="28" spans="1:6" ht="18.75" customHeight="1">
      <c r="A28" s="645" t="s">
        <v>445</v>
      </c>
      <c r="B28" s="646">
        <v>4270</v>
      </c>
      <c r="C28" s="699" t="s">
        <v>750</v>
      </c>
      <c r="D28" s="697">
        <v>25000</v>
      </c>
      <c r="E28" s="697">
        <v>23415.91</v>
      </c>
      <c r="F28" s="698">
        <f t="shared" si="1"/>
        <v>93.66364</v>
      </c>
    </row>
    <row r="29" spans="1:6" ht="18.75" customHeight="1">
      <c r="A29" s="645" t="s">
        <v>531</v>
      </c>
      <c r="B29" s="646">
        <v>4280</v>
      </c>
      <c r="C29" s="699" t="s">
        <v>807</v>
      </c>
      <c r="D29" s="697">
        <v>2000</v>
      </c>
      <c r="E29" s="697">
        <v>1696.9</v>
      </c>
      <c r="F29" s="698">
        <f t="shared" si="1"/>
        <v>84.845</v>
      </c>
    </row>
    <row r="30" spans="1:6" ht="18.75" customHeight="1">
      <c r="A30" s="645" t="s">
        <v>446</v>
      </c>
      <c r="B30" s="646">
        <v>4300</v>
      </c>
      <c r="C30" s="699" t="s">
        <v>764</v>
      </c>
      <c r="D30" s="697">
        <v>435000</v>
      </c>
      <c r="E30" s="697">
        <v>401438.4</v>
      </c>
      <c r="F30" s="698">
        <f t="shared" si="1"/>
        <v>92.28468965517241</v>
      </c>
    </row>
    <row r="31" spans="1:6" ht="18.75" customHeight="1">
      <c r="A31" s="645" t="s">
        <v>447</v>
      </c>
      <c r="B31" s="646">
        <v>4350</v>
      </c>
      <c r="C31" s="699" t="s">
        <v>765</v>
      </c>
      <c r="D31" s="697">
        <v>2000</v>
      </c>
      <c r="E31" s="697">
        <v>1862.56</v>
      </c>
      <c r="F31" s="698">
        <f t="shared" si="1"/>
        <v>93.128</v>
      </c>
    </row>
    <row r="32" spans="1:6" ht="27.75" customHeight="1">
      <c r="A32" s="645" t="s">
        <v>532</v>
      </c>
      <c r="B32" s="646">
        <v>4360</v>
      </c>
      <c r="C32" s="696" t="s">
        <v>766</v>
      </c>
      <c r="D32" s="697">
        <v>15000</v>
      </c>
      <c r="E32" s="697">
        <v>13221.36</v>
      </c>
      <c r="F32" s="698">
        <f t="shared" si="1"/>
        <v>88.1424</v>
      </c>
    </row>
    <row r="33" spans="1:6" ht="30.75" customHeight="1">
      <c r="A33" s="645" t="s">
        <v>448</v>
      </c>
      <c r="B33" s="646">
        <v>4370</v>
      </c>
      <c r="C33" s="696" t="s">
        <v>767</v>
      </c>
      <c r="D33" s="697">
        <v>15000</v>
      </c>
      <c r="E33" s="697">
        <v>14848.44</v>
      </c>
      <c r="F33" s="698">
        <f t="shared" si="1"/>
        <v>98.9896</v>
      </c>
    </row>
    <row r="34" spans="1:6" ht="18.75" customHeight="1">
      <c r="A34" s="645" t="s">
        <v>449</v>
      </c>
      <c r="B34" s="646">
        <v>4390</v>
      </c>
      <c r="C34" s="699" t="s">
        <v>810</v>
      </c>
      <c r="D34" s="697">
        <v>6000</v>
      </c>
      <c r="E34" s="697">
        <v>5330.55</v>
      </c>
      <c r="F34" s="698">
        <f t="shared" si="1"/>
        <v>88.8425</v>
      </c>
    </row>
    <row r="35" spans="1:6" ht="27.75" customHeight="1">
      <c r="A35" s="645" t="s">
        <v>450</v>
      </c>
      <c r="B35" s="646">
        <v>4400</v>
      </c>
      <c r="C35" s="696" t="s">
        <v>768</v>
      </c>
      <c r="D35" s="697">
        <v>1000</v>
      </c>
      <c r="E35" s="697">
        <v>545.9</v>
      </c>
      <c r="F35" s="698">
        <f t="shared" si="1"/>
        <v>54.589999999999996</v>
      </c>
    </row>
    <row r="36" spans="1:6" ht="18.75" customHeight="1">
      <c r="A36" s="645" t="s">
        <v>451</v>
      </c>
      <c r="B36" s="646">
        <v>4410</v>
      </c>
      <c r="C36" s="699" t="s">
        <v>769</v>
      </c>
      <c r="D36" s="697">
        <v>15000</v>
      </c>
      <c r="E36" s="697">
        <v>14754.47</v>
      </c>
      <c r="F36" s="698">
        <f t="shared" si="1"/>
        <v>98.36313333333334</v>
      </c>
    </row>
    <row r="37" spans="1:6" ht="18.75" customHeight="1">
      <c r="A37" s="645" t="s">
        <v>454</v>
      </c>
      <c r="B37" s="646">
        <v>4420</v>
      </c>
      <c r="C37" s="699" t="s">
        <v>811</v>
      </c>
      <c r="D37" s="697">
        <v>2000</v>
      </c>
      <c r="E37" s="697">
        <v>1455.56</v>
      </c>
      <c r="F37" s="698">
        <f t="shared" si="1"/>
        <v>72.77799999999999</v>
      </c>
    </row>
    <row r="38" spans="1:6" ht="18.75" customHeight="1">
      <c r="A38" s="645" t="s">
        <v>455</v>
      </c>
      <c r="B38" s="646">
        <v>4430</v>
      </c>
      <c r="C38" s="699" t="s">
        <v>770</v>
      </c>
      <c r="D38" s="697">
        <v>53000</v>
      </c>
      <c r="E38" s="697">
        <v>52256.44</v>
      </c>
      <c r="F38" s="698">
        <f aca="true" t="shared" si="2" ref="F38:F48">E38/D38*100</f>
        <v>98.5970566037736</v>
      </c>
    </row>
    <row r="39" spans="1:6" ht="18.75" customHeight="1">
      <c r="A39" s="645" t="s">
        <v>456</v>
      </c>
      <c r="B39" s="646">
        <v>4440</v>
      </c>
      <c r="C39" s="699" t="s">
        <v>771</v>
      </c>
      <c r="D39" s="697">
        <v>55000</v>
      </c>
      <c r="E39" s="697">
        <v>54921</v>
      </c>
      <c r="F39" s="698">
        <f t="shared" si="2"/>
        <v>99.85636363636362</v>
      </c>
    </row>
    <row r="40" spans="1:6" ht="18.75" customHeight="1">
      <c r="A40" s="645" t="s">
        <v>457</v>
      </c>
      <c r="B40" s="646">
        <v>4480</v>
      </c>
      <c r="C40" s="699" t="s">
        <v>286</v>
      </c>
      <c r="D40" s="697">
        <v>28000</v>
      </c>
      <c r="E40" s="697">
        <v>27885</v>
      </c>
      <c r="F40" s="698">
        <f t="shared" si="2"/>
        <v>99.58928571428571</v>
      </c>
    </row>
    <row r="41" spans="1:6" ht="30.75" customHeight="1">
      <c r="A41" s="645" t="s">
        <v>298</v>
      </c>
      <c r="B41" s="646">
        <v>4500</v>
      </c>
      <c r="C41" s="696" t="s">
        <v>877</v>
      </c>
      <c r="D41" s="697">
        <v>1000</v>
      </c>
      <c r="E41" s="697">
        <v>108</v>
      </c>
      <c r="F41" s="698">
        <f t="shared" si="2"/>
        <v>10.8</v>
      </c>
    </row>
    <row r="42" spans="1:6" ht="18.75" customHeight="1">
      <c r="A42" s="645" t="s">
        <v>299</v>
      </c>
      <c r="B42" s="646">
        <v>4520</v>
      </c>
      <c r="C42" s="696" t="s">
        <v>812</v>
      </c>
      <c r="D42" s="697">
        <v>4000</v>
      </c>
      <c r="E42" s="697">
        <v>3348.83</v>
      </c>
      <c r="F42" s="698">
        <f t="shared" si="2"/>
        <v>83.72075</v>
      </c>
    </row>
    <row r="43" spans="1:6" ht="18.75" customHeight="1">
      <c r="A43" s="645" t="s">
        <v>300</v>
      </c>
      <c r="B43" s="646">
        <v>4610</v>
      </c>
      <c r="C43" s="696" t="s">
        <v>774</v>
      </c>
      <c r="D43" s="697">
        <v>3000</v>
      </c>
      <c r="E43" s="697">
        <v>2374.87</v>
      </c>
      <c r="F43" s="698">
        <f t="shared" si="2"/>
        <v>79.16233333333334</v>
      </c>
    </row>
    <row r="44" spans="1:6" ht="27" customHeight="1">
      <c r="A44" s="645" t="s">
        <v>301</v>
      </c>
      <c r="B44" s="646">
        <v>4700</v>
      </c>
      <c r="C44" s="696" t="s">
        <v>775</v>
      </c>
      <c r="D44" s="697">
        <v>8000</v>
      </c>
      <c r="E44" s="697">
        <v>7920.7</v>
      </c>
      <c r="F44" s="698">
        <f t="shared" si="2"/>
        <v>99.00875</v>
      </c>
    </row>
    <row r="45" spans="1:6" ht="30" customHeight="1">
      <c r="A45" s="645" t="s">
        <v>1071</v>
      </c>
      <c r="B45" s="646">
        <v>4740</v>
      </c>
      <c r="C45" s="696" t="s">
        <v>776</v>
      </c>
      <c r="D45" s="697">
        <v>3000</v>
      </c>
      <c r="E45" s="697">
        <v>2221.54</v>
      </c>
      <c r="F45" s="698">
        <f t="shared" si="2"/>
        <v>74.05133333333333</v>
      </c>
    </row>
    <row r="46" spans="1:6" ht="18.75" customHeight="1">
      <c r="A46" s="645" t="s">
        <v>1072</v>
      </c>
      <c r="B46" s="646">
        <v>4750</v>
      </c>
      <c r="C46" s="696" t="s">
        <v>780</v>
      </c>
      <c r="D46" s="697">
        <v>19000</v>
      </c>
      <c r="E46" s="697">
        <v>18075.33</v>
      </c>
      <c r="F46" s="698">
        <f t="shared" si="2"/>
        <v>95.1333157894737</v>
      </c>
    </row>
    <row r="47" spans="1:6" ht="18.75" customHeight="1">
      <c r="A47" s="725"/>
      <c r="B47" s="726"/>
      <c r="C47" s="727" t="s">
        <v>783</v>
      </c>
      <c r="D47" s="712">
        <v>2160048</v>
      </c>
      <c r="E47" s="712">
        <v>2068674.38</v>
      </c>
      <c r="F47" s="698">
        <f t="shared" si="2"/>
        <v>95.76983381850773</v>
      </c>
    </row>
    <row r="48" spans="1:6" ht="18.75" customHeight="1">
      <c r="A48" s="59"/>
      <c r="B48" s="703"/>
      <c r="C48" s="703" t="s">
        <v>784</v>
      </c>
      <c r="D48" s="704">
        <v>18387</v>
      </c>
      <c r="E48" s="704">
        <v>18386.41</v>
      </c>
      <c r="F48" s="705">
        <f t="shared" si="2"/>
        <v>99.99679121118182</v>
      </c>
    </row>
    <row r="49" spans="1:6" s="639" customFormat="1" ht="22.5" customHeight="1" hidden="1">
      <c r="A49" s="729" t="s">
        <v>785</v>
      </c>
      <c r="B49" s="692"/>
      <c r="C49" s="692" t="s">
        <v>813</v>
      </c>
      <c r="D49" s="693">
        <v>0</v>
      </c>
      <c r="E49" s="693">
        <v>0</v>
      </c>
      <c r="F49" s="694">
        <v>0</v>
      </c>
    </row>
    <row r="50" spans="1:6" s="639" customFormat="1" ht="30.75" customHeight="1" thickBot="1">
      <c r="A50" s="706" t="s">
        <v>785</v>
      </c>
      <c r="B50" s="707"/>
      <c r="C50" s="708" t="s">
        <v>1106</v>
      </c>
      <c r="D50" s="709">
        <f>D8+D9-D18</f>
        <v>89750</v>
      </c>
      <c r="E50" s="709">
        <f>E8+E9-E18</f>
        <v>192343.83999999892</v>
      </c>
      <c r="F50" s="710" t="s">
        <v>349</v>
      </c>
    </row>
    <row r="51" spans="1:6" ht="18.75" customHeight="1" thickBot="1">
      <c r="A51" s="1589" t="s">
        <v>819</v>
      </c>
      <c r="B51" s="1590"/>
      <c r="C51" s="1590"/>
      <c r="D51" s="700">
        <f>D49+D50+D18</f>
        <v>6935859</v>
      </c>
      <c r="E51" s="700">
        <f>E49+E50+E18</f>
        <v>6842816.9399999995</v>
      </c>
      <c r="F51" s="701">
        <f>E51/D51*100</f>
        <v>98.65853587854077</v>
      </c>
    </row>
    <row r="52" spans="3:5" ht="12.75">
      <c r="C52" s="44" t="s">
        <v>193</v>
      </c>
      <c r="D52" s="35">
        <f>D17-D51</f>
        <v>0</v>
      </c>
      <c r="E52" s="35">
        <f>E17-E51</f>
        <v>0</v>
      </c>
    </row>
  </sheetData>
  <sheetProtection password="CF93" sheet="1" formatRows="0" insertColumns="0" insertRows="0" insertHyperlinks="0" deleteColumns="0" deleteRows="0" sort="0" autoFilter="0" pivotTables="0"/>
  <mergeCells count="5">
    <mergeCell ref="A17:C17"/>
    <mergeCell ref="A51:C51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F34"/>
  <sheetViews>
    <sheetView view="pageBreakPreview" zoomScaleSheetLayoutView="100" zoomScalePageLayoutView="0" workbookViewId="0" topLeftCell="A14">
      <selection activeCell="E25" sqref="E25"/>
    </sheetView>
  </sheetViews>
  <sheetFormatPr defaultColWidth="9.00390625" defaultRowHeight="12.75"/>
  <cols>
    <col min="1" max="1" width="3.625" style="36" customWidth="1"/>
    <col min="2" max="2" width="4.375" style="36" customWidth="1"/>
    <col min="3" max="3" width="52.125" style="36" customWidth="1"/>
    <col min="4" max="5" width="10.75390625" style="36" customWidth="1"/>
    <col min="6" max="6" width="5.125" style="36" customWidth="1"/>
    <col min="7" max="16384" width="9.125" style="36" customWidth="1"/>
  </cols>
  <sheetData>
    <row r="1" spans="5:6" ht="12.75">
      <c r="E1" s="1436" t="s">
        <v>864</v>
      </c>
      <c r="F1" s="1436"/>
    </row>
    <row r="2" ht="28.5" customHeight="1"/>
    <row r="3" spans="1:6" ht="12.75">
      <c r="A3" s="1594" t="s">
        <v>820</v>
      </c>
      <c r="B3" s="1594"/>
      <c r="C3" s="1594"/>
      <c r="D3" s="1594"/>
      <c r="E3" s="1594"/>
      <c r="F3" s="1594"/>
    </row>
    <row r="4" spans="1:6" ht="20.25" customHeight="1">
      <c r="A4" s="730"/>
      <c r="B4" s="730"/>
      <c r="C4" s="730"/>
      <c r="D4" s="730"/>
      <c r="E4" s="730"/>
      <c r="F4" s="730"/>
    </row>
    <row r="5" spans="1:6" ht="15" customHeight="1" thickBot="1">
      <c r="A5" s="1591" t="s">
        <v>952</v>
      </c>
      <c r="B5" s="1591"/>
      <c r="C5" s="1591"/>
      <c r="F5" s="44" t="s">
        <v>1426</v>
      </c>
    </row>
    <row r="6" spans="1:6" s="731" customFormat="1" ht="22.5" customHeight="1">
      <c r="A6" s="677" t="s">
        <v>338</v>
      </c>
      <c r="B6" s="678" t="s">
        <v>259</v>
      </c>
      <c r="C6" s="678" t="s">
        <v>1428</v>
      </c>
      <c r="D6" s="679" t="s">
        <v>1429</v>
      </c>
      <c r="E6" s="679" t="s">
        <v>1430</v>
      </c>
      <c r="F6" s="680" t="s">
        <v>726</v>
      </c>
    </row>
    <row r="7" spans="1:6" s="732" customFormat="1" ht="9.75" customHeight="1" thickBot="1">
      <c r="A7" s="681">
        <v>1</v>
      </c>
      <c r="B7" s="682">
        <v>2</v>
      </c>
      <c r="C7" s="682">
        <v>3</v>
      </c>
      <c r="D7" s="683">
        <v>4</v>
      </c>
      <c r="E7" s="683">
        <v>5</v>
      </c>
      <c r="F7" s="684">
        <v>6</v>
      </c>
    </row>
    <row r="8" spans="1:6" s="639" customFormat="1" ht="29.25" customHeight="1">
      <c r="A8" s="686" t="s">
        <v>727</v>
      </c>
      <c r="B8" s="687"/>
      <c r="C8" s="688" t="s">
        <v>1105</v>
      </c>
      <c r="D8" s="689">
        <v>202217</v>
      </c>
      <c r="E8" s="689">
        <v>202216.47</v>
      </c>
      <c r="F8" s="690" t="s">
        <v>349</v>
      </c>
    </row>
    <row r="9" spans="1:6" s="639" customFormat="1" ht="18" customHeight="1">
      <c r="A9" s="691" t="s">
        <v>728</v>
      </c>
      <c r="B9" s="692"/>
      <c r="C9" s="692" t="s">
        <v>329</v>
      </c>
      <c r="D9" s="693">
        <f>SUM(D10,D11,D12,D13)</f>
        <v>320000</v>
      </c>
      <c r="E9" s="693">
        <f>SUM(E10,E11,E12,E13)</f>
        <v>293661.15</v>
      </c>
      <c r="F9" s="694">
        <f aca="true" t="shared" si="0" ref="F9:F16">E9/D9*100</f>
        <v>91.769109375</v>
      </c>
    </row>
    <row r="10" spans="1:6" ht="18" customHeight="1">
      <c r="A10" s="645" t="s">
        <v>341</v>
      </c>
      <c r="B10" s="695" t="s">
        <v>610</v>
      </c>
      <c r="C10" s="699" t="s">
        <v>729</v>
      </c>
      <c r="D10" s="697">
        <v>270000</v>
      </c>
      <c r="E10" s="697">
        <v>248059.64</v>
      </c>
      <c r="F10" s="698">
        <f t="shared" si="0"/>
        <v>91.87394074074075</v>
      </c>
    </row>
    <row r="11" spans="1:6" ht="18" customHeight="1">
      <c r="A11" s="645" t="s">
        <v>342</v>
      </c>
      <c r="B11" s="695" t="s">
        <v>611</v>
      </c>
      <c r="C11" s="699" t="s">
        <v>268</v>
      </c>
      <c r="D11" s="697">
        <v>10000</v>
      </c>
      <c r="E11" s="697">
        <v>5601.51</v>
      </c>
      <c r="F11" s="698">
        <f t="shared" si="0"/>
        <v>56.015100000000004</v>
      </c>
    </row>
    <row r="12" spans="1:6" ht="18" customHeight="1">
      <c r="A12" s="645" t="s">
        <v>433</v>
      </c>
      <c r="B12" s="695" t="s">
        <v>821</v>
      </c>
      <c r="C12" s="699" t="s">
        <v>822</v>
      </c>
      <c r="D12" s="697">
        <v>40000</v>
      </c>
      <c r="E12" s="697">
        <v>40000</v>
      </c>
      <c r="F12" s="698">
        <f t="shared" si="0"/>
        <v>100</v>
      </c>
    </row>
    <row r="13" spans="1:6" ht="18" customHeight="1" hidden="1">
      <c r="A13" s="645"/>
      <c r="B13" s="695"/>
      <c r="C13" s="699" t="s">
        <v>1287</v>
      </c>
      <c r="D13" s="697">
        <v>0</v>
      </c>
      <c r="E13" s="697">
        <v>0</v>
      </c>
      <c r="F13" s="733" t="s">
        <v>313</v>
      </c>
    </row>
    <row r="14" spans="1:6" ht="7.5" customHeight="1" thickBot="1">
      <c r="A14" s="645"/>
      <c r="B14" s="695"/>
      <c r="C14" s="696"/>
      <c r="D14" s="697"/>
      <c r="E14" s="697"/>
      <c r="F14" s="698"/>
    </row>
    <row r="15" spans="1:6" s="639" customFormat="1" ht="18" customHeight="1" thickBot="1">
      <c r="A15" s="1589" t="s">
        <v>733</v>
      </c>
      <c r="B15" s="1590"/>
      <c r="C15" s="1590"/>
      <c r="D15" s="700">
        <f>D9+D8</f>
        <v>522217</v>
      </c>
      <c r="E15" s="700">
        <f>E9+E8</f>
        <v>495877.62</v>
      </c>
      <c r="F15" s="701">
        <f t="shared" si="0"/>
        <v>94.9562384985552</v>
      </c>
    </row>
    <row r="16" spans="1:6" s="639" customFormat="1" ht="18" customHeight="1">
      <c r="A16" s="691" t="s">
        <v>735</v>
      </c>
      <c r="B16" s="692"/>
      <c r="C16" s="692" t="s">
        <v>736</v>
      </c>
      <c r="D16" s="693">
        <f>SUM(D17:D31)</f>
        <v>522217</v>
      </c>
      <c r="E16" s="693">
        <f>SUM(E17:E31)</f>
        <v>495677.30000000005</v>
      </c>
      <c r="F16" s="694">
        <f t="shared" si="0"/>
        <v>94.91787896602372</v>
      </c>
    </row>
    <row r="17" spans="1:6" ht="18" customHeight="1">
      <c r="A17" s="645" t="s">
        <v>341</v>
      </c>
      <c r="B17" s="646">
        <v>2960</v>
      </c>
      <c r="C17" s="696" t="s">
        <v>822</v>
      </c>
      <c r="D17" s="697">
        <v>56000</v>
      </c>
      <c r="E17" s="697">
        <v>34531.88</v>
      </c>
      <c r="F17" s="698">
        <f aca="true" t="shared" si="1" ref="F17:F30">E17/D17*100</f>
        <v>61.66407142857142</v>
      </c>
    </row>
    <row r="18" spans="1:6" ht="18" customHeight="1">
      <c r="A18" s="645" t="s">
        <v>342</v>
      </c>
      <c r="B18" s="646">
        <v>4110</v>
      </c>
      <c r="C18" s="699" t="s">
        <v>745</v>
      </c>
      <c r="D18" s="697">
        <v>1700</v>
      </c>
      <c r="E18" s="697">
        <v>478.48</v>
      </c>
      <c r="F18" s="698">
        <f t="shared" si="1"/>
        <v>28.145882352941175</v>
      </c>
    </row>
    <row r="19" spans="1:6" ht="18" customHeight="1">
      <c r="A19" s="645" t="s">
        <v>433</v>
      </c>
      <c r="B19" s="646">
        <v>4120</v>
      </c>
      <c r="C19" s="696" t="s">
        <v>746</v>
      </c>
      <c r="D19" s="697">
        <v>250</v>
      </c>
      <c r="E19" s="697">
        <v>51.44</v>
      </c>
      <c r="F19" s="698">
        <f t="shared" si="1"/>
        <v>20.576</v>
      </c>
    </row>
    <row r="20" spans="1:6" ht="18" customHeight="1">
      <c r="A20" s="645" t="s">
        <v>440</v>
      </c>
      <c r="B20" s="646">
        <v>4170</v>
      </c>
      <c r="C20" s="696" t="s">
        <v>747</v>
      </c>
      <c r="D20" s="697">
        <v>21824</v>
      </c>
      <c r="E20" s="697">
        <v>21609</v>
      </c>
      <c r="F20" s="698">
        <f t="shared" si="1"/>
        <v>99.01484604105572</v>
      </c>
    </row>
    <row r="21" spans="1:6" ht="18" customHeight="1">
      <c r="A21" s="645" t="s">
        <v>441</v>
      </c>
      <c r="B21" s="646">
        <v>4210</v>
      </c>
      <c r="C21" s="699" t="s">
        <v>748</v>
      </c>
      <c r="D21" s="697">
        <v>20000</v>
      </c>
      <c r="E21" s="697">
        <v>16623.55</v>
      </c>
      <c r="F21" s="698">
        <f t="shared" si="1"/>
        <v>83.11775</v>
      </c>
    </row>
    <row r="22" spans="1:6" ht="18" customHeight="1" hidden="1">
      <c r="A22" s="645" t="s">
        <v>442</v>
      </c>
      <c r="B22" s="646">
        <v>4240</v>
      </c>
      <c r="C22" s="699" t="s">
        <v>806</v>
      </c>
      <c r="D22" s="697"/>
      <c r="E22" s="697">
        <v>0</v>
      </c>
      <c r="F22" s="698" t="e">
        <f t="shared" si="1"/>
        <v>#DIV/0!</v>
      </c>
    </row>
    <row r="23" spans="1:6" ht="18" customHeight="1">
      <c r="A23" s="645" t="s">
        <v>442</v>
      </c>
      <c r="B23" s="646">
        <v>4270</v>
      </c>
      <c r="C23" s="699" t="s">
        <v>750</v>
      </c>
      <c r="D23" s="697">
        <v>4000</v>
      </c>
      <c r="E23" s="697">
        <v>2684</v>
      </c>
      <c r="F23" s="698">
        <f t="shared" si="1"/>
        <v>67.10000000000001</v>
      </c>
    </row>
    <row r="24" spans="1:6" ht="18" customHeight="1">
      <c r="A24" s="645" t="s">
        <v>529</v>
      </c>
      <c r="B24" s="646">
        <v>4300</v>
      </c>
      <c r="C24" s="699" t="s">
        <v>764</v>
      </c>
      <c r="D24" s="697">
        <v>324759</v>
      </c>
      <c r="E24" s="697">
        <v>189299.81</v>
      </c>
      <c r="F24" s="698">
        <f t="shared" si="1"/>
        <v>58.28931915666694</v>
      </c>
    </row>
    <row r="25" spans="1:6" ht="18" customHeight="1">
      <c r="A25" s="645" t="s">
        <v>530</v>
      </c>
      <c r="B25" s="646">
        <v>4390</v>
      </c>
      <c r="C25" s="699" t="s">
        <v>810</v>
      </c>
      <c r="D25" s="697">
        <v>2684</v>
      </c>
      <c r="E25" s="697">
        <v>2684</v>
      </c>
      <c r="F25" s="698">
        <f t="shared" si="1"/>
        <v>100</v>
      </c>
    </row>
    <row r="26" spans="1:6" ht="18" customHeight="1">
      <c r="A26" s="645" t="s">
        <v>443</v>
      </c>
      <c r="B26" s="646">
        <v>4430</v>
      </c>
      <c r="C26" s="699" t="s">
        <v>770</v>
      </c>
      <c r="D26" s="697">
        <v>1000</v>
      </c>
      <c r="E26" s="697">
        <v>0</v>
      </c>
      <c r="F26" s="698">
        <f t="shared" si="1"/>
        <v>0</v>
      </c>
    </row>
    <row r="27" spans="1:6" ht="30" customHeight="1">
      <c r="A27" s="645" t="s">
        <v>445</v>
      </c>
      <c r="B27" s="646">
        <v>4700</v>
      </c>
      <c r="C27" s="696" t="s">
        <v>775</v>
      </c>
      <c r="D27" s="697">
        <v>5000</v>
      </c>
      <c r="E27" s="697">
        <v>2035</v>
      </c>
      <c r="F27" s="698">
        <f t="shared" si="1"/>
        <v>40.699999999999996</v>
      </c>
    </row>
    <row r="28" spans="1:6" ht="27" customHeight="1">
      <c r="A28" s="645" t="s">
        <v>531</v>
      </c>
      <c r="B28" s="646">
        <v>4740</v>
      </c>
      <c r="C28" s="696" t="s">
        <v>776</v>
      </c>
      <c r="D28" s="697">
        <v>12000</v>
      </c>
      <c r="E28" s="697">
        <v>5293.59</v>
      </c>
      <c r="F28" s="698">
        <f t="shared" si="1"/>
        <v>44.11325</v>
      </c>
    </row>
    <row r="29" spans="1:6" ht="18" customHeight="1">
      <c r="A29" s="645" t="s">
        <v>446</v>
      </c>
      <c r="B29" s="646">
        <v>4750</v>
      </c>
      <c r="C29" s="696" t="s">
        <v>780</v>
      </c>
      <c r="D29" s="697">
        <v>20000</v>
      </c>
      <c r="E29" s="697">
        <v>16842.24</v>
      </c>
      <c r="F29" s="698">
        <f t="shared" si="1"/>
        <v>84.2112</v>
      </c>
    </row>
    <row r="30" spans="1:6" ht="18" customHeight="1">
      <c r="A30" s="645" t="s">
        <v>447</v>
      </c>
      <c r="B30" s="646">
        <v>6120</v>
      </c>
      <c r="C30" s="696" t="s">
        <v>823</v>
      </c>
      <c r="D30" s="697">
        <v>53000</v>
      </c>
      <c r="E30" s="697">
        <v>48800</v>
      </c>
      <c r="F30" s="698">
        <f t="shared" si="1"/>
        <v>92.0754716981132</v>
      </c>
    </row>
    <row r="31" spans="1:6" ht="18" customHeight="1">
      <c r="A31" s="59"/>
      <c r="B31" s="647"/>
      <c r="C31" s="716" t="s">
        <v>784</v>
      </c>
      <c r="D31" s="704">
        <v>0</v>
      </c>
      <c r="E31" s="704">
        <v>154744.31</v>
      </c>
      <c r="F31" s="728" t="s">
        <v>313</v>
      </c>
    </row>
    <row r="32" spans="1:6" s="639" customFormat="1" ht="33" customHeight="1">
      <c r="A32" s="706" t="s">
        <v>785</v>
      </c>
      <c r="B32" s="707"/>
      <c r="C32" s="708" t="s">
        <v>1106</v>
      </c>
      <c r="D32" s="709">
        <f>SUM(D8+D9-D16)</f>
        <v>0</v>
      </c>
      <c r="E32" s="709">
        <f>SUM(E8+E9-E16)</f>
        <v>200.31999999994878</v>
      </c>
      <c r="F32" s="710" t="s">
        <v>349</v>
      </c>
    </row>
    <row r="33" spans="1:6" ht="18" customHeight="1" thickBot="1">
      <c r="A33" s="1592" t="s">
        <v>786</v>
      </c>
      <c r="B33" s="1593"/>
      <c r="C33" s="1593"/>
      <c r="D33" s="734">
        <f>D32+D16</f>
        <v>522217</v>
      </c>
      <c r="E33" s="734">
        <f>E32+E16</f>
        <v>495877.62</v>
      </c>
      <c r="F33" s="735">
        <f>E33/D33*100</f>
        <v>94.9562384985552</v>
      </c>
    </row>
    <row r="34" spans="3:5" ht="12.75">
      <c r="C34" s="36" t="s">
        <v>193</v>
      </c>
      <c r="D34" s="35">
        <f>D15-D33</f>
        <v>0</v>
      </c>
      <c r="E34" s="35">
        <f>E15-E33</f>
        <v>0</v>
      </c>
    </row>
  </sheetData>
  <sheetProtection password="CF93" sheet="1" formatRows="0" insertColumns="0" insertRows="0" insertHyperlinks="0" deleteColumns="0" deleteRows="0" sort="0" autoFilter="0" pivotTables="0"/>
  <mergeCells count="5">
    <mergeCell ref="A15:C15"/>
    <mergeCell ref="A33:C33"/>
    <mergeCell ref="A3:F3"/>
    <mergeCell ref="E1:F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E38"/>
  <sheetViews>
    <sheetView view="pageBreakPreview" zoomScaleSheetLayoutView="100" zoomScalePageLayoutView="0" workbookViewId="0" topLeftCell="A11">
      <selection activeCell="A30" sqref="A1:IV16384"/>
    </sheetView>
  </sheetViews>
  <sheetFormatPr defaultColWidth="9.00390625" defaultRowHeight="15.75" customHeight="1"/>
  <cols>
    <col min="1" max="1" width="4.875" style="43" customWidth="1"/>
    <col min="2" max="2" width="52.75390625" style="36" customWidth="1"/>
    <col min="3" max="4" width="11.75390625" style="36" customWidth="1"/>
    <col min="5" max="5" width="5.375" style="36" customWidth="1"/>
    <col min="6" max="16384" width="9.125" style="36" customWidth="1"/>
  </cols>
  <sheetData>
    <row r="1" spans="4:5" ht="15.75" customHeight="1">
      <c r="D1" s="1436" t="s">
        <v>863</v>
      </c>
      <c r="E1" s="1436"/>
    </row>
    <row r="3" spans="1:5" ht="15.75" customHeight="1">
      <c r="A3" s="1357" t="s">
        <v>192</v>
      </c>
      <c r="B3" s="1357"/>
      <c r="C3" s="1357"/>
      <c r="D3" s="1357"/>
      <c r="E3" s="1357"/>
    </row>
    <row r="4" ht="17.25" customHeight="1"/>
    <row r="5" spans="1:5" ht="12.75" customHeight="1" thickBot="1">
      <c r="A5" s="1591" t="s">
        <v>953</v>
      </c>
      <c r="B5" s="1591"/>
      <c r="E5" s="44" t="s">
        <v>1426</v>
      </c>
    </row>
    <row r="6" spans="1:5" s="46" customFormat="1" ht="15.75" customHeight="1">
      <c r="A6" s="48" t="s">
        <v>338</v>
      </c>
      <c r="B6" s="49" t="s">
        <v>1428</v>
      </c>
      <c r="C6" s="49" t="s">
        <v>1429</v>
      </c>
      <c r="D6" s="49" t="s">
        <v>1430</v>
      </c>
      <c r="E6" s="1005" t="s">
        <v>1431</v>
      </c>
    </row>
    <row r="7" spans="1:5" s="639" customFormat="1" ht="10.5" customHeight="1" thickBot="1">
      <c r="A7" s="1035">
        <v>1</v>
      </c>
      <c r="B7" s="1036">
        <v>2</v>
      </c>
      <c r="C7" s="1036">
        <v>3</v>
      </c>
      <c r="D7" s="1036">
        <v>4</v>
      </c>
      <c r="E7" s="1037">
        <v>5</v>
      </c>
    </row>
    <row r="8" spans="1:5" s="639" customFormat="1" ht="19.5" customHeight="1" thickBot="1">
      <c r="A8" s="1097" t="s">
        <v>727</v>
      </c>
      <c r="B8" s="1098" t="s">
        <v>355</v>
      </c>
      <c r="C8" s="1099">
        <v>126553.9</v>
      </c>
      <c r="D8" s="1099">
        <v>126553.9</v>
      </c>
      <c r="E8" s="1100" t="s">
        <v>349</v>
      </c>
    </row>
    <row r="9" spans="1:5" ht="19.5" customHeight="1">
      <c r="A9" s="56" t="s">
        <v>728</v>
      </c>
      <c r="B9" s="1025" t="s">
        <v>329</v>
      </c>
      <c r="C9" s="1012">
        <f>SUM(C10,C13)</f>
        <v>2609695</v>
      </c>
      <c r="D9" s="1012">
        <f>SUM(D10,D13)</f>
        <v>2611443.14</v>
      </c>
      <c r="E9" s="724">
        <f>D9/C9*100</f>
        <v>100.06698637197067</v>
      </c>
    </row>
    <row r="10" spans="1:5" ht="19.5" customHeight="1">
      <c r="A10" s="725" t="s">
        <v>341</v>
      </c>
      <c r="B10" s="715" t="s">
        <v>350</v>
      </c>
      <c r="C10" s="1017">
        <f>SUM(C11,C12)</f>
        <v>1905695</v>
      </c>
      <c r="D10" s="1017">
        <f>SUM(D11,D12)</f>
        <v>1905695</v>
      </c>
      <c r="E10" s="698">
        <f>D10/C10*100</f>
        <v>100</v>
      </c>
    </row>
    <row r="11" spans="1:5" s="42" customFormat="1" ht="19.5" customHeight="1">
      <c r="A11" s="1018" t="s">
        <v>153</v>
      </c>
      <c r="B11" s="1101" t="s">
        <v>826</v>
      </c>
      <c r="C11" s="1020">
        <v>1845695</v>
      </c>
      <c r="D11" s="1020">
        <v>1845695</v>
      </c>
      <c r="E11" s="1102">
        <f>D11/C11*100</f>
        <v>100</v>
      </c>
    </row>
    <row r="12" spans="1:5" s="42" customFormat="1" ht="19.5" customHeight="1">
      <c r="A12" s="1018" t="s">
        <v>154</v>
      </c>
      <c r="B12" s="1101" t="s">
        <v>827</v>
      </c>
      <c r="C12" s="1020">
        <v>60000</v>
      </c>
      <c r="D12" s="1020">
        <v>60000</v>
      </c>
      <c r="E12" s="1102">
        <f>D12/C12*100</f>
        <v>100</v>
      </c>
    </row>
    <row r="13" spans="1:5" ht="19.5" customHeight="1" thickBot="1">
      <c r="A13" s="1106" t="s">
        <v>342</v>
      </c>
      <c r="B13" s="1107" t="s">
        <v>1274</v>
      </c>
      <c r="C13" s="1108">
        <v>704000</v>
      </c>
      <c r="D13" s="1108">
        <v>705748.14</v>
      </c>
      <c r="E13" s="705">
        <f>D13/C13*100</f>
        <v>100.2483153409091</v>
      </c>
    </row>
    <row r="14" spans="1:5" s="42" customFormat="1" ht="19.5" customHeight="1" hidden="1" thickBot="1">
      <c r="A14" s="1103" t="s">
        <v>157</v>
      </c>
      <c r="B14" s="1104" t="s">
        <v>474</v>
      </c>
      <c r="C14" s="1105">
        <v>0</v>
      </c>
      <c r="D14" s="1105">
        <v>0</v>
      </c>
      <c r="E14" s="67" t="s">
        <v>313</v>
      </c>
    </row>
    <row r="15" spans="1:5" s="639" customFormat="1" ht="19.5" customHeight="1" thickBot="1">
      <c r="A15" s="1589" t="s">
        <v>733</v>
      </c>
      <c r="B15" s="1590"/>
      <c r="C15" s="1023">
        <f>SUM(C8,C9)</f>
        <v>2736248.9</v>
      </c>
      <c r="D15" s="1046">
        <f>SUM(D8,D9)</f>
        <v>2737997.04</v>
      </c>
      <c r="E15" s="701">
        <f aca="true" t="shared" si="0" ref="E15:E28">D15/C15*100</f>
        <v>100.06388819379698</v>
      </c>
    </row>
    <row r="16" spans="1:5" s="639" customFormat="1" ht="19.5" customHeight="1">
      <c r="A16" s="56" t="s">
        <v>735</v>
      </c>
      <c r="B16" s="1025" t="s">
        <v>1101</v>
      </c>
      <c r="C16" s="1012">
        <f>SUM(C17,C18,C19,C20,C21,C22,C23,C24,C25,C26,C27,C28)</f>
        <v>2672475</v>
      </c>
      <c r="D16" s="1012">
        <f>SUM(D17,D18,D19,D20,D21,D22,D23,D24,D25,D26,D27,D28)</f>
        <v>2668431.68</v>
      </c>
      <c r="E16" s="724">
        <f t="shared" si="0"/>
        <v>99.84870503933621</v>
      </c>
    </row>
    <row r="17" spans="1:5" ht="19.5" customHeight="1">
      <c r="A17" s="725" t="s">
        <v>341</v>
      </c>
      <c r="B17" s="727" t="s">
        <v>738</v>
      </c>
      <c r="C17" s="1017">
        <v>922650</v>
      </c>
      <c r="D17" s="1017">
        <v>922590.07</v>
      </c>
      <c r="E17" s="698">
        <f t="shared" si="0"/>
        <v>99.99350457920121</v>
      </c>
    </row>
    <row r="18" spans="1:5" ht="19.5" customHeight="1">
      <c r="A18" s="725" t="s">
        <v>342</v>
      </c>
      <c r="B18" s="727" t="s">
        <v>1222</v>
      </c>
      <c r="C18" s="1017">
        <v>141000</v>
      </c>
      <c r="D18" s="1017">
        <v>141084.93</v>
      </c>
      <c r="E18" s="698">
        <f t="shared" si="0"/>
        <v>100.06023404255318</v>
      </c>
    </row>
    <row r="19" spans="1:5" ht="19.5" customHeight="1">
      <c r="A19" s="725" t="s">
        <v>433</v>
      </c>
      <c r="B19" s="727" t="s">
        <v>771</v>
      </c>
      <c r="C19" s="1017">
        <v>30175</v>
      </c>
      <c r="D19" s="1017">
        <v>28773.19</v>
      </c>
      <c r="E19" s="698">
        <f t="shared" si="0"/>
        <v>95.35439933719967</v>
      </c>
    </row>
    <row r="20" spans="1:5" ht="19.5" customHeight="1">
      <c r="A20" s="725" t="s">
        <v>440</v>
      </c>
      <c r="B20" s="727" t="s">
        <v>748</v>
      </c>
      <c r="C20" s="1017">
        <v>76000</v>
      </c>
      <c r="D20" s="1017">
        <v>75541.54</v>
      </c>
      <c r="E20" s="698">
        <f t="shared" si="0"/>
        <v>99.39676315789472</v>
      </c>
    </row>
    <row r="21" spans="1:5" ht="19.5" customHeight="1">
      <c r="A21" s="725" t="s">
        <v>441</v>
      </c>
      <c r="B21" s="727" t="s">
        <v>749</v>
      </c>
      <c r="C21" s="1017">
        <v>371500</v>
      </c>
      <c r="D21" s="1017">
        <v>370403.96</v>
      </c>
      <c r="E21" s="698">
        <f t="shared" si="0"/>
        <v>99.70496904441454</v>
      </c>
    </row>
    <row r="22" spans="1:5" ht="19.5" customHeight="1">
      <c r="A22" s="725" t="s">
        <v>442</v>
      </c>
      <c r="B22" s="727" t="s">
        <v>352</v>
      </c>
      <c r="C22" s="1017">
        <v>22600</v>
      </c>
      <c r="D22" s="1017">
        <v>22515.13</v>
      </c>
      <c r="E22" s="698">
        <f t="shared" si="0"/>
        <v>99.62446902654868</v>
      </c>
    </row>
    <row r="23" spans="1:5" ht="19.5" customHeight="1">
      <c r="A23" s="725" t="s">
        <v>529</v>
      </c>
      <c r="B23" s="727" t="s">
        <v>1275</v>
      </c>
      <c r="C23" s="1017">
        <v>107600</v>
      </c>
      <c r="D23" s="1017">
        <v>107526.51</v>
      </c>
      <c r="E23" s="698">
        <f t="shared" si="0"/>
        <v>99.93170074349442</v>
      </c>
    </row>
    <row r="24" spans="1:5" ht="19.5" customHeight="1">
      <c r="A24" s="725" t="s">
        <v>530</v>
      </c>
      <c r="B24" s="727" t="s">
        <v>769</v>
      </c>
      <c r="C24" s="1017">
        <v>1600</v>
      </c>
      <c r="D24" s="1017">
        <v>1535.95</v>
      </c>
      <c r="E24" s="698">
        <f t="shared" si="0"/>
        <v>95.996875</v>
      </c>
    </row>
    <row r="25" spans="1:5" ht="19.5" customHeight="1">
      <c r="A25" s="725" t="s">
        <v>443</v>
      </c>
      <c r="B25" s="727" t="s">
        <v>770</v>
      </c>
      <c r="C25" s="1017">
        <v>86350</v>
      </c>
      <c r="D25" s="1017">
        <v>86302.06</v>
      </c>
      <c r="E25" s="698">
        <f t="shared" si="0"/>
        <v>99.94448176027794</v>
      </c>
    </row>
    <row r="26" spans="1:5" ht="19.5" customHeight="1">
      <c r="A26" s="725" t="s">
        <v>445</v>
      </c>
      <c r="B26" s="727" t="s">
        <v>353</v>
      </c>
      <c r="C26" s="1017">
        <v>61000</v>
      </c>
      <c r="D26" s="1017">
        <v>61000</v>
      </c>
      <c r="E26" s="698">
        <f t="shared" si="0"/>
        <v>100</v>
      </c>
    </row>
    <row r="27" spans="1:5" ht="19.5" customHeight="1">
      <c r="A27" s="725" t="s">
        <v>531</v>
      </c>
      <c r="B27" s="727" t="s">
        <v>472</v>
      </c>
      <c r="C27" s="1017">
        <v>692000</v>
      </c>
      <c r="D27" s="1017">
        <v>691086.78</v>
      </c>
      <c r="E27" s="698">
        <f t="shared" si="0"/>
        <v>99.86803179190751</v>
      </c>
    </row>
    <row r="28" spans="1:5" ht="19.5" customHeight="1" thickBot="1">
      <c r="A28" s="725" t="s">
        <v>446</v>
      </c>
      <c r="B28" s="727" t="s">
        <v>473</v>
      </c>
      <c r="C28" s="1017">
        <v>160000</v>
      </c>
      <c r="D28" s="1017">
        <v>160071.56</v>
      </c>
      <c r="E28" s="698">
        <f t="shared" si="0"/>
        <v>100.04472499999999</v>
      </c>
    </row>
    <row r="29" spans="1:5" s="639" customFormat="1" ht="19.5" customHeight="1" thickBot="1">
      <c r="A29" s="1109" t="s">
        <v>785</v>
      </c>
      <c r="B29" s="1044" t="s">
        <v>354</v>
      </c>
      <c r="C29" s="1110">
        <f>C8+C9-C16</f>
        <v>63773.89999999991</v>
      </c>
      <c r="D29" s="1110">
        <f>D8+D9-D16</f>
        <v>69565.35999999987</v>
      </c>
      <c r="E29" s="1100" t="s">
        <v>349</v>
      </c>
    </row>
    <row r="30" spans="1:5" s="639" customFormat="1" ht="20.25" customHeight="1" thickBot="1">
      <c r="A30" s="1589" t="s">
        <v>786</v>
      </c>
      <c r="B30" s="1595"/>
      <c r="C30" s="1023">
        <f>SUM(C16,C29)</f>
        <v>2736248.9</v>
      </c>
      <c r="D30" s="1023">
        <f>SUM(D16,D29)</f>
        <v>2737997.04</v>
      </c>
      <c r="E30" s="1047">
        <f>D30/C30*100</f>
        <v>100.06388819379698</v>
      </c>
    </row>
    <row r="31" spans="2:4" ht="15.75" customHeight="1">
      <c r="B31" s="44" t="s">
        <v>193</v>
      </c>
      <c r="C31" s="1048">
        <f>C15-C30</f>
        <v>0</v>
      </c>
      <c r="D31" s="1048">
        <f>D15-D30</f>
        <v>0</v>
      </c>
    </row>
    <row r="32" spans="3:4" ht="15.75" customHeight="1">
      <c r="C32" s="44"/>
      <c r="D32" s="44"/>
    </row>
    <row r="33" spans="3:4" ht="15.75" customHeight="1">
      <c r="C33" s="44"/>
      <c r="D33" s="44"/>
    </row>
    <row r="34" spans="3:4" ht="15.75" customHeight="1">
      <c r="C34" s="44"/>
      <c r="D34" s="44"/>
    </row>
    <row r="35" spans="3:4" ht="15.75" customHeight="1">
      <c r="C35" s="44"/>
      <c r="D35" s="44"/>
    </row>
    <row r="36" spans="3:4" ht="15.75" customHeight="1">
      <c r="C36" s="44"/>
      <c r="D36" s="44"/>
    </row>
    <row r="37" spans="3:4" ht="15.75" customHeight="1">
      <c r="C37" s="44"/>
      <c r="D37" s="44"/>
    </row>
    <row r="38" spans="3:4" ht="15.75" customHeight="1">
      <c r="C38" s="44"/>
      <c r="D38" s="44"/>
    </row>
  </sheetData>
  <sheetProtection password="CF93" sheet="1" formatRows="0" insertColumns="0" insertRows="0" insertHyperlinks="0" deleteColumns="0" deleteRows="0" sort="0" autoFilter="0" pivotTables="0"/>
  <mergeCells count="5">
    <mergeCell ref="A3:E3"/>
    <mergeCell ref="A15:B15"/>
    <mergeCell ref="A30:B30"/>
    <mergeCell ref="D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E35"/>
  <sheetViews>
    <sheetView view="pageBreakPreview" zoomScaleSheetLayoutView="100" workbookViewId="0" topLeftCell="A1">
      <selection activeCell="H22" sqref="H22"/>
    </sheetView>
  </sheetViews>
  <sheetFormatPr defaultColWidth="9.00390625" defaultRowHeight="12.75"/>
  <cols>
    <col min="1" max="1" width="4.875" style="43" customWidth="1"/>
    <col min="2" max="2" width="51.625" style="36" customWidth="1"/>
    <col min="3" max="3" width="12.625" style="1000" customWidth="1"/>
    <col min="4" max="4" width="11.625" style="1000" customWidth="1"/>
    <col min="5" max="5" width="6.375" style="1001" customWidth="1"/>
    <col min="6" max="16384" width="9.125" style="36" customWidth="1"/>
  </cols>
  <sheetData>
    <row r="1" spans="4:5" ht="12.75">
      <c r="D1" s="1436" t="s">
        <v>862</v>
      </c>
      <c r="E1" s="1436"/>
    </row>
    <row r="3" spans="1:5" ht="12.75">
      <c r="A3" s="1357" t="s">
        <v>426</v>
      </c>
      <c r="B3" s="1357"/>
      <c r="C3" s="1357"/>
      <c r="D3" s="1357"/>
      <c r="E3" s="1357"/>
    </row>
    <row r="5" spans="1:5" ht="13.5" thickBot="1">
      <c r="A5" s="1591" t="s">
        <v>686</v>
      </c>
      <c r="B5" s="1591"/>
      <c r="E5" s="1001" t="s">
        <v>1426</v>
      </c>
    </row>
    <row r="6" spans="1:5" s="1006" customFormat="1" ht="18" customHeight="1">
      <c r="A6" s="1002" t="s">
        <v>338</v>
      </c>
      <c r="B6" s="1003" t="s">
        <v>1428</v>
      </c>
      <c r="C6" s="1004" t="s">
        <v>1429</v>
      </c>
      <c r="D6" s="1004" t="s">
        <v>1430</v>
      </c>
      <c r="E6" s="1005" t="s">
        <v>1431</v>
      </c>
    </row>
    <row r="7" spans="1:5" s="1006" customFormat="1" ht="10.5" customHeight="1" thickBot="1">
      <c r="A7" s="1007">
        <v>1</v>
      </c>
      <c r="B7" s="1008">
        <v>2</v>
      </c>
      <c r="C7" s="1009">
        <v>3</v>
      </c>
      <c r="D7" s="1009">
        <v>4</v>
      </c>
      <c r="E7" s="1010">
        <v>5</v>
      </c>
    </row>
    <row r="8" spans="1:5" s="1006" customFormat="1" ht="18" customHeight="1">
      <c r="A8" s="56" t="s">
        <v>727</v>
      </c>
      <c r="B8" s="1011" t="s">
        <v>355</v>
      </c>
      <c r="C8" s="1012">
        <v>30012</v>
      </c>
      <c r="D8" s="1012">
        <v>30012.56</v>
      </c>
      <c r="E8" s="690" t="s">
        <v>349</v>
      </c>
    </row>
    <row r="9" spans="1:5" s="1016" customFormat="1" ht="18" customHeight="1">
      <c r="A9" s="718" t="s">
        <v>728</v>
      </c>
      <c r="B9" s="1013" t="s">
        <v>329</v>
      </c>
      <c r="C9" s="1014">
        <f>SUM(C10,C13,C16)</f>
        <v>1219940</v>
      </c>
      <c r="D9" s="1014">
        <f>SUM(D10,D13,D16)</f>
        <v>1212467.14</v>
      </c>
      <c r="E9" s="1015">
        <f aca="true" t="shared" si="0" ref="E9:E32">D9/C9*100</f>
        <v>99.38744036591962</v>
      </c>
    </row>
    <row r="10" spans="1:5" s="590" customFormat="1" ht="18" customHeight="1">
      <c r="A10" s="725" t="s">
        <v>341</v>
      </c>
      <c r="B10" s="715" t="s">
        <v>1104</v>
      </c>
      <c r="C10" s="1017">
        <f>SUM(C11,C12)</f>
        <v>40000</v>
      </c>
      <c r="D10" s="1017">
        <f>SUM(D11,D12)</f>
        <v>32527.14</v>
      </c>
      <c r="E10" s="733">
        <f t="shared" si="0"/>
        <v>81.31785</v>
      </c>
    </row>
    <row r="11" spans="1:5" s="1021" customFormat="1" ht="18" customHeight="1">
      <c r="A11" s="1018" t="s">
        <v>153</v>
      </c>
      <c r="B11" s="1019" t="s">
        <v>390</v>
      </c>
      <c r="C11" s="1020">
        <v>20000</v>
      </c>
      <c r="D11" s="1020">
        <v>22092</v>
      </c>
      <c r="E11" s="733">
        <f t="shared" si="0"/>
        <v>110.46000000000001</v>
      </c>
    </row>
    <row r="12" spans="1:5" s="1021" customFormat="1" ht="18" customHeight="1">
      <c r="A12" s="1018" t="s">
        <v>154</v>
      </c>
      <c r="B12" s="1019" t="s">
        <v>444</v>
      </c>
      <c r="C12" s="1020">
        <v>20000</v>
      </c>
      <c r="D12" s="1020">
        <v>10435.14</v>
      </c>
      <c r="E12" s="733">
        <f t="shared" si="0"/>
        <v>52.175700000000006</v>
      </c>
    </row>
    <row r="13" spans="1:5" s="590" customFormat="1" ht="18" customHeight="1">
      <c r="A13" s="725" t="s">
        <v>342</v>
      </c>
      <c r="B13" s="727" t="s">
        <v>146</v>
      </c>
      <c r="C13" s="1017">
        <f>SUM(C14,C15)</f>
        <v>1170500</v>
      </c>
      <c r="D13" s="1017">
        <f>SUM(D14,D15)</f>
        <v>1170500</v>
      </c>
      <c r="E13" s="733">
        <f t="shared" si="0"/>
        <v>100</v>
      </c>
    </row>
    <row r="14" spans="1:5" s="1021" customFormat="1" ht="18" customHeight="1" hidden="1">
      <c r="A14" s="1018" t="s">
        <v>156</v>
      </c>
      <c r="B14" s="1019" t="s">
        <v>393</v>
      </c>
      <c r="C14" s="1020">
        <v>1170500</v>
      </c>
      <c r="D14" s="1020">
        <v>1170500</v>
      </c>
      <c r="E14" s="733">
        <f t="shared" si="0"/>
        <v>100</v>
      </c>
    </row>
    <row r="15" spans="1:5" s="1021" customFormat="1" ht="18" customHeight="1" hidden="1">
      <c r="A15" s="1018" t="s">
        <v>157</v>
      </c>
      <c r="B15" s="1019" t="s">
        <v>399</v>
      </c>
      <c r="C15" s="1020">
        <v>0</v>
      </c>
      <c r="D15" s="1020">
        <v>0</v>
      </c>
      <c r="E15" s="1022" t="e">
        <f t="shared" si="0"/>
        <v>#DIV/0!</v>
      </c>
    </row>
    <row r="16" spans="1:5" s="590" customFormat="1" ht="18" customHeight="1" thickBot="1">
      <c r="A16" s="1033" t="s">
        <v>433</v>
      </c>
      <c r="B16" s="1034" t="s">
        <v>267</v>
      </c>
      <c r="C16" s="1029">
        <v>9440</v>
      </c>
      <c r="D16" s="1029">
        <v>9440</v>
      </c>
      <c r="E16" s="733">
        <f>D16/C16*100</f>
        <v>100</v>
      </c>
    </row>
    <row r="17" spans="1:5" s="1016" customFormat="1" ht="18" customHeight="1" thickBot="1">
      <c r="A17" s="1586" t="s">
        <v>733</v>
      </c>
      <c r="B17" s="1587"/>
      <c r="C17" s="1023">
        <f>SUM(C8,C9)</f>
        <v>1249952</v>
      </c>
      <c r="D17" s="1023">
        <f>SUM(D8,D9)</f>
        <v>1242479.7</v>
      </c>
      <c r="E17" s="1024">
        <f t="shared" si="0"/>
        <v>99.4021930442129</v>
      </c>
    </row>
    <row r="18" spans="1:5" s="1016" customFormat="1" ht="18" customHeight="1">
      <c r="A18" s="56" t="s">
        <v>735</v>
      </c>
      <c r="B18" s="1025" t="s">
        <v>1101</v>
      </c>
      <c r="C18" s="1012">
        <f>SUM(C19,C20,C21,C22,C23,C26,C27,C28,C29,C30,C31,C32)</f>
        <v>1235500</v>
      </c>
      <c r="D18" s="1012">
        <f>SUM(D19,D20,D21,D22,D23,D26,D27,D28,D29,D30,D31,D32)</f>
        <v>1229608.6400000001</v>
      </c>
      <c r="E18" s="58">
        <f t="shared" si="0"/>
        <v>99.52315985431001</v>
      </c>
    </row>
    <row r="19" spans="1:5" s="590" customFormat="1" ht="18" customHeight="1">
      <c r="A19" s="725" t="s">
        <v>341</v>
      </c>
      <c r="B19" s="715" t="s">
        <v>173</v>
      </c>
      <c r="C19" s="1017">
        <v>114000</v>
      </c>
      <c r="D19" s="1017">
        <v>113014.93</v>
      </c>
      <c r="E19" s="733">
        <f t="shared" si="0"/>
        <v>99.13590350877193</v>
      </c>
    </row>
    <row r="20" spans="1:5" ht="18" customHeight="1">
      <c r="A20" s="725" t="s">
        <v>342</v>
      </c>
      <c r="B20" s="727" t="s">
        <v>1219</v>
      </c>
      <c r="C20" s="1017">
        <v>53000</v>
      </c>
      <c r="D20" s="1017">
        <v>52294.58</v>
      </c>
      <c r="E20" s="733">
        <f t="shared" si="0"/>
        <v>98.66901886792454</v>
      </c>
    </row>
    <row r="21" spans="1:5" ht="18" customHeight="1">
      <c r="A21" s="725" t="s">
        <v>433</v>
      </c>
      <c r="B21" s="727" t="s">
        <v>1220</v>
      </c>
      <c r="C21" s="1017">
        <v>97000</v>
      </c>
      <c r="D21" s="1017">
        <v>96818.77</v>
      </c>
      <c r="E21" s="733">
        <f t="shared" si="0"/>
        <v>99.81316494845362</v>
      </c>
    </row>
    <row r="22" spans="1:5" ht="18" customHeight="1">
      <c r="A22" s="725" t="s">
        <v>440</v>
      </c>
      <c r="B22" s="727" t="s">
        <v>174</v>
      </c>
      <c r="C22" s="1017">
        <v>30000</v>
      </c>
      <c r="D22" s="1017">
        <v>28486.96</v>
      </c>
      <c r="E22" s="733">
        <f t="shared" si="0"/>
        <v>94.95653333333333</v>
      </c>
    </row>
    <row r="23" spans="1:5" ht="18" customHeight="1">
      <c r="A23" s="725" t="s">
        <v>441</v>
      </c>
      <c r="B23" s="727" t="s">
        <v>175</v>
      </c>
      <c r="C23" s="1017">
        <v>721400</v>
      </c>
      <c r="D23" s="1017">
        <v>721339.88</v>
      </c>
      <c r="E23" s="733">
        <f t="shared" si="0"/>
        <v>99.99166620460215</v>
      </c>
    </row>
    <row r="24" spans="1:5" s="42" customFormat="1" ht="18" customHeight="1">
      <c r="A24" s="1018" t="s">
        <v>1184</v>
      </c>
      <c r="B24" s="1019" t="s">
        <v>391</v>
      </c>
      <c r="C24" s="1020">
        <v>690100</v>
      </c>
      <c r="D24" s="1020">
        <v>690039.88</v>
      </c>
      <c r="E24" s="1022">
        <f t="shared" si="0"/>
        <v>99.99128821909868</v>
      </c>
    </row>
    <row r="25" spans="1:5" s="42" customFormat="1" ht="18" customHeight="1">
      <c r="A25" s="1018" t="s">
        <v>1186</v>
      </c>
      <c r="B25" s="1019" t="s">
        <v>392</v>
      </c>
      <c r="C25" s="1020">
        <v>31300</v>
      </c>
      <c r="D25" s="1020">
        <v>31300</v>
      </c>
      <c r="E25" s="1022">
        <f t="shared" si="0"/>
        <v>100</v>
      </c>
    </row>
    <row r="26" spans="1:5" ht="18" customHeight="1">
      <c r="A26" s="725" t="s">
        <v>442</v>
      </c>
      <c r="B26" s="727" t="s">
        <v>1222</v>
      </c>
      <c r="C26" s="1017">
        <v>122000</v>
      </c>
      <c r="D26" s="1017">
        <v>121917.26</v>
      </c>
      <c r="E26" s="733">
        <f t="shared" si="0"/>
        <v>99.93218032786885</v>
      </c>
    </row>
    <row r="27" spans="1:5" ht="18" customHeight="1">
      <c r="A27" s="725" t="s">
        <v>529</v>
      </c>
      <c r="B27" s="727" t="s">
        <v>176</v>
      </c>
      <c r="C27" s="1017">
        <v>1900</v>
      </c>
      <c r="D27" s="1017">
        <v>872.6</v>
      </c>
      <c r="E27" s="733">
        <f t="shared" si="0"/>
        <v>45.92631578947369</v>
      </c>
    </row>
    <row r="28" spans="1:5" ht="18" customHeight="1">
      <c r="A28" s="725" t="s">
        <v>530</v>
      </c>
      <c r="B28" s="727" t="s">
        <v>177</v>
      </c>
      <c r="C28" s="1017">
        <v>69000</v>
      </c>
      <c r="D28" s="1017">
        <v>67831.66</v>
      </c>
      <c r="E28" s="733">
        <f t="shared" si="0"/>
        <v>98.30675362318841</v>
      </c>
    </row>
    <row r="29" spans="1:5" ht="18" customHeight="1">
      <c r="A29" s="725" t="s">
        <v>443</v>
      </c>
      <c r="B29" s="727" t="s">
        <v>770</v>
      </c>
      <c r="C29" s="1017">
        <v>5000</v>
      </c>
      <c r="D29" s="1017">
        <v>4853</v>
      </c>
      <c r="E29" s="733">
        <f t="shared" si="0"/>
        <v>97.06</v>
      </c>
    </row>
    <row r="30" spans="1:5" ht="18.75" customHeight="1" thickBot="1">
      <c r="A30" s="1033" t="s">
        <v>445</v>
      </c>
      <c r="B30" s="1041" t="s">
        <v>771</v>
      </c>
      <c r="C30" s="1029">
        <v>22200</v>
      </c>
      <c r="D30" s="1029">
        <v>22179</v>
      </c>
      <c r="E30" s="1030">
        <f t="shared" si="0"/>
        <v>99.9054054054054</v>
      </c>
    </row>
    <row r="31" spans="1:5" ht="14.25" customHeight="1" hidden="1">
      <c r="A31" s="725" t="s">
        <v>531</v>
      </c>
      <c r="B31" s="715" t="s">
        <v>972</v>
      </c>
      <c r="C31" s="1026"/>
      <c r="D31" s="1017"/>
      <c r="E31" s="733" t="e">
        <f t="shared" si="0"/>
        <v>#DIV/0!</v>
      </c>
    </row>
    <row r="32" spans="1:5" ht="20.25" customHeight="1" hidden="1" thickBot="1">
      <c r="A32" s="1027" t="s">
        <v>531</v>
      </c>
      <c r="B32" s="1028" t="s">
        <v>972</v>
      </c>
      <c r="C32" s="1029">
        <v>0</v>
      </c>
      <c r="D32" s="1029">
        <v>0</v>
      </c>
      <c r="E32" s="1030" t="e">
        <f t="shared" si="0"/>
        <v>#DIV/0!</v>
      </c>
    </row>
    <row r="33" spans="1:5" s="1016" customFormat="1" ht="18" customHeight="1" thickBot="1">
      <c r="A33" s="706" t="s">
        <v>785</v>
      </c>
      <c r="B33" s="1031" t="s">
        <v>354</v>
      </c>
      <c r="C33" s="1032">
        <f>C8+C9-C18</f>
        <v>14452</v>
      </c>
      <c r="D33" s="1032">
        <f>D8+D9-D18</f>
        <v>12871.059999999823</v>
      </c>
      <c r="E33" s="710" t="s">
        <v>349</v>
      </c>
    </row>
    <row r="34" spans="1:5" s="639" customFormat="1" ht="18" customHeight="1" thickBot="1">
      <c r="A34" s="1586" t="s">
        <v>786</v>
      </c>
      <c r="B34" s="1587"/>
      <c r="C34" s="1023">
        <f>C18+C33</f>
        <v>1249952</v>
      </c>
      <c r="D34" s="1023">
        <f>D18+D33</f>
        <v>1242479.7</v>
      </c>
      <c r="E34" s="1024">
        <f>D34/C34*100</f>
        <v>99.4021930442129</v>
      </c>
    </row>
    <row r="35" spans="2:4" ht="12.75">
      <c r="B35" s="44" t="s">
        <v>193</v>
      </c>
      <c r="C35" s="1000">
        <f>C17-C34</f>
        <v>0</v>
      </c>
      <c r="D35" s="1000">
        <f>D17-D34</f>
        <v>0</v>
      </c>
    </row>
  </sheetData>
  <sheetProtection password="CF93" sheet="1" formatRows="0" insertColumns="0" insertRows="0" insertHyperlinks="0" deleteColumns="0" deleteRows="0" sort="0" autoFilter="0" pivotTables="0"/>
  <mergeCells count="5">
    <mergeCell ref="A3:E3"/>
    <mergeCell ref="A17:B17"/>
    <mergeCell ref="A34:B34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E40"/>
  <sheetViews>
    <sheetView view="pageBreakPreview" zoomScaleSheetLayoutView="100" zoomScalePageLayoutView="0" workbookViewId="0" topLeftCell="A1">
      <selection activeCell="H23" sqref="H23"/>
    </sheetView>
  </sheetViews>
  <sheetFormatPr defaultColWidth="9.00390625" defaultRowHeight="15.75" customHeight="1"/>
  <cols>
    <col min="1" max="1" width="4.875" style="7" customWidth="1"/>
    <col min="2" max="2" width="54.25390625" style="6" customWidth="1"/>
    <col min="3" max="3" width="11.75390625" style="6" customWidth="1"/>
    <col min="4" max="4" width="11.375" style="6" customWidth="1"/>
    <col min="5" max="5" width="5.375" style="6" customWidth="1"/>
    <col min="6" max="16384" width="9.125" style="6" customWidth="1"/>
  </cols>
  <sheetData>
    <row r="1" spans="1:5" s="36" customFormat="1" ht="15.75" customHeight="1">
      <c r="A1" s="43"/>
      <c r="D1" s="1436" t="s">
        <v>861</v>
      </c>
      <c r="E1" s="1436"/>
    </row>
    <row r="2" s="36" customFormat="1" ht="15.75" customHeight="1">
      <c r="A2" s="43"/>
    </row>
    <row r="3" spans="1:5" s="36" customFormat="1" ht="15.75" customHeight="1">
      <c r="A3" s="1357" t="s">
        <v>1102</v>
      </c>
      <c r="B3" s="1357"/>
      <c r="C3" s="1357"/>
      <c r="D3" s="1357"/>
      <c r="E3" s="1357"/>
    </row>
    <row r="4" s="36" customFormat="1" ht="11.25" customHeight="1">
      <c r="A4" s="43"/>
    </row>
    <row r="5" spans="1:5" s="36" customFormat="1" ht="15.75" customHeight="1" thickBot="1">
      <c r="A5" s="1591" t="s">
        <v>871</v>
      </c>
      <c r="B5" s="1591"/>
      <c r="E5" s="44" t="s">
        <v>1426</v>
      </c>
    </row>
    <row r="6" spans="1:5" s="46" customFormat="1" ht="18" customHeight="1">
      <c r="A6" s="48" t="s">
        <v>338</v>
      </c>
      <c r="B6" s="49" t="s">
        <v>1428</v>
      </c>
      <c r="C6" s="49" t="s">
        <v>1429</v>
      </c>
      <c r="D6" s="49" t="s">
        <v>1430</v>
      </c>
      <c r="E6" s="1005" t="s">
        <v>1431</v>
      </c>
    </row>
    <row r="7" spans="1:5" s="639" customFormat="1" ht="10.5" customHeight="1" thickBot="1">
      <c r="A7" s="1035">
        <v>1</v>
      </c>
      <c r="B7" s="1036">
        <v>2</v>
      </c>
      <c r="C7" s="1036">
        <v>3</v>
      </c>
      <c r="D7" s="1036">
        <v>4</v>
      </c>
      <c r="E7" s="1037">
        <v>5</v>
      </c>
    </row>
    <row r="8" spans="1:5" s="639" customFormat="1" ht="19.5" customHeight="1" thickBot="1">
      <c r="A8" s="1038" t="s">
        <v>727</v>
      </c>
      <c r="B8" s="1011" t="s">
        <v>355</v>
      </c>
      <c r="C8" s="1039">
        <v>220784.38</v>
      </c>
      <c r="D8" s="1039">
        <v>220784.38</v>
      </c>
      <c r="E8" s="1040" t="s">
        <v>349</v>
      </c>
    </row>
    <row r="9" spans="1:5" s="36" customFormat="1" ht="19.5" customHeight="1">
      <c r="A9" s="56" t="s">
        <v>728</v>
      </c>
      <c r="B9" s="1025" t="s">
        <v>329</v>
      </c>
      <c r="C9" s="1012">
        <f>SUM(C10:C13)</f>
        <v>485000</v>
      </c>
      <c r="D9" s="1012">
        <f>SUM(D10:D13)</f>
        <v>493056.08999999997</v>
      </c>
      <c r="E9" s="724">
        <f aca="true" t="shared" si="0" ref="E9:E28">D9/C9*100</f>
        <v>101.66104948453606</v>
      </c>
    </row>
    <row r="10" spans="1:5" s="36" customFormat="1" ht="19.5" customHeight="1">
      <c r="A10" s="725" t="s">
        <v>341</v>
      </c>
      <c r="B10" s="715" t="s">
        <v>1103</v>
      </c>
      <c r="C10" s="1017">
        <v>390000</v>
      </c>
      <c r="D10" s="1017">
        <v>390000</v>
      </c>
      <c r="E10" s="698">
        <f t="shared" si="0"/>
        <v>100</v>
      </c>
    </row>
    <row r="11" spans="1:5" s="36" customFormat="1" ht="19.5" customHeight="1">
      <c r="A11" s="725" t="s">
        <v>342</v>
      </c>
      <c r="B11" s="727" t="s">
        <v>1104</v>
      </c>
      <c r="C11" s="1017">
        <v>90000</v>
      </c>
      <c r="D11" s="1017">
        <v>72028.29</v>
      </c>
      <c r="E11" s="698">
        <f t="shared" si="0"/>
        <v>80.03143333333333</v>
      </c>
    </row>
    <row r="12" spans="1:5" s="36" customFormat="1" ht="19.5" customHeight="1">
      <c r="A12" s="725" t="s">
        <v>433</v>
      </c>
      <c r="B12" s="715" t="s">
        <v>1223</v>
      </c>
      <c r="C12" s="1017">
        <v>5000</v>
      </c>
      <c r="D12" s="1017">
        <v>6027.8</v>
      </c>
      <c r="E12" s="698">
        <f t="shared" si="0"/>
        <v>120.556</v>
      </c>
    </row>
    <row r="13" spans="1:5" s="36" customFormat="1" ht="19.5" customHeight="1" thickBot="1">
      <c r="A13" s="1033" t="s">
        <v>440</v>
      </c>
      <c r="B13" s="1041" t="s">
        <v>868</v>
      </c>
      <c r="C13" s="1029">
        <v>0</v>
      </c>
      <c r="D13" s="1029">
        <v>25000</v>
      </c>
      <c r="E13" s="1030" t="s">
        <v>313</v>
      </c>
    </row>
    <row r="14" spans="1:5" s="639" customFormat="1" ht="19.5" customHeight="1" thickBot="1">
      <c r="A14" s="1596" t="s">
        <v>733</v>
      </c>
      <c r="B14" s="1597"/>
      <c r="C14" s="1042">
        <f>SUM(C8,C9)</f>
        <v>705784.38</v>
      </c>
      <c r="D14" s="1042">
        <f>SUM(D8,D9)</f>
        <v>713840.47</v>
      </c>
      <c r="E14" s="1043">
        <f t="shared" si="0"/>
        <v>101.14143784253203</v>
      </c>
    </row>
    <row r="15" spans="1:5" s="639" customFormat="1" ht="19.5" customHeight="1">
      <c r="A15" s="56" t="s">
        <v>735</v>
      </c>
      <c r="B15" s="1025" t="s">
        <v>1101</v>
      </c>
      <c r="C15" s="1012">
        <f>SUM(C16:C30)</f>
        <v>485000</v>
      </c>
      <c r="D15" s="1012">
        <f>SUM(D16:D30)</f>
        <v>542661.05</v>
      </c>
      <c r="E15" s="724">
        <f t="shared" si="0"/>
        <v>111.8888762886598</v>
      </c>
    </row>
    <row r="16" spans="1:5" s="36" customFormat="1" ht="19.5" customHeight="1">
      <c r="A16" s="725" t="s">
        <v>341</v>
      </c>
      <c r="B16" s="727" t="s">
        <v>738</v>
      </c>
      <c r="C16" s="1017">
        <v>338876</v>
      </c>
      <c r="D16" s="1017">
        <v>339434.01</v>
      </c>
      <c r="E16" s="698">
        <f t="shared" si="0"/>
        <v>100.16466495119158</v>
      </c>
    </row>
    <row r="17" spans="1:5" s="36" customFormat="1" ht="19.5" customHeight="1">
      <c r="A17" s="725" t="s">
        <v>342</v>
      </c>
      <c r="B17" s="727" t="s">
        <v>747</v>
      </c>
      <c r="C17" s="1017">
        <v>11500</v>
      </c>
      <c r="D17" s="1017">
        <v>8000</v>
      </c>
      <c r="E17" s="698">
        <f t="shared" si="0"/>
        <v>69.56521739130434</v>
      </c>
    </row>
    <row r="18" spans="1:5" s="36" customFormat="1" ht="19.5" customHeight="1">
      <c r="A18" s="725" t="s">
        <v>433</v>
      </c>
      <c r="B18" s="727" t="s">
        <v>506</v>
      </c>
      <c r="C18" s="1017">
        <v>1000</v>
      </c>
      <c r="D18" s="1017">
        <v>947.32</v>
      </c>
      <c r="E18" s="698">
        <f t="shared" si="0"/>
        <v>94.732</v>
      </c>
    </row>
    <row r="19" spans="1:5" s="36" customFormat="1" ht="19.5" customHeight="1">
      <c r="A19" s="725" t="s">
        <v>440</v>
      </c>
      <c r="B19" s="727" t="s">
        <v>1114</v>
      </c>
      <c r="C19" s="1017">
        <v>59919</v>
      </c>
      <c r="D19" s="1017">
        <v>62776.32</v>
      </c>
      <c r="E19" s="698">
        <f t="shared" si="0"/>
        <v>104.76863766084215</v>
      </c>
    </row>
    <row r="20" spans="1:5" s="36" customFormat="1" ht="19.5" customHeight="1">
      <c r="A20" s="725" t="s">
        <v>441</v>
      </c>
      <c r="B20" s="727" t="s">
        <v>748</v>
      </c>
      <c r="C20" s="1017">
        <v>14900</v>
      </c>
      <c r="D20" s="1017">
        <v>11144.12</v>
      </c>
      <c r="E20" s="698">
        <f t="shared" si="0"/>
        <v>74.79275167785235</v>
      </c>
    </row>
    <row r="21" spans="1:5" s="36" customFormat="1" ht="19.5" customHeight="1">
      <c r="A21" s="725" t="s">
        <v>442</v>
      </c>
      <c r="B21" s="727" t="s">
        <v>1115</v>
      </c>
      <c r="C21" s="1017">
        <v>10000</v>
      </c>
      <c r="D21" s="1017">
        <v>20805.48</v>
      </c>
      <c r="E21" s="698">
        <f t="shared" si="0"/>
        <v>208.05479999999997</v>
      </c>
    </row>
    <row r="22" spans="1:5" s="36" customFormat="1" ht="19.5" customHeight="1">
      <c r="A22" s="725" t="s">
        <v>529</v>
      </c>
      <c r="B22" s="727" t="s">
        <v>750</v>
      </c>
      <c r="C22" s="1017">
        <v>0</v>
      </c>
      <c r="D22" s="1017">
        <v>5825.52</v>
      </c>
      <c r="E22" s="733" t="s">
        <v>313</v>
      </c>
    </row>
    <row r="23" spans="1:5" s="36" customFormat="1" ht="19.5" customHeight="1">
      <c r="A23" s="725" t="s">
        <v>530</v>
      </c>
      <c r="B23" s="727" t="s">
        <v>749</v>
      </c>
      <c r="C23" s="1017">
        <v>26700</v>
      </c>
      <c r="D23" s="1017">
        <v>32876.85</v>
      </c>
      <c r="E23" s="698">
        <f t="shared" si="0"/>
        <v>123.13426966292134</v>
      </c>
    </row>
    <row r="24" spans="1:5" s="36" customFormat="1" ht="19.5" customHeight="1">
      <c r="A24" s="725" t="s">
        <v>443</v>
      </c>
      <c r="B24" s="727" t="s">
        <v>764</v>
      </c>
      <c r="C24" s="1017">
        <v>17131</v>
      </c>
      <c r="D24" s="1017">
        <v>21983.77</v>
      </c>
      <c r="E24" s="698">
        <f t="shared" si="0"/>
        <v>128.32741813087384</v>
      </c>
    </row>
    <row r="25" spans="1:5" s="36" customFormat="1" ht="19.5" customHeight="1">
      <c r="A25" s="725" t="s">
        <v>445</v>
      </c>
      <c r="B25" s="727" t="s">
        <v>1116</v>
      </c>
      <c r="C25" s="1017">
        <v>1423</v>
      </c>
      <c r="D25" s="1017">
        <v>1669</v>
      </c>
      <c r="E25" s="698">
        <f t="shared" si="0"/>
        <v>117.28742094167252</v>
      </c>
    </row>
    <row r="26" spans="1:5" s="36" customFormat="1" ht="19.5" customHeight="1">
      <c r="A26" s="725" t="s">
        <v>531</v>
      </c>
      <c r="B26" s="727" t="s">
        <v>1118</v>
      </c>
      <c r="C26" s="1017">
        <v>3500</v>
      </c>
      <c r="D26" s="1017">
        <v>4027.13</v>
      </c>
      <c r="E26" s="698">
        <f t="shared" si="0"/>
        <v>115.06085714285715</v>
      </c>
    </row>
    <row r="27" spans="1:5" s="36" customFormat="1" ht="19.5" customHeight="1">
      <c r="A27" s="725" t="s">
        <v>446</v>
      </c>
      <c r="B27" s="727" t="s">
        <v>511</v>
      </c>
      <c r="C27" s="1017">
        <v>0</v>
      </c>
      <c r="D27" s="1017">
        <v>25015.19</v>
      </c>
      <c r="E27" s="733" t="s">
        <v>313</v>
      </c>
    </row>
    <row r="28" spans="1:5" s="36" customFormat="1" ht="19.5" customHeight="1">
      <c r="A28" s="725" t="s">
        <v>447</v>
      </c>
      <c r="B28" s="727" t="s">
        <v>1119</v>
      </c>
      <c r="C28" s="1017">
        <v>51</v>
      </c>
      <c r="D28" s="1017">
        <v>111</v>
      </c>
      <c r="E28" s="698">
        <f t="shared" si="0"/>
        <v>217.6470588235294</v>
      </c>
    </row>
    <row r="29" spans="1:5" s="36" customFormat="1" ht="19.5" customHeight="1">
      <c r="A29" s="725" t="s">
        <v>532</v>
      </c>
      <c r="B29" s="727" t="s">
        <v>1288</v>
      </c>
      <c r="C29" s="1017">
        <v>0</v>
      </c>
      <c r="D29" s="1017">
        <v>2023.03</v>
      </c>
      <c r="E29" s="733" t="s">
        <v>313</v>
      </c>
    </row>
    <row r="30" spans="1:5" s="36" customFormat="1" ht="19.5" customHeight="1" thickBot="1">
      <c r="A30" s="725" t="s">
        <v>448</v>
      </c>
      <c r="B30" s="727" t="s">
        <v>1156</v>
      </c>
      <c r="C30" s="1017">
        <v>0</v>
      </c>
      <c r="D30" s="1017">
        <v>6022.31</v>
      </c>
      <c r="E30" s="733" t="s">
        <v>313</v>
      </c>
    </row>
    <row r="31" spans="1:5" s="639" customFormat="1" ht="19.5" customHeight="1" thickBot="1">
      <c r="A31" s="1038" t="s">
        <v>785</v>
      </c>
      <c r="B31" s="1044" t="s">
        <v>354</v>
      </c>
      <c r="C31" s="1045">
        <f>C8+C9-C15</f>
        <v>220784.38</v>
      </c>
      <c r="D31" s="1045">
        <f>D8+D9-D15</f>
        <v>171179.41999999993</v>
      </c>
      <c r="E31" s="1040" t="s">
        <v>349</v>
      </c>
    </row>
    <row r="32" spans="1:5" s="639" customFormat="1" ht="20.25" customHeight="1" thickBot="1">
      <c r="A32" s="1589" t="s">
        <v>786</v>
      </c>
      <c r="B32" s="1590"/>
      <c r="C32" s="1046">
        <f>SUM(C15,C31)</f>
        <v>705784.38</v>
      </c>
      <c r="D32" s="1046">
        <f>SUM(D15,D31)</f>
        <v>713840.47</v>
      </c>
      <c r="E32" s="1047">
        <f>D32/C32*100</f>
        <v>101.14143784253203</v>
      </c>
    </row>
    <row r="33" spans="1:4" s="36" customFormat="1" ht="15.75" customHeight="1">
      <c r="A33" s="43"/>
      <c r="B33" s="44" t="s">
        <v>193</v>
      </c>
      <c r="C33" s="1048"/>
      <c r="D33" s="1048">
        <f>D14-D32</f>
        <v>0</v>
      </c>
    </row>
    <row r="34" spans="3:4" ht="15.75" customHeight="1">
      <c r="C34" s="125"/>
      <c r="D34" s="125"/>
    </row>
    <row r="35" spans="3:4" ht="15.75" customHeight="1">
      <c r="C35" s="125"/>
      <c r="D35" s="125"/>
    </row>
    <row r="36" spans="3:4" ht="15.75" customHeight="1">
      <c r="C36" s="125"/>
      <c r="D36" s="125"/>
    </row>
    <row r="37" spans="3:4" ht="15.75" customHeight="1">
      <c r="C37" s="125"/>
      <c r="D37" s="125"/>
    </row>
    <row r="38" spans="3:4" ht="15.75" customHeight="1">
      <c r="C38" s="125"/>
      <c r="D38" s="125"/>
    </row>
    <row r="39" spans="3:4" ht="15.75" customHeight="1">
      <c r="C39" s="125"/>
      <c r="D39" s="125"/>
    </row>
    <row r="40" spans="3:4" ht="15.75" customHeight="1">
      <c r="C40" s="125"/>
      <c r="D40" s="125"/>
    </row>
  </sheetData>
  <sheetProtection password="CF93" sheet="1" formatRows="0" insertColumns="0" insertRows="0" insertHyperlinks="0" deleteColumns="0" deleteRows="0" sort="0" autoFilter="0" pivotTables="0"/>
  <mergeCells count="5">
    <mergeCell ref="A3:E3"/>
    <mergeCell ref="A14:B14"/>
    <mergeCell ref="A32:B32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G93"/>
  <sheetViews>
    <sheetView view="pageBreakPreview" zoomScaleSheetLayoutView="100" zoomScalePageLayoutView="0" workbookViewId="0" topLeftCell="A1">
      <pane ySplit="6" topLeftCell="BM52" activePane="bottomLeft" state="frozen"/>
      <selection pane="topLeft" activeCell="A1" sqref="A1"/>
      <selection pane="bottomLeft" activeCell="B57" sqref="B57"/>
    </sheetView>
  </sheetViews>
  <sheetFormatPr defaultColWidth="9.00390625" defaultRowHeight="12.75"/>
  <cols>
    <col min="1" max="1" width="6.375" style="133" customWidth="1"/>
    <col min="2" max="2" width="43.125" style="134" customWidth="1"/>
    <col min="3" max="3" width="14.625" style="135" customWidth="1"/>
    <col min="4" max="4" width="15.125" style="135" customWidth="1"/>
    <col min="5" max="5" width="7.375" style="134" customWidth="1"/>
    <col min="6" max="6" width="10.375" style="134" bestFit="1" customWidth="1"/>
    <col min="7" max="16384" width="9.125" style="134" customWidth="1"/>
  </cols>
  <sheetData>
    <row r="1" spans="1:5" s="1248" customFormat="1" ht="12.75">
      <c r="A1" s="1247"/>
      <c r="C1" s="1249"/>
      <c r="D1" s="1599" t="s">
        <v>860</v>
      </c>
      <c r="E1" s="1599"/>
    </row>
    <row r="2" spans="1:4" s="1248" customFormat="1" ht="6" customHeight="1">
      <c r="A2" s="1247"/>
      <c r="C2" s="1249"/>
      <c r="D2" s="1249"/>
    </row>
    <row r="3" spans="1:5" s="1248" customFormat="1" ht="24" customHeight="1">
      <c r="A3" s="1598" t="s">
        <v>357</v>
      </c>
      <c r="B3" s="1598"/>
      <c r="C3" s="1598"/>
      <c r="D3" s="1598"/>
      <c r="E3" s="1598"/>
    </row>
    <row r="4" spans="1:5" s="1248" customFormat="1" ht="11.25" customHeight="1" thickBot="1">
      <c r="A4" s="1247"/>
      <c r="C4" s="1249"/>
      <c r="D4" s="1251"/>
      <c r="E4" s="1251" t="s">
        <v>1426</v>
      </c>
    </row>
    <row r="5" spans="1:5" s="1247" customFormat="1" ht="15.75" customHeight="1">
      <c r="A5" s="1289" t="s">
        <v>338</v>
      </c>
      <c r="B5" s="1290" t="s">
        <v>1428</v>
      </c>
      <c r="C5" s="1291" t="s">
        <v>1429</v>
      </c>
      <c r="D5" s="1254" t="s">
        <v>1430</v>
      </c>
      <c r="E5" s="1255" t="s">
        <v>1431</v>
      </c>
    </row>
    <row r="6" spans="1:5" s="1295" customFormat="1" ht="9.75" customHeight="1" thickBot="1">
      <c r="A6" s="1292">
        <v>1</v>
      </c>
      <c r="B6" s="1293">
        <v>2</v>
      </c>
      <c r="C6" s="1294">
        <v>3</v>
      </c>
      <c r="D6" s="1258">
        <v>4</v>
      </c>
      <c r="E6" s="1259">
        <v>5</v>
      </c>
    </row>
    <row r="7" spans="1:5" s="1265" customFormat="1" ht="18.75" customHeight="1">
      <c r="A7" s="1296" t="s">
        <v>341</v>
      </c>
      <c r="B7" s="1297" t="s">
        <v>1074</v>
      </c>
      <c r="C7" s="1298">
        <v>429223</v>
      </c>
      <c r="D7" s="1299">
        <v>429223.24</v>
      </c>
      <c r="E7" s="1300">
        <f aca="true" t="shared" si="0" ref="E7:E58">D7/C7*100</f>
        <v>100.00005591499057</v>
      </c>
    </row>
    <row r="8" spans="1:5" s="1265" customFormat="1" ht="18.75" customHeight="1">
      <c r="A8" s="1301" t="s">
        <v>342</v>
      </c>
      <c r="B8" s="1302" t="s">
        <v>1075</v>
      </c>
      <c r="C8" s="1303">
        <f>SUM(C9:C24)</f>
        <v>3726610</v>
      </c>
      <c r="D8" s="1303">
        <f>SUM(D9,D10,D11,D12,D13,D14,D15,D16,D17,D18,D19,D20,D21,D22,D23,D24)</f>
        <v>3726610.18</v>
      </c>
      <c r="E8" s="1286">
        <f t="shared" si="0"/>
        <v>100.00000483012712</v>
      </c>
    </row>
    <row r="9" spans="1:5" s="1248" customFormat="1" ht="15.75" customHeight="1">
      <c r="A9" s="1270" t="s">
        <v>156</v>
      </c>
      <c r="B9" s="1271" t="s">
        <v>1284</v>
      </c>
      <c r="C9" s="1272">
        <v>10283</v>
      </c>
      <c r="D9" s="1272">
        <v>10283.2</v>
      </c>
      <c r="E9" s="1273">
        <f t="shared" si="0"/>
        <v>100.00194495769719</v>
      </c>
    </row>
    <row r="10" spans="1:5" s="1248" customFormat="1" ht="15.75" customHeight="1">
      <c r="A10" s="1270" t="s">
        <v>157</v>
      </c>
      <c r="B10" s="1271" t="s">
        <v>1123</v>
      </c>
      <c r="C10" s="1272">
        <v>673008</v>
      </c>
      <c r="D10" s="1272">
        <v>673007.48</v>
      </c>
      <c r="E10" s="1273">
        <f t="shared" si="0"/>
        <v>99.9999227349452</v>
      </c>
    </row>
    <row r="11" spans="1:5" s="1248" customFormat="1" ht="15.75" customHeight="1">
      <c r="A11" s="1270" t="s">
        <v>160</v>
      </c>
      <c r="B11" s="1271" t="s">
        <v>1285</v>
      </c>
      <c r="C11" s="1272">
        <v>58370</v>
      </c>
      <c r="D11" s="1272">
        <v>58370.45</v>
      </c>
      <c r="E11" s="1273">
        <f t="shared" si="0"/>
        <v>100.00077094397805</v>
      </c>
    </row>
    <row r="12" spans="1:5" s="1248" customFormat="1" ht="15.75" customHeight="1">
      <c r="A12" s="1270" t="s">
        <v>167</v>
      </c>
      <c r="B12" s="1271" t="s">
        <v>1286</v>
      </c>
      <c r="C12" s="1272">
        <v>1876</v>
      </c>
      <c r="D12" s="1272">
        <v>1875.97</v>
      </c>
      <c r="E12" s="1273">
        <f t="shared" si="0"/>
        <v>99.99840085287846</v>
      </c>
    </row>
    <row r="13" spans="1:5" s="1248" customFormat="1" ht="15.75" customHeight="1">
      <c r="A13" s="1270" t="s">
        <v>194</v>
      </c>
      <c r="B13" s="1271" t="s">
        <v>1278</v>
      </c>
      <c r="C13" s="1272">
        <v>93350</v>
      </c>
      <c r="D13" s="1272">
        <v>93348.71</v>
      </c>
      <c r="E13" s="1273">
        <f t="shared" si="0"/>
        <v>99.99861810391002</v>
      </c>
    </row>
    <row r="14" spans="1:5" s="1248" customFormat="1" ht="15.75" customHeight="1">
      <c r="A14" s="1270" t="s">
        <v>1080</v>
      </c>
      <c r="B14" s="1271" t="s">
        <v>1082</v>
      </c>
      <c r="C14" s="1272">
        <v>1321838</v>
      </c>
      <c r="D14" s="1272">
        <v>1321838.18</v>
      </c>
      <c r="E14" s="1273">
        <f t="shared" si="0"/>
        <v>100.00001361740243</v>
      </c>
    </row>
    <row r="15" spans="1:5" s="1248" customFormat="1" ht="15.75" customHeight="1">
      <c r="A15" s="1270" t="s">
        <v>1279</v>
      </c>
      <c r="B15" s="1271" t="s">
        <v>1124</v>
      </c>
      <c r="C15" s="1272">
        <v>1750</v>
      </c>
      <c r="D15" s="1272">
        <v>1749.84</v>
      </c>
      <c r="E15" s="1273">
        <f t="shared" si="0"/>
        <v>99.99085714285714</v>
      </c>
    </row>
    <row r="16" spans="1:5" s="1248" customFormat="1" ht="15.75" customHeight="1">
      <c r="A16" s="1270" t="s">
        <v>1280</v>
      </c>
      <c r="B16" s="1271" t="s">
        <v>1125</v>
      </c>
      <c r="C16" s="1272">
        <v>1229831</v>
      </c>
      <c r="D16" s="1272">
        <v>1229830.85</v>
      </c>
      <c r="E16" s="1273">
        <f t="shared" si="0"/>
        <v>99.99998780320225</v>
      </c>
    </row>
    <row r="17" spans="1:5" s="1248" customFormat="1" ht="15.75" customHeight="1">
      <c r="A17" s="1270" t="s">
        <v>1281</v>
      </c>
      <c r="B17" s="1271" t="s">
        <v>1277</v>
      </c>
      <c r="C17" s="1272">
        <v>9677</v>
      </c>
      <c r="D17" s="1272">
        <v>9676.87</v>
      </c>
      <c r="E17" s="1273">
        <f t="shared" si="0"/>
        <v>99.99865660845305</v>
      </c>
    </row>
    <row r="18" spans="1:5" s="1248" customFormat="1" ht="15.75" customHeight="1">
      <c r="A18" s="1270" t="s">
        <v>1283</v>
      </c>
      <c r="B18" s="1271" t="s">
        <v>1276</v>
      </c>
      <c r="C18" s="1272">
        <v>25787</v>
      </c>
      <c r="D18" s="1272">
        <v>25786.66</v>
      </c>
      <c r="E18" s="1273">
        <f t="shared" si="0"/>
        <v>99.99868150618528</v>
      </c>
    </row>
    <row r="19" spans="1:5" s="1248" customFormat="1" ht="15" customHeight="1">
      <c r="A19" s="1270" t="s">
        <v>1128</v>
      </c>
      <c r="B19" s="1271" t="s">
        <v>1282</v>
      </c>
      <c r="C19" s="1272">
        <v>90090</v>
      </c>
      <c r="D19" s="1272">
        <v>90089.46</v>
      </c>
      <c r="E19" s="1273">
        <f t="shared" si="0"/>
        <v>99.99940059940062</v>
      </c>
    </row>
    <row r="20" spans="1:5" s="1248" customFormat="1" ht="15" customHeight="1">
      <c r="A20" s="1270" t="s">
        <v>1129</v>
      </c>
      <c r="B20" s="1271" t="s">
        <v>1126</v>
      </c>
      <c r="C20" s="1272">
        <v>5690</v>
      </c>
      <c r="D20" s="1272">
        <v>5689.45</v>
      </c>
      <c r="E20" s="1273">
        <f t="shared" si="0"/>
        <v>99.99033391915641</v>
      </c>
    </row>
    <row r="21" spans="1:5" s="1248" customFormat="1" ht="15" customHeight="1">
      <c r="A21" s="1270" t="s">
        <v>1130</v>
      </c>
      <c r="B21" s="1271" t="s">
        <v>1380</v>
      </c>
      <c r="C21" s="1272">
        <v>55370</v>
      </c>
      <c r="D21" s="1272">
        <v>55372.11</v>
      </c>
      <c r="E21" s="1273">
        <f t="shared" si="0"/>
        <v>100.00381072783095</v>
      </c>
    </row>
    <row r="22" spans="1:5" s="1248" customFormat="1" ht="15" customHeight="1">
      <c r="A22" s="1270" t="s">
        <v>1131</v>
      </c>
      <c r="B22" s="1271" t="s">
        <v>475</v>
      </c>
      <c r="C22" s="1272">
        <v>132096</v>
      </c>
      <c r="D22" s="1272">
        <v>132095.4</v>
      </c>
      <c r="E22" s="1273">
        <f t="shared" si="0"/>
        <v>99.99954578488371</v>
      </c>
    </row>
    <row r="23" spans="1:5" s="1248" customFormat="1" ht="15" customHeight="1">
      <c r="A23" s="1270" t="s">
        <v>1243</v>
      </c>
      <c r="B23" s="1271" t="s">
        <v>1157</v>
      </c>
      <c r="C23" s="1272">
        <v>15546</v>
      </c>
      <c r="D23" s="1272">
        <v>15546.91</v>
      </c>
      <c r="E23" s="1273">
        <f t="shared" si="0"/>
        <v>100.00585359578027</v>
      </c>
    </row>
    <row r="24" spans="1:5" s="1248" customFormat="1" ht="15" customHeight="1">
      <c r="A24" s="1270" t="s">
        <v>476</v>
      </c>
      <c r="B24" s="1275" t="s">
        <v>1127</v>
      </c>
      <c r="C24" s="1276">
        <v>2048</v>
      </c>
      <c r="D24" s="1276">
        <v>2048.64</v>
      </c>
      <c r="E24" s="1277">
        <f t="shared" si="0"/>
        <v>100.03125</v>
      </c>
    </row>
    <row r="25" spans="1:5" s="1265" customFormat="1" ht="18.75" customHeight="1">
      <c r="A25" s="1266" t="s">
        <v>433</v>
      </c>
      <c r="B25" s="1267" t="s">
        <v>1083</v>
      </c>
      <c r="C25" s="1268">
        <f>SUM(C26:C28)</f>
        <v>754016</v>
      </c>
      <c r="D25" s="1268">
        <f>SUM(D26:D28)</f>
        <v>754016.56</v>
      </c>
      <c r="E25" s="1269">
        <f t="shared" si="0"/>
        <v>100.00007426898104</v>
      </c>
    </row>
    <row r="26" spans="1:5" s="1248" customFormat="1" ht="15.75" customHeight="1">
      <c r="A26" s="1270" t="s">
        <v>1084</v>
      </c>
      <c r="B26" s="1271" t="s">
        <v>1085</v>
      </c>
      <c r="C26" s="1272">
        <v>405068</v>
      </c>
      <c r="D26" s="1272">
        <v>405067.22</v>
      </c>
      <c r="E26" s="1273">
        <f t="shared" si="0"/>
        <v>99.9998074397385</v>
      </c>
    </row>
    <row r="27" spans="1:5" s="1248" customFormat="1" ht="15.75" customHeight="1">
      <c r="A27" s="1270" t="s">
        <v>1086</v>
      </c>
      <c r="B27" s="1271" t="s">
        <v>1087</v>
      </c>
      <c r="C27" s="1272">
        <v>11403</v>
      </c>
      <c r="D27" s="1272">
        <v>11404.03</v>
      </c>
      <c r="E27" s="1273">
        <f t="shared" si="0"/>
        <v>100.00903271069018</v>
      </c>
    </row>
    <row r="28" spans="1:5" s="1248" customFormat="1" ht="15.75" customHeight="1">
      <c r="A28" s="1304" t="s">
        <v>1088</v>
      </c>
      <c r="B28" s="1275" t="s">
        <v>1292</v>
      </c>
      <c r="C28" s="1276">
        <v>337545</v>
      </c>
      <c r="D28" s="1276">
        <v>337545.31</v>
      </c>
      <c r="E28" s="1277">
        <f t="shared" si="0"/>
        <v>100.00009183960657</v>
      </c>
    </row>
    <row r="29" spans="1:5" s="1265" customFormat="1" ht="18.75" customHeight="1">
      <c r="A29" s="1301" t="s">
        <v>440</v>
      </c>
      <c r="B29" s="1302" t="s">
        <v>1090</v>
      </c>
      <c r="C29" s="1303">
        <f>SUM(C30:C58)</f>
        <v>7880936</v>
      </c>
      <c r="D29" s="1303">
        <f>SUM(D30:D58)</f>
        <v>7880935.539999999</v>
      </c>
      <c r="E29" s="1286">
        <f t="shared" si="0"/>
        <v>99.99999416312984</v>
      </c>
    </row>
    <row r="30" spans="1:5" s="1248" customFormat="1" ht="15.75" customHeight="1">
      <c r="A30" s="1270" t="s">
        <v>1091</v>
      </c>
      <c r="B30" s="1271" t="s">
        <v>1135</v>
      </c>
      <c r="C30" s="1272">
        <v>310522</v>
      </c>
      <c r="D30" s="1272">
        <v>310522.24</v>
      </c>
      <c r="E30" s="1273">
        <f t="shared" si="0"/>
        <v>100.00007728920978</v>
      </c>
    </row>
    <row r="31" spans="1:5" s="1248" customFormat="1" ht="15.75" customHeight="1">
      <c r="A31" s="1270" t="s">
        <v>1093</v>
      </c>
      <c r="B31" s="1271" t="s">
        <v>1121</v>
      </c>
      <c r="C31" s="1272">
        <v>32979</v>
      </c>
      <c r="D31" s="1272">
        <v>32979.47</v>
      </c>
      <c r="E31" s="1273">
        <f t="shared" si="0"/>
        <v>100.00142514933745</v>
      </c>
    </row>
    <row r="32" spans="1:5" s="1248" customFormat="1" ht="15.75" customHeight="1">
      <c r="A32" s="1270" t="s">
        <v>1095</v>
      </c>
      <c r="B32" s="1271" t="s">
        <v>1294</v>
      </c>
      <c r="C32" s="1272">
        <v>51808</v>
      </c>
      <c r="D32" s="1272">
        <v>51808.35</v>
      </c>
      <c r="E32" s="1273">
        <f t="shared" si="0"/>
        <v>100.00067557134034</v>
      </c>
    </row>
    <row r="33" spans="1:5" s="1248" customFormat="1" ht="49.5" customHeight="1">
      <c r="A33" s="1270" t="s">
        <v>1120</v>
      </c>
      <c r="B33" s="1271" t="s">
        <v>1170</v>
      </c>
      <c r="C33" s="1272">
        <v>782316</v>
      </c>
      <c r="D33" s="1272">
        <v>782316.49</v>
      </c>
      <c r="E33" s="1273">
        <f t="shared" si="0"/>
        <v>100.00006263453642</v>
      </c>
    </row>
    <row r="34" spans="1:5" s="1248" customFormat="1" ht="15.75" customHeight="1">
      <c r="A34" s="1270" t="s">
        <v>1122</v>
      </c>
      <c r="B34" s="1271" t="s">
        <v>1295</v>
      </c>
      <c r="C34" s="1272">
        <v>48782</v>
      </c>
      <c r="D34" s="1272">
        <v>48782.01</v>
      </c>
      <c r="E34" s="1273">
        <f t="shared" si="0"/>
        <v>100.00002049936452</v>
      </c>
    </row>
    <row r="35" spans="1:5" s="1248" customFormat="1" ht="16.5" customHeight="1">
      <c r="A35" s="1270" t="s">
        <v>1178</v>
      </c>
      <c r="B35" s="1271" t="s">
        <v>1293</v>
      </c>
      <c r="C35" s="1272">
        <v>128824</v>
      </c>
      <c r="D35" s="1272">
        <v>128823.64</v>
      </c>
      <c r="E35" s="1273">
        <f t="shared" si="0"/>
        <v>99.99972054896602</v>
      </c>
    </row>
    <row r="36" spans="1:5" s="1248" customFormat="1" ht="15.75" customHeight="1">
      <c r="A36" s="1270" t="s">
        <v>1179</v>
      </c>
      <c r="B36" s="1271" t="s">
        <v>1136</v>
      </c>
      <c r="C36" s="1272">
        <v>91575</v>
      </c>
      <c r="D36" s="1272">
        <v>91575</v>
      </c>
      <c r="E36" s="1273">
        <f t="shared" si="0"/>
        <v>100</v>
      </c>
    </row>
    <row r="37" spans="1:5" s="1248" customFormat="1" ht="15.75" customHeight="1">
      <c r="A37" s="1270" t="s">
        <v>1180</v>
      </c>
      <c r="B37" s="1271" t="s">
        <v>1094</v>
      </c>
      <c r="C37" s="1272">
        <v>101967</v>
      </c>
      <c r="D37" s="1272">
        <v>101967.38</v>
      </c>
      <c r="E37" s="1273">
        <f t="shared" si="0"/>
        <v>100.00037266958918</v>
      </c>
    </row>
    <row r="38" spans="1:5" s="1248" customFormat="1" ht="15" customHeight="1">
      <c r="A38" s="1270" t="s">
        <v>1181</v>
      </c>
      <c r="B38" s="1271" t="s">
        <v>1137</v>
      </c>
      <c r="C38" s="1272">
        <v>72515</v>
      </c>
      <c r="D38" s="1272">
        <v>72515.23</v>
      </c>
      <c r="E38" s="1273">
        <f t="shared" si="0"/>
        <v>100.00031717575672</v>
      </c>
    </row>
    <row r="39" spans="1:5" s="1248" customFormat="1" ht="15" customHeight="1">
      <c r="A39" s="1270" t="s">
        <v>1308</v>
      </c>
      <c r="B39" s="1271" t="s">
        <v>968</v>
      </c>
      <c r="C39" s="1272">
        <v>331638</v>
      </c>
      <c r="D39" s="1272">
        <v>331637.75</v>
      </c>
      <c r="E39" s="1273">
        <f t="shared" si="0"/>
        <v>99.99992461660003</v>
      </c>
    </row>
    <row r="40" spans="1:5" s="1248" customFormat="1" ht="15" customHeight="1">
      <c r="A40" s="1270" t="s">
        <v>796</v>
      </c>
      <c r="B40" s="1271" t="s">
        <v>425</v>
      </c>
      <c r="C40" s="1272">
        <v>9720</v>
      </c>
      <c r="D40" s="1272">
        <v>9720</v>
      </c>
      <c r="E40" s="1273">
        <f t="shared" si="0"/>
        <v>100</v>
      </c>
    </row>
    <row r="41" spans="1:5" s="1248" customFormat="1" ht="15" customHeight="1">
      <c r="A41" s="1270" t="s">
        <v>1146</v>
      </c>
      <c r="B41" s="1271" t="s">
        <v>1296</v>
      </c>
      <c r="C41" s="1272">
        <v>27092</v>
      </c>
      <c r="D41" s="1272">
        <v>27091.11</v>
      </c>
      <c r="E41" s="1273">
        <f t="shared" si="0"/>
        <v>99.99671489738668</v>
      </c>
    </row>
    <row r="42" spans="1:5" s="1248" customFormat="1" ht="15" customHeight="1">
      <c r="A42" s="1270" t="s">
        <v>1147</v>
      </c>
      <c r="B42" s="1271" t="s">
        <v>479</v>
      </c>
      <c r="C42" s="1272">
        <v>17646</v>
      </c>
      <c r="D42" s="1272">
        <v>17645.88</v>
      </c>
      <c r="E42" s="1273">
        <f t="shared" si="0"/>
        <v>99.99931995919755</v>
      </c>
    </row>
    <row r="43" spans="1:5" s="1248" customFormat="1" ht="15" customHeight="1">
      <c r="A43" s="1270" t="s">
        <v>1148</v>
      </c>
      <c r="B43" s="1271" t="s">
        <v>1159</v>
      </c>
      <c r="C43" s="1272">
        <v>8525</v>
      </c>
      <c r="D43" s="1272">
        <v>8524.36</v>
      </c>
      <c r="E43" s="1273">
        <f t="shared" si="0"/>
        <v>99.99249266862171</v>
      </c>
    </row>
    <row r="44" spans="1:5" s="1248" customFormat="1" ht="15" customHeight="1">
      <c r="A44" s="1270" t="s">
        <v>1149</v>
      </c>
      <c r="B44" s="1271" t="s">
        <v>1297</v>
      </c>
      <c r="C44" s="1272">
        <v>42810</v>
      </c>
      <c r="D44" s="1272">
        <v>42809.8</v>
      </c>
      <c r="E44" s="1273">
        <f t="shared" si="0"/>
        <v>99.99953281943472</v>
      </c>
    </row>
    <row r="45" spans="1:5" s="1248" customFormat="1" ht="15" customHeight="1">
      <c r="A45" s="1270" t="s">
        <v>1150</v>
      </c>
      <c r="B45" s="1271" t="s">
        <v>1138</v>
      </c>
      <c r="C45" s="1272">
        <v>36649</v>
      </c>
      <c r="D45" s="1272">
        <v>36649.05</v>
      </c>
      <c r="E45" s="1273">
        <f t="shared" si="0"/>
        <v>100.00013642937051</v>
      </c>
    </row>
    <row r="46" spans="1:5" s="1248" customFormat="1" ht="15" customHeight="1">
      <c r="A46" s="1270" t="s">
        <v>1151</v>
      </c>
      <c r="B46" s="1271" t="s">
        <v>1298</v>
      </c>
      <c r="C46" s="1272">
        <v>26400</v>
      </c>
      <c r="D46" s="1272">
        <v>26400</v>
      </c>
      <c r="E46" s="1273">
        <f t="shared" si="0"/>
        <v>100</v>
      </c>
    </row>
    <row r="47" spans="1:5" s="1248" customFormat="1" ht="15" customHeight="1">
      <c r="A47" s="1270" t="s">
        <v>1152</v>
      </c>
      <c r="B47" s="1271" t="s">
        <v>477</v>
      </c>
      <c r="C47" s="1272">
        <v>4230</v>
      </c>
      <c r="D47" s="1272">
        <v>4229.84</v>
      </c>
      <c r="E47" s="1273">
        <f t="shared" si="0"/>
        <v>99.99621749408983</v>
      </c>
    </row>
    <row r="48" spans="1:5" s="1248" customFormat="1" ht="15" customHeight="1">
      <c r="A48" s="1270" t="s">
        <v>1153</v>
      </c>
      <c r="B48" s="1271" t="s">
        <v>480</v>
      </c>
      <c r="C48" s="1272">
        <v>7104</v>
      </c>
      <c r="D48" s="1272">
        <v>7104.04</v>
      </c>
      <c r="E48" s="1273">
        <f t="shared" si="0"/>
        <v>100.00056306306307</v>
      </c>
    </row>
    <row r="49" spans="1:5" s="1248" customFormat="1" ht="15" customHeight="1">
      <c r="A49" s="1270" t="s">
        <v>1154</v>
      </c>
      <c r="B49" s="1271" t="s">
        <v>478</v>
      </c>
      <c r="C49" s="1272">
        <v>22000</v>
      </c>
      <c r="D49" s="1272">
        <v>22000</v>
      </c>
      <c r="E49" s="1273">
        <f t="shared" si="0"/>
        <v>100</v>
      </c>
    </row>
    <row r="50" spans="1:5" s="1248" customFormat="1" ht="15" customHeight="1">
      <c r="A50" s="1270" t="s">
        <v>1155</v>
      </c>
      <c r="B50" s="1271" t="s">
        <v>481</v>
      </c>
      <c r="C50" s="1272">
        <v>3494</v>
      </c>
      <c r="D50" s="1272">
        <v>3493.97</v>
      </c>
      <c r="E50" s="1273">
        <f t="shared" si="0"/>
        <v>99.99914138523181</v>
      </c>
    </row>
    <row r="51" spans="1:5" s="1248" customFormat="1" ht="18" customHeight="1">
      <c r="A51" s="1270" t="s">
        <v>482</v>
      </c>
      <c r="B51" s="1271" t="s">
        <v>1160</v>
      </c>
      <c r="C51" s="1272">
        <v>73762</v>
      </c>
      <c r="D51" s="1272">
        <v>73762</v>
      </c>
      <c r="E51" s="1273">
        <f t="shared" si="0"/>
        <v>100</v>
      </c>
    </row>
    <row r="52" spans="1:5" s="1248" customFormat="1" ht="15" customHeight="1">
      <c r="A52" s="1270" t="s">
        <v>483</v>
      </c>
      <c r="B52" s="1271" t="s">
        <v>1161</v>
      </c>
      <c r="C52" s="1272">
        <v>1003944</v>
      </c>
      <c r="D52" s="1272">
        <v>1003944.24</v>
      </c>
      <c r="E52" s="1273">
        <f t="shared" si="0"/>
        <v>100.00002390571585</v>
      </c>
    </row>
    <row r="53" spans="1:5" s="1248" customFormat="1" ht="15" customHeight="1">
      <c r="A53" s="1270" t="s">
        <v>484</v>
      </c>
      <c r="B53" s="1271" t="s">
        <v>1158</v>
      </c>
      <c r="C53" s="1272">
        <v>39750</v>
      </c>
      <c r="D53" s="1272">
        <v>39750</v>
      </c>
      <c r="E53" s="1273">
        <f t="shared" si="0"/>
        <v>100</v>
      </c>
    </row>
    <row r="54" spans="1:5" s="1248" customFormat="1" ht="15" customHeight="1">
      <c r="A54" s="1270" t="s">
        <v>485</v>
      </c>
      <c r="B54" s="1271" t="s">
        <v>1162</v>
      </c>
      <c r="C54" s="1272">
        <v>148800</v>
      </c>
      <c r="D54" s="1272">
        <v>148800</v>
      </c>
      <c r="E54" s="1273">
        <f t="shared" si="0"/>
        <v>100</v>
      </c>
    </row>
    <row r="55" spans="1:5" s="1248" customFormat="1" ht="15.75" customHeight="1">
      <c r="A55" s="1270" t="s">
        <v>486</v>
      </c>
      <c r="B55" s="1271" t="s">
        <v>1132</v>
      </c>
      <c r="C55" s="1272">
        <v>3344187</v>
      </c>
      <c r="D55" s="1272">
        <v>3344186.8</v>
      </c>
      <c r="E55" s="1273">
        <f t="shared" si="0"/>
        <v>99.99999401947319</v>
      </c>
    </row>
    <row r="56" spans="1:5" s="1248" customFormat="1" ht="15.75" customHeight="1">
      <c r="A56" s="1270" t="s">
        <v>1163</v>
      </c>
      <c r="B56" s="1271" t="s">
        <v>1133</v>
      </c>
      <c r="C56" s="1272">
        <v>849606</v>
      </c>
      <c r="D56" s="1272">
        <v>849606</v>
      </c>
      <c r="E56" s="1273">
        <f t="shared" si="0"/>
        <v>100</v>
      </c>
    </row>
    <row r="57" spans="1:5" s="1248" customFormat="1" ht="15.75" customHeight="1">
      <c r="A57" s="1270" t="s">
        <v>1164</v>
      </c>
      <c r="B57" s="1271" t="s">
        <v>1134</v>
      </c>
      <c r="C57" s="1272">
        <v>236600</v>
      </c>
      <c r="D57" s="1272">
        <v>236600</v>
      </c>
      <c r="E57" s="1273">
        <f t="shared" si="0"/>
        <v>100</v>
      </c>
    </row>
    <row r="58" spans="1:5" s="1248" customFormat="1" ht="42" customHeight="1">
      <c r="A58" s="1304" t="s">
        <v>1165</v>
      </c>
      <c r="B58" s="1275" t="s">
        <v>1171</v>
      </c>
      <c r="C58" s="1276">
        <v>25691</v>
      </c>
      <c r="D58" s="1276">
        <v>25690.89</v>
      </c>
      <c r="E58" s="1277">
        <f t="shared" si="0"/>
        <v>99.99957183449457</v>
      </c>
    </row>
    <row r="59" spans="1:5" s="1265" customFormat="1" ht="18.75" customHeight="1">
      <c r="A59" s="1301" t="s">
        <v>441</v>
      </c>
      <c r="B59" s="1302" t="s">
        <v>1183</v>
      </c>
      <c r="C59" s="1303">
        <f>SUM(C60:C61)</f>
        <v>5763112</v>
      </c>
      <c r="D59" s="1303">
        <f>SUM(D60:D61)</f>
        <v>5763111.96</v>
      </c>
      <c r="E59" s="1286">
        <f aca="true" t="shared" si="1" ref="E59:E91">D59/C59*100</f>
        <v>99.99999930593054</v>
      </c>
    </row>
    <row r="60" spans="1:5" s="1248" customFormat="1" ht="15.75" customHeight="1">
      <c r="A60" s="1270" t="s">
        <v>1184</v>
      </c>
      <c r="B60" s="1271" t="s">
        <v>1143</v>
      </c>
      <c r="C60" s="1272">
        <v>5640169</v>
      </c>
      <c r="D60" s="1272">
        <v>5640168.76</v>
      </c>
      <c r="E60" s="1273">
        <f t="shared" si="1"/>
        <v>99.99999574480836</v>
      </c>
    </row>
    <row r="61" spans="1:5" s="1248" customFormat="1" ht="15.75" customHeight="1">
      <c r="A61" s="1274" t="s">
        <v>1186</v>
      </c>
      <c r="B61" s="1275" t="s">
        <v>1318</v>
      </c>
      <c r="C61" s="1276">
        <v>122943</v>
      </c>
      <c r="D61" s="1276">
        <v>122943.2</v>
      </c>
      <c r="E61" s="1277">
        <f t="shared" si="1"/>
        <v>100.00016267701292</v>
      </c>
    </row>
    <row r="62" spans="1:5" s="1248" customFormat="1" ht="18.75" customHeight="1">
      <c r="A62" s="1279" t="s">
        <v>442</v>
      </c>
      <c r="B62" s="1280" t="s">
        <v>1187</v>
      </c>
      <c r="C62" s="1281">
        <v>948390</v>
      </c>
      <c r="D62" s="1281">
        <v>948389.2</v>
      </c>
      <c r="E62" s="1282">
        <f t="shared" si="1"/>
        <v>99.99991564651673</v>
      </c>
    </row>
    <row r="63" spans="1:5" s="1248" customFormat="1" ht="18.75" customHeight="1">
      <c r="A63" s="1301" t="s">
        <v>529</v>
      </c>
      <c r="B63" s="1302" t="s">
        <v>1188</v>
      </c>
      <c r="C63" s="1303">
        <f>SUM(C64:C65)</f>
        <v>172500</v>
      </c>
      <c r="D63" s="1303">
        <f>SUM(D64:D65)</f>
        <v>172499.78</v>
      </c>
      <c r="E63" s="1286">
        <f t="shared" si="1"/>
        <v>99.99987246376811</v>
      </c>
    </row>
    <row r="64" spans="1:5" s="1248" customFormat="1" ht="15.75" customHeight="1">
      <c r="A64" s="1270" t="s">
        <v>1319</v>
      </c>
      <c r="B64" s="1271" t="s">
        <v>872</v>
      </c>
      <c r="C64" s="1272">
        <v>144760</v>
      </c>
      <c r="D64" s="1272">
        <v>144759.24</v>
      </c>
      <c r="E64" s="1273">
        <f t="shared" si="1"/>
        <v>99.99947499309201</v>
      </c>
    </row>
    <row r="65" spans="1:5" s="1248" customFormat="1" ht="26.25" customHeight="1">
      <c r="A65" s="1274" t="s">
        <v>1320</v>
      </c>
      <c r="B65" s="1275" t="s">
        <v>1172</v>
      </c>
      <c r="C65" s="1276">
        <v>27740</v>
      </c>
      <c r="D65" s="1276">
        <v>27740.54</v>
      </c>
      <c r="E65" s="1277">
        <f t="shared" si="1"/>
        <v>100.00194664744053</v>
      </c>
    </row>
    <row r="66" spans="1:5" s="1265" customFormat="1" ht="18.75" customHeight="1">
      <c r="A66" s="1266" t="s">
        <v>530</v>
      </c>
      <c r="B66" s="1267" t="s">
        <v>1189</v>
      </c>
      <c r="C66" s="1268">
        <f>SUM(C67:C69)</f>
        <v>126507</v>
      </c>
      <c r="D66" s="1268">
        <f>SUM(D67:D69)</f>
        <v>126506.99</v>
      </c>
      <c r="E66" s="1269">
        <f t="shared" si="1"/>
        <v>99.99999209529908</v>
      </c>
    </row>
    <row r="67" spans="1:5" s="1248" customFormat="1" ht="15.75" customHeight="1">
      <c r="A67" s="1270" t="s">
        <v>1190</v>
      </c>
      <c r="B67" s="1271" t="s">
        <v>1191</v>
      </c>
      <c r="C67" s="1272">
        <v>3571</v>
      </c>
      <c r="D67" s="1272">
        <v>3571</v>
      </c>
      <c r="E67" s="1273">
        <f t="shared" si="1"/>
        <v>100</v>
      </c>
    </row>
    <row r="68" spans="1:5" s="1248" customFormat="1" ht="26.25" customHeight="1">
      <c r="A68" s="1270" t="s">
        <v>1325</v>
      </c>
      <c r="B68" s="1271" t="s">
        <v>1407</v>
      </c>
      <c r="C68" s="1272">
        <v>122745</v>
      </c>
      <c r="D68" s="1272">
        <v>122745</v>
      </c>
      <c r="E68" s="1273">
        <f t="shared" si="1"/>
        <v>100</v>
      </c>
    </row>
    <row r="69" spans="1:5" s="1248" customFormat="1" ht="15.75" customHeight="1">
      <c r="A69" s="1274" t="s">
        <v>1326</v>
      </c>
      <c r="B69" s="1275" t="s">
        <v>1327</v>
      </c>
      <c r="C69" s="1276">
        <v>191</v>
      </c>
      <c r="D69" s="1276">
        <v>190.99</v>
      </c>
      <c r="E69" s="1277">
        <f t="shared" si="1"/>
        <v>99.99476439790577</v>
      </c>
    </row>
    <row r="70" spans="1:5" s="1265" customFormat="1" ht="18.75" customHeight="1">
      <c r="A70" s="1279" t="s">
        <v>443</v>
      </c>
      <c r="B70" s="1280" t="s">
        <v>1194</v>
      </c>
      <c r="C70" s="1281">
        <v>10636</v>
      </c>
      <c r="D70" s="1281">
        <v>10635.55</v>
      </c>
      <c r="E70" s="1282">
        <f t="shared" si="1"/>
        <v>99.99576908612259</v>
      </c>
    </row>
    <row r="71" spans="1:5" s="1265" customFormat="1" ht="18.75" customHeight="1">
      <c r="A71" s="1266" t="s">
        <v>445</v>
      </c>
      <c r="B71" s="1267" t="s">
        <v>1144</v>
      </c>
      <c r="C71" s="1268">
        <v>25958</v>
      </c>
      <c r="D71" s="1268">
        <v>25957.7</v>
      </c>
      <c r="E71" s="1269">
        <f t="shared" si="1"/>
        <v>99.99884428692503</v>
      </c>
    </row>
    <row r="72" spans="1:5" s="136" customFormat="1" ht="15.75" customHeight="1" hidden="1">
      <c r="A72" s="137" t="s">
        <v>1328</v>
      </c>
      <c r="B72" s="138" t="s">
        <v>1329</v>
      </c>
      <c r="C72" s="139">
        <v>30000</v>
      </c>
      <c r="D72" s="139">
        <v>16735.53</v>
      </c>
      <c r="E72" s="140">
        <f t="shared" si="1"/>
        <v>55.7851</v>
      </c>
    </row>
    <row r="73" spans="1:5" s="136" customFormat="1" ht="15.75" customHeight="1" hidden="1">
      <c r="A73" s="144" t="s">
        <v>1330</v>
      </c>
      <c r="B73" s="141" t="s">
        <v>1331</v>
      </c>
      <c r="C73" s="142">
        <v>0</v>
      </c>
      <c r="D73" s="142">
        <v>0</v>
      </c>
      <c r="E73" s="143" t="e">
        <f t="shared" si="1"/>
        <v>#DIV/0!</v>
      </c>
    </row>
    <row r="74" spans="1:5" s="1265" customFormat="1" ht="18.75" customHeight="1">
      <c r="A74" s="1266" t="s">
        <v>531</v>
      </c>
      <c r="B74" s="1267" t="s">
        <v>1145</v>
      </c>
      <c r="C74" s="1268">
        <v>140857</v>
      </c>
      <c r="D74" s="1268">
        <v>140857</v>
      </c>
      <c r="E74" s="1269">
        <f t="shared" si="1"/>
        <v>100</v>
      </c>
    </row>
    <row r="75" spans="1:7" s="136" customFormat="1" ht="18.75" customHeight="1">
      <c r="A75" s="1279" t="s">
        <v>446</v>
      </c>
      <c r="B75" s="1280" t="s">
        <v>1250</v>
      </c>
      <c r="C75" s="1281">
        <f>SUM(C7+C8+C25+C29+C59+C62+C63+C66+C70+C71+C74)</f>
        <v>19978745</v>
      </c>
      <c r="D75" s="1281">
        <f>SUM(D7+D8+D25+D29+D59+D62+D63+D66+D70+D71+D74)</f>
        <v>19978743.7</v>
      </c>
      <c r="E75" s="1282">
        <f t="shared" si="1"/>
        <v>99.99999349308477</v>
      </c>
      <c r="G75" s="146"/>
    </row>
    <row r="76" spans="1:5" s="1265" customFormat="1" ht="18.75" customHeight="1">
      <c r="A76" s="1266" t="s">
        <v>447</v>
      </c>
      <c r="B76" s="1267" t="s">
        <v>1251</v>
      </c>
      <c r="C76" s="1268">
        <f>SUM(C77,C78,C79,C80,C81)</f>
        <v>16428297</v>
      </c>
      <c r="D76" s="1268">
        <f>SUM(D77,D78,D79,D80,D81)</f>
        <v>16428297.040000001</v>
      </c>
      <c r="E76" s="1269">
        <f t="shared" si="1"/>
        <v>100.00000024348232</v>
      </c>
    </row>
    <row r="77" spans="1:5" s="1248" customFormat="1" ht="15.75" customHeight="1">
      <c r="A77" s="1270" t="s">
        <v>420</v>
      </c>
      <c r="B77" s="1271" t="s">
        <v>873</v>
      </c>
      <c r="C77" s="1272">
        <v>14334103</v>
      </c>
      <c r="D77" s="1272">
        <v>14334102.75</v>
      </c>
      <c r="E77" s="1273">
        <f t="shared" si="1"/>
        <v>99.99999825590761</v>
      </c>
    </row>
    <row r="78" spans="1:5" s="1248" customFormat="1" ht="15.75" customHeight="1">
      <c r="A78" s="1270" t="s">
        <v>421</v>
      </c>
      <c r="B78" s="1271" t="s">
        <v>797</v>
      </c>
      <c r="C78" s="1272">
        <v>1135438</v>
      </c>
      <c r="D78" s="1272">
        <v>1135438.25</v>
      </c>
      <c r="E78" s="1273">
        <f t="shared" si="1"/>
        <v>100.00002201793492</v>
      </c>
    </row>
    <row r="79" spans="1:5" s="1248" customFormat="1" ht="24.75" customHeight="1">
      <c r="A79" s="1270" t="s">
        <v>422</v>
      </c>
      <c r="B79" s="1271" t="s">
        <v>1166</v>
      </c>
      <c r="C79" s="1272">
        <v>166388</v>
      </c>
      <c r="D79" s="1272">
        <v>166388.23</v>
      </c>
      <c r="E79" s="1273">
        <f t="shared" si="1"/>
        <v>100.00013823112243</v>
      </c>
    </row>
    <row r="80" spans="1:5" s="1248" customFormat="1" ht="24.75" customHeight="1">
      <c r="A80" s="1270" t="s">
        <v>1168</v>
      </c>
      <c r="B80" s="1271" t="s">
        <v>1167</v>
      </c>
      <c r="C80" s="1272">
        <v>186910</v>
      </c>
      <c r="D80" s="1272">
        <v>186910</v>
      </c>
      <c r="E80" s="1273">
        <f t="shared" si="1"/>
        <v>100</v>
      </c>
    </row>
    <row r="81" spans="1:5" s="1248" customFormat="1" ht="15.75" customHeight="1">
      <c r="A81" s="1270" t="s">
        <v>1169</v>
      </c>
      <c r="B81" s="1275" t="s">
        <v>1332</v>
      </c>
      <c r="C81" s="1276">
        <v>605458</v>
      </c>
      <c r="D81" s="1276">
        <v>605457.81</v>
      </c>
      <c r="E81" s="1277">
        <f t="shared" si="1"/>
        <v>99.99996861879768</v>
      </c>
    </row>
    <row r="82" spans="1:5" s="1265" customFormat="1" ht="18.75" customHeight="1">
      <c r="A82" s="1279" t="s">
        <v>532</v>
      </c>
      <c r="B82" s="1280" t="s">
        <v>1256</v>
      </c>
      <c r="C82" s="1281">
        <v>6752</v>
      </c>
      <c r="D82" s="1281">
        <v>6752.02</v>
      </c>
      <c r="E82" s="1282">
        <f t="shared" si="1"/>
        <v>100.00029620853081</v>
      </c>
    </row>
    <row r="83" spans="1:5" s="1265" customFormat="1" ht="18.75" customHeight="1">
      <c r="A83" s="1266" t="s">
        <v>448</v>
      </c>
      <c r="B83" s="1267" t="s">
        <v>1257</v>
      </c>
      <c r="C83" s="1268">
        <f>SUM(C84:C85)</f>
        <v>1540434</v>
      </c>
      <c r="D83" s="1268">
        <f>SUM(D84:D85)</f>
        <v>1540433.67</v>
      </c>
      <c r="E83" s="1269">
        <f t="shared" si="1"/>
        <v>99.99997857746582</v>
      </c>
    </row>
    <row r="84" spans="1:5" s="1248" customFormat="1" ht="15.75" customHeight="1">
      <c r="A84" s="1270" t="s">
        <v>423</v>
      </c>
      <c r="B84" s="1271" t="s">
        <v>162</v>
      </c>
      <c r="C84" s="1272">
        <v>130710</v>
      </c>
      <c r="D84" s="1272">
        <v>130709.48</v>
      </c>
      <c r="E84" s="1273">
        <f t="shared" si="1"/>
        <v>99.99960217274882</v>
      </c>
    </row>
    <row r="85" spans="1:5" s="1248" customFormat="1" ht="15.75" customHeight="1">
      <c r="A85" s="1274" t="s">
        <v>424</v>
      </c>
      <c r="B85" s="1275" t="s">
        <v>152</v>
      </c>
      <c r="C85" s="1276">
        <v>1409724</v>
      </c>
      <c r="D85" s="1276">
        <v>1409724.19</v>
      </c>
      <c r="E85" s="1277">
        <f t="shared" si="1"/>
        <v>100.00001347781551</v>
      </c>
    </row>
    <row r="86" spans="1:5" s="1265" customFormat="1" ht="18.75" customHeight="1">
      <c r="A86" s="1305" t="s">
        <v>449</v>
      </c>
      <c r="B86" s="1280" t="s">
        <v>1333</v>
      </c>
      <c r="C86" s="1281">
        <v>828272</v>
      </c>
      <c r="D86" s="1281">
        <v>828272.34</v>
      </c>
      <c r="E86" s="1282">
        <f t="shared" si="1"/>
        <v>100.00004104931712</v>
      </c>
    </row>
    <row r="87" spans="1:5" s="1265" customFormat="1" ht="18.75" customHeight="1">
      <c r="A87" s="1305" t="s">
        <v>450</v>
      </c>
      <c r="B87" s="1306" t="s">
        <v>1334</v>
      </c>
      <c r="C87" s="1281">
        <v>2155824</v>
      </c>
      <c r="D87" s="1281">
        <v>2155824.12</v>
      </c>
      <c r="E87" s="1282">
        <f t="shared" si="1"/>
        <v>100.0000055663171</v>
      </c>
    </row>
    <row r="88" spans="1:5" s="136" customFormat="1" ht="18.75" customHeight="1" hidden="1">
      <c r="A88" s="147" t="s">
        <v>451</v>
      </c>
      <c r="B88" s="148" t="s">
        <v>1335</v>
      </c>
      <c r="C88" s="149">
        <v>0</v>
      </c>
      <c r="D88" s="145">
        <v>0</v>
      </c>
      <c r="E88" s="150" t="s">
        <v>313</v>
      </c>
    </row>
    <row r="89" spans="1:5" s="136" customFormat="1" ht="18.75" customHeight="1" hidden="1">
      <c r="A89" s="147" t="s">
        <v>454</v>
      </c>
      <c r="B89" s="148" t="s">
        <v>1336</v>
      </c>
      <c r="C89" s="149">
        <v>0</v>
      </c>
      <c r="D89" s="145">
        <v>0</v>
      </c>
      <c r="E89" s="150" t="s">
        <v>313</v>
      </c>
    </row>
    <row r="90" spans="1:7" ht="18.75" customHeight="1">
      <c r="A90" s="1305" t="s">
        <v>451</v>
      </c>
      <c r="B90" s="1306" t="s">
        <v>1339</v>
      </c>
      <c r="C90" s="1309">
        <f>SUM(C75+C86+C87+C89)</f>
        <v>22962841</v>
      </c>
      <c r="D90" s="1281">
        <f>SUM(D75+D86+D87+D89)</f>
        <v>22962840.16</v>
      </c>
      <c r="E90" s="1282">
        <f t="shared" si="1"/>
        <v>99.99999634191606</v>
      </c>
      <c r="G90" s="151"/>
    </row>
    <row r="91" spans="1:6" ht="18.75" customHeight="1">
      <c r="A91" s="1305" t="s">
        <v>454</v>
      </c>
      <c r="B91" s="1306" t="s">
        <v>1259</v>
      </c>
      <c r="C91" s="1281">
        <f>SUM(C76+C82+C83+C88)</f>
        <v>17975483</v>
      </c>
      <c r="D91" s="1281">
        <f>SUM(D76+D82+D83+D88)</f>
        <v>17975482.73</v>
      </c>
      <c r="E91" s="1282">
        <f t="shared" si="1"/>
        <v>99.99999849795414</v>
      </c>
      <c r="F91" s="1248"/>
    </row>
    <row r="92" spans="1:6" ht="18.75" customHeight="1">
      <c r="A92" s="1305" t="s">
        <v>455</v>
      </c>
      <c r="B92" s="1306" t="s">
        <v>1340</v>
      </c>
      <c r="C92" s="1309">
        <v>0</v>
      </c>
      <c r="D92" s="1281">
        <v>0</v>
      </c>
      <c r="E92" s="1283" t="s">
        <v>313</v>
      </c>
      <c r="F92" s="1248"/>
    </row>
    <row r="93" spans="1:5" ht="18.75" customHeight="1" thickBot="1">
      <c r="A93" s="1307" t="s">
        <v>456</v>
      </c>
      <c r="B93" s="1308" t="s">
        <v>1341</v>
      </c>
      <c r="C93" s="1310">
        <f>SUM(C91-C90+C92)</f>
        <v>-4987358</v>
      </c>
      <c r="D93" s="1310">
        <f>SUM(D91-D90+D92)</f>
        <v>-4987357.43</v>
      </c>
      <c r="E93" s="152" t="s">
        <v>313</v>
      </c>
    </row>
  </sheetData>
  <sheetProtection password="CF93" sheet="1" formatRows="0" insertColumns="0" insertRows="0" insertHyperlinks="0" deleteColumns="0" deleteRows="0" sort="0" autoFilter="0" pivotTables="0"/>
  <mergeCells count="2">
    <mergeCell ref="A3:E3"/>
    <mergeCell ref="D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F57"/>
  <sheetViews>
    <sheetView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C51" sqref="C51"/>
    </sheetView>
  </sheetViews>
  <sheetFormatPr defaultColWidth="9.00390625" defaultRowHeight="12.75"/>
  <cols>
    <col min="1" max="1" width="5.125" style="133" customWidth="1"/>
    <col min="2" max="2" width="38.375" style="134" customWidth="1"/>
    <col min="3" max="3" width="19.25390625" style="135" customWidth="1"/>
    <col min="4" max="4" width="17.25390625" style="135" customWidth="1"/>
    <col min="5" max="5" width="6.00390625" style="134" customWidth="1"/>
    <col min="6" max="16384" width="9.125" style="134" customWidth="1"/>
  </cols>
  <sheetData>
    <row r="1" spans="1:5" s="1248" customFormat="1" ht="12.75">
      <c r="A1" s="1247"/>
      <c r="C1" s="1249"/>
      <c r="D1" s="1599" t="s">
        <v>859</v>
      </c>
      <c r="E1" s="1599"/>
    </row>
    <row r="2" spans="1:4" s="1248" customFormat="1" ht="39.75" customHeight="1">
      <c r="A2" s="1247"/>
      <c r="C2" s="1249"/>
      <c r="D2" s="1249"/>
    </row>
    <row r="3" spans="1:5" s="1248" customFormat="1" ht="26.25" customHeight="1">
      <c r="A3" s="1598" t="s">
        <v>1261</v>
      </c>
      <c r="B3" s="1598"/>
      <c r="C3" s="1598"/>
      <c r="D3" s="1598"/>
      <c r="E3" s="1598"/>
    </row>
    <row r="4" spans="1:5" s="1248" customFormat="1" ht="9" customHeight="1">
      <c r="A4" s="1250"/>
      <c r="B4" s="1250"/>
      <c r="C4" s="1250"/>
      <c r="D4" s="1250"/>
      <c r="E4" s="1250"/>
    </row>
    <row r="5" spans="1:5" s="1248" customFormat="1" ht="13.5" thickBot="1">
      <c r="A5" s="1247"/>
      <c r="C5" s="1249"/>
      <c r="D5" s="1251"/>
      <c r="E5" s="1251" t="s">
        <v>1426</v>
      </c>
    </row>
    <row r="6" spans="1:5" s="1247" customFormat="1" ht="15" customHeight="1">
      <c r="A6" s="1252" t="s">
        <v>338</v>
      </c>
      <c r="B6" s="1253" t="s">
        <v>1428</v>
      </c>
      <c r="C6" s="1254" t="s">
        <v>1429</v>
      </c>
      <c r="D6" s="1254" t="s">
        <v>1430</v>
      </c>
      <c r="E6" s="1255" t="s">
        <v>1431</v>
      </c>
    </row>
    <row r="7" spans="1:5" s="1260" customFormat="1" ht="12" customHeight="1" thickBot="1">
      <c r="A7" s="1256">
        <v>1</v>
      </c>
      <c r="B7" s="1257">
        <v>2</v>
      </c>
      <c r="C7" s="1258">
        <v>3</v>
      </c>
      <c r="D7" s="1258">
        <v>4</v>
      </c>
      <c r="E7" s="1259">
        <v>5</v>
      </c>
    </row>
    <row r="8" spans="1:5" s="1265" customFormat="1" ht="18.75" customHeight="1">
      <c r="A8" s="1261" t="s">
        <v>341</v>
      </c>
      <c r="B8" s="1262" t="s">
        <v>1074</v>
      </c>
      <c r="C8" s="1263">
        <v>29518.67</v>
      </c>
      <c r="D8" s="1263">
        <v>29518.67</v>
      </c>
      <c r="E8" s="1264">
        <f aca="true" t="shared" si="0" ref="E8:E55">D8/C8*100</f>
        <v>100</v>
      </c>
    </row>
    <row r="9" spans="1:5" s="1265" customFormat="1" ht="18.75" customHeight="1">
      <c r="A9" s="1266" t="s">
        <v>342</v>
      </c>
      <c r="B9" s="1267" t="s">
        <v>1075</v>
      </c>
      <c r="C9" s="1268">
        <f>SUM(C10:C15)</f>
        <v>132175.69</v>
      </c>
      <c r="D9" s="1268">
        <f>SUM(D10:D15)</f>
        <v>132175.69</v>
      </c>
      <c r="E9" s="1269">
        <f t="shared" si="0"/>
        <v>100</v>
      </c>
    </row>
    <row r="10" spans="1:5" s="1248" customFormat="1" ht="15" customHeight="1">
      <c r="A10" s="1270" t="s">
        <v>156</v>
      </c>
      <c r="B10" s="1271" t="s">
        <v>1076</v>
      </c>
      <c r="C10" s="1272">
        <v>38130.66</v>
      </c>
      <c r="D10" s="1272">
        <v>38130.66</v>
      </c>
      <c r="E10" s="1273">
        <f t="shared" si="0"/>
        <v>100</v>
      </c>
    </row>
    <row r="11" spans="1:5" s="1248" customFormat="1" ht="15" customHeight="1">
      <c r="A11" s="1270" t="s">
        <v>157</v>
      </c>
      <c r="B11" s="1271" t="s">
        <v>1077</v>
      </c>
      <c r="C11" s="1272">
        <v>11020.97</v>
      </c>
      <c r="D11" s="1272">
        <v>11020.97</v>
      </c>
      <c r="E11" s="1273">
        <f t="shared" si="0"/>
        <v>100</v>
      </c>
    </row>
    <row r="12" spans="1:5" s="1248" customFormat="1" ht="15" customHeight="1">
      <c r="A12" s="1270" t="s">
        <v>160</v>
      </c>
      <c r="B12" s="1271" t="s">
        <v>1078</v>
      </c>
      <c r="C12" s="1272">
        <v>23044.19</v>
      </c>
      <c r="D12" s="1272">
        <v>23044.19</v>
      </c>
      <c r="E12" s="1273">
        <f t="shared" si="0"/>
        <v>100</v>
      </c>
    </row>
    <row r="13" spans="1:5" s="1248" customFormat="1" ht="15" customHeight="1">
      <c r="A13" s="1270" t="s">
        <v>167</v>
      </c>
      <c r="B13" s="1271" t="s">
        <v>1079</v>
      </c>
      <c r="C13" s="1272">
        <v>6261.32</v>
      </c>
      <c r="D13" s="1272">
        <v>6261.32</v>
      </c>
      <c r="E13" s="1273">
        <f t="shared" si="0"/>
        <v>100</v>
      </c>
    </row>
    <row r="14" spans="1:5" s="1248" customFormat="1" ht="15" customHeight="1">
      <c r="A14" s="1270" t="s">
        <v>194</v>
      </c>
      <c r="B14" s="1271" t="s">
        <v>152</v>
      </c>
      <c r="C14" s="1272">
        <v>6043.54</v>
      </c>
      <c r="D14" s="1272">
        <v>6043.54</v>
      </c>
      <c r="E14" s="1273">
        <f t="shared" si="0"/>
        <v>100</v>
      </c>
    </row>
    <row r="15" spans="1:5" s="1248" customFormat="1" ht="15" customHeight="1">
      <c r="A15" s="1274" t="s">
        <v>1080</v>
      </c>
      <c r="B15" s="1275" t="s">
        <v>1082</v>
      </c>
      <c r="C15" s="1276">
        <v>47675.01</v>
      </c>
      <c r="D15" s="1276">
        <v>47675.01</v>
      </c>
      <c r="E15" s="1277">
        <f t="shared" si="0"/>
        <v>100</v>
      </c>
    </row>
    <row r="16" spans="1:5" s="1265" customFormat="1" ht="18.75" customHeight="1">
      <c r="A16" s="1266" t="s">
        <v>433</v>
      </c>
      <c r="B16" s="1267" t="s">
        <v>1083</v>
      </c>
      <c r="C16" s="1268">
        <f>SUM(C17:C19)</f>
        <v>95862.37</v>
      </c>
      <c r="D16" s="1268">
        <f>SUM(D17:D19)</f>
        <v>95862.37</v>
      </c>
      <c r="E16" s="1269">
        <f t="shared" si="0"/>
        <v>100</v>
      </c>
    </row>
    <row r="17" spans="1:5" s="1248" customFormat="1" ht="15" customHeight="1">
      <c r="A17" s="1270" t="s">
        <v>1084</v>
      </c>
      <c r="B17" s="1271" t="s">
        <v>1085</v>
      </c>
      <c r="C17" s="1272">
        <v>21157.92</v>
      </c>
      <c r="D17" s="1272">
        <v>21157.92</v>
      </c>
      <c r="E17" s="1273">
        <f t="shared" si="0"/>
        <v>100</v>
      </c>
    </row>
    <row r="18" spans="1:5" s="1248" customFormat="1" ht="15" customHeight="1">
      <c r="A18" s="1270" t="s">
        <v>1086</v>
      </c>
      <c r="B18" s="1271" t="s">
        <v>1087</v>
      </c>
      <c r="C18" s="1272">
        <v>3154.91</v>
      </c>
      <c r="D18" s="1272">
        <v>3154.91</v>
      </c>
      <c r="E18" s="1273">
        <f t="shared" si="0"/>
        <v>100</v>
      </c>
    </row>
    <row r="19" spans="1:5" s="1248" customFormat="1" ht="15" customHeight="1">
      <c r="A19" s="1274" t="s">
        <v>1088</v>
      </c>
      <c r="B19" s="1275" t="s">
        <v>1089</v>
      </c>
      <c r="C19" s="1278">
        <v>71549.54</v>
      </c>
      <c r="D19" s="1276">
        <v>71549.54</v>
      </c>
      <c r="E19" s="1277">
        <f t="shared" si="0"/>
        <v>100</v>
      </c>
    </row>
    <row r="20" spans="1:5" s="1265" customFormat="1" ht="18.75" customHeight="1">
      <c r="A20" s="1266" t="s">
        <v>440</v>
      </c>
      <c r="B20" s="1267" t="s">
        <v>1090</v>
      </c>
      <c r="C20" s="1268">
        <f>SUM(C21,C22,C23,C24,C25,C26,C27,C28,C29,C30,C31,C32)</f>
        <v>490197.92</v>
      </c>
      <c r="D20" s="1268">
        <f>SUM(D21,D22,D23,D24,D25,D26,D27,D28,D29,D30,D31,D32)</f>
        <v>490197.92</v>
      </c>
      <c r="E20" s="1269">
        <f t="shared" si="0"/>
        <v>100</v>
      </c>
    </row>
    <row r="21" spans="1:5" s="1248" customFormat="1" ht="15" customHeight="1">
      <c r="A21" s="1270" t="s">
        <v>1091</v>
      </c>
      <c r="B21" s="1271" t="s">
        <v>1092</v>
      </c>
      <c r="C21" s="1272">
        <v>2122.2</v>
      </c>
      <c r="D21" s="1272">
        <v>2122.2</v>
      </c>
      <c r="E21" s="1273">
        <f t="shared" si="0"/>
        <v>100</v>
      </c>
    </row>
    <row r="22" spans="1:5" s="1248" customFormat="1" ht="15" customHeight="1">
      <c r="A22" s="1270" t="s">
        <v>1093</v>
      </c>
      <c r="B22" s="1271" t="s">
        <v>1094</v>
      </c>
      <c r="C22" s="1272">
        <v>26117.41</v>
      </c>
      <c r="D22" s="1272">
        <v>26117.41</v>
      </c>
      <c r="E22" s="1273">
        <f t="shared" si="0"/>
        <v>100</v>
      </c>
    </row>
    <row r="23" spans="1:5" s="1248" customFormat="1" ht="15" customHeight="1">
      <c r="A23" s="1270" t="s">
        <v>1095</v>
      </c>
      <c r="B23" s="1271" t="s">
        <v>969</v>
      </c>
      <c r="C23" s="1272">
        <v>185325.37</v>
      </c>
      <c r="D23" s="1272">
        <v>185325.37</v>
      </c>
      <c r="E23" s="1273">
        <f t="shared" si="0"/>
        <v>100</v>
      </c>
    </row>
    <row r="24" spans="1:5" s="1248" customFormat="1" ht="15" customHeight="1">
      <c r="A24" s="1270" t="s">
        <v>1120</v>
      </c>
      <c r="B24" s="1271" t="s">
        <v>1121</v>
      </c>
      <c r="C24" s="1272">
        <v>7450.15</v>
      </c>
      <c r="D24" s="1272">
        <v>7450.15</v>
      </c>
      <c r="E24" s="1273">
        <f t="shared" si="0"/>
        <v>100</v>
      </c>
    </row>
    <row r="25" spans="1:5" s="1248" customFormat="1" ht="17.25" customHeight="1">
      <c r="A25" s="1270" t="s">
        <v>1122</v>
      </c>
      <c r="B25" s="1271" t="s">
        <v>1177</v>
      </c>
      <c r="C25" s="1272">
        <v>12825</v>
      </c>
      <c r="D25" s="1272">
        <v>12825</v>
      </c>
      <c r="E25" s="1273">
        <f t="shared" si="0"/>
        <v>100</v>
      </c>
    </row>
    <row r="26" spans="1:5" s="1248" customFormat="1" ht="15" customHeight="1">
      <c r="A26" s="1270" t="s">
        <v>1178</v>
      </c>
      <c r="B26" s="1271" t="s">
        <v>425</v>
      </c>
      <c r="C26" s="1272">
        <v>2215.5</v>
      </c>
      <c r="D26" s="1272">
        <v>2215.5</v>
      </c>
      <c r="E26" s="1273">
        <f t="shared" si="0"/>
        <v>100</v>
      </c>
    </row>
    <row r="27" spans="1:5" s="1248" customFormat="1" ht="15" customHeight="1">
      <c r="A27" s="1270" t="s">
        <v>1179</v>
      </c>
      <c r="B27" s="1271" t="s">
        <v>777</v>
      </c>
      <c r="C27" s="1272">
        <v>52420</v>
      </c>
      <c r="D27" s="1272">
        <v>52420</v>
      </c>
      <c r="E27" s="1273">
        <f t="shared" si="0"/>
        <v>100</v>
      </c>
    </row>
    <row r="28" spans="1:5" s="1248" customFormat="1" ht="15" customHeight="1">
      <c r="A28" s="1270" t="s">
        <v>1180</v>
      </c>
      <c r="B28" s="1271" t="s">
        <v>1173</v>
      </c>
      <c r="C28" s="1272">
        <v>3425</v>
      </c>
      <c r="D28" s="1272">
        <v>3425</v>
      </c>
      <c r="E28" s="1273">
        <f t="shared" si="0"/>
        <v>100</v>
      </c>
    </row>
    <row r="29" spans="1:5" s="1248" customFormat="1" ht="15" customHeight="1">
      <c r="A29" s="1270" t="s">
        <v>1181</v>
      </c>
      <c r="B29" s="1271" t="s">
        <v>778</v>
      </c>
      <c r="C29" s="1272">
        <v>24000</v>
      </c>
      <c r="D29" s="1272">
        <v>24000</v>
      </c>
      <c r="E29" s="1273">
        <f t="shared" si="0"/>
        <v>100</v>
      </c>
    </row>
    <row r="30" spans="1:5" s="1248" customFormat="1" ht="15" customHeight="1">
      <c r="A30" s="1270" t="s">
        <v>1308</v>
      </c>
      <c r="B30" s="1271" t="s">
        <v>205</v>
      </c>
      <c r="C30" s="1272">
        <v>52560</v>
      </c>
      <c r="D30" s="1272">
        <v>52560</v>
      </c>
      <c r="E30" s="1273">
        <f t="shared" si="0"/>
        <v>100</v>
      </c>
    </row>
    <row r="31" spans="1:5" s="1248" customFormat="1" ht="15" customHeight="1">
      <c r="A31" s="1270" t="s">
        <v>796</v>
      </c>
      <c r="B31" s="1271" t="s">
        <v>1174</v>
      </c>
      <c r="C31" s="1272">
        <v>48799.99</v>
      </c>
      <c r="D31" s="1272">
        <v>48799.99</v>
      </c>
      <c r="E31" s="1273">
        <f t="shared" si="0"/>
        <v>100</v>
      </c>
    </row>
    <row r="32" spans="1:5" s="1248" customFormat="1" ht="15" customHeight="1">
      <c r="A32" s="1270" t="s">
        <v>1146</v>
      </c>
      <c r="B32" s="1275" t="s">
        <v>1182</v>
      </c>
      <c r="C32" s="1276">
        <v>72937.3</v>
      </c>
      <c r="D32" s="1276">
        <v>72937.3</v>
      </c>
      <c r="E32" s="1277">
        <f t="shared" si="0"/>
        <v>100</v>
      </c>
    </row>
    <row r="33" spans="1:5" s="1265" customFormat="1" ht="18.75" customHeight="1">
      <c r="A33" s="1266" t="s">
        <v>441</v>
      </c>
      <c r="B33" s="1267" t="s">
        <v>1183</v>
      </c>
      <c r="C33" s="1268">
        <f>SUM(C34,C35,C36)</f>
        <v>582713.9</v>
      </c>
      <c r="D33" s="1268">
        <f>SUM(D34,D35,D36)</f>
        <v>582713.9</v>
      </c>
      <c r="E33" s="1269">
        <f t="shared" si="0"/>
        <v>100</v>
      </c>
    </row>
    <row r="34" spans="1:5" s="1248" customFormat="1" ht="15" customHeight="1">
      <c r="A34" s="1274" t="s">
        <v>1184</v>
      </c>
      <c r="B34" s="1275" t="s">
        <v>1185</v>
      </c>
      <c r="C34" s="1276">
        <v>553090.15</v>
      </c>
      <c r="D34" s="1276">
        <v>553090.15</v>
      </c>
      <c r="E34" s="1277">
        <f t="shared" si="0"/>
        <v>100</v>
      </c>
    </row>
    <row r="35" spans="1:5" s="1248" customFormat="1" ht="15" customHeight="1">
      <c r="A35" s="1274" t="s">
        <v>1186</v>
      </c>
      <c r="B35" s="1275" t="s">
        <v>1176</v>
      </c>
      <c r="C35" s="1276">
        <v>7068.75</v>
      </c>
      <c r="D35" s="1276">
        <v>7068.75</v>
      </c>
      <c r="E35" s="1277">
        <f t="shared" si="0"/>
        <v>100</v>
      </c>
    </row>
    <row r="36" spans="1:5" s="1248" customFormat="1" ht="15" customHeight="1">
      <c r="A36" s="1274" t="s">
        <v>1175</v>
      </c>
      <c r="B36" s="1275" t="s">
        <v>795</v>
      </c>
      <c r="C36" s="1276">
        <v>22555</v>
      </c>
      <c r="D36" s="1276">
        <v>22555</v>
      </c>
      <c r="E36" s="1277">
        <f t="shared" si="0"/>
        <v>100</v>
      </c>
    </row>
    <row r="37" spans="1:5" s="1248" customFormat="1" ht="18.75" customHeight="1">
      <c r="A37" s="1279" t="s">
        <v>442</v>
      </c>
      <c r="B37" s="1280" t="s">
        <v>1187</v>
      </c>
      <c r="C37" s="1281">
        <v>99423.83</v>
      </c>
      <c r="D37" s="1281">
        <v>99423.83</v>
      </c>
      <c r="E37" s="1282">
        <f t="shared" si="0"/>
        <v>100</v>
      </c>
    </row>
    <row r="38" spans="1:5" s="1248" customFormat="1" ht="25.5" customHeight="1">
      <c r="A38" s="1279" t="s">
        <v>529</v>
      </c>
      <c r="B38" s="1280" t="s">
        <v>1188</v>
      </c>
      <c r="C38" s="1281">
        <v>20368.08</v>
      </c>
      <c r="D38" s="1281">
        <v>20368.08</v>
      </c>
      <c r="E38" s="1282">
        <f t="shared" si="0"/>
        <v>100</v>
      </c>
    </row>
    <row r="39" spans="1:5" s="1265" customFormat="1" ht="18.75" customHeight="1">
      <c r="A39" s="1266" t="s">
        <v>530</v>
      </c>
      <c r="B39" s="1267" t="s">
        <v>1189</v>
      </c>
      <c r="C39" s="1268">
        <v>4114</v>
      </c>
      <c r="D39" s="1268">
        <v>4114</v>
      </c>
      <c r="E39" s="1269">
        <f t="shared" si="0"/>
        <v>100</v>
      </c>
    </row>
    <row r="40" spans="1:5" s="1248" customFormat="1" ht="15" customHeight="1" hidden="1">
      <c r="A40" s="1270" t="s">
        <v>1190</v>
      </c>
      <c r="B40" s="1271" t="s">
        <v>1191</v>
      </c>
      <c r="C40" s="1272">
        <v>3749</v>
      </c>
      <c r="D40" s="1272">
        <v>3749</v>
      </c>
      <c r="E40" s="1273">
        <f t="shared" si="0"/>
        <v>100</v>
      </c>
    </row>
    <row r="41" spans="1:5" s="1248" customFormat="1" ht="15" customHeight="1" hidden="1">
      <c r="A41" s="1274" t="s">
        <v>1192</v>
      </c>
      <c r="B41" s="1275" t="s">
        <v>1193</v>
      </c>
      <c r="C41" s="1276"/>
      <c r="D41" s="1276"/>
      <c r="E41" s="1277" t="e">
        <f t="shared" si="0"/>
        <v>#DIV/0!</v>
      </c>
    </row>
    <row r="42" spans="1:5" s="1265" customFormat="1" ht="18.75" customHeight="1">
      <c r="A42" s="1279" t="s">
        <v>443</v>
      </c>
      <c r="B42" s="1280" t="s">
        <v>1194</v>
      </c>
      <c r="C42" s="1281">
        <v>1857.22</v>
      </c>
      <c r="D42" s="1281">
        <v>1857.22</v>
      </c>
      <c r="E42" s="1282">
        <f t="shared" si="0"/>
        <v>100</v>
      </c>
    </row>
    <row r="43" spans="1:5" s="1265" customFormat="1" ht="18.75" customHeight="1">
      <c r="A43" s="1279" t="s">
        <v>445</v>
      </c>
      <c r="B43" s="1280" t="s">
        <v>1248</v>
      </c>
      <c r="C43" s="1281">
        <v>723.2</v>
      </c>
      <c r="D43" s="1281">
        <v>723.2</v>
      </c>
      <c r="E43" s="1282">
        <f t="shared" si="0"/>
        <v>100</v>
      </c>
    </row>
    <row r="44" spans="1:5" s="1265" customFormat="1" ht="21.75" customHeight="1">
      <c r="A44" s="1279" t="s">
        <v>531</v>
      </c>
      <c r="B44" s="1280" t="s">
        <v>1249</v>
      </c>
      <c r="C44" s="1281">
        <v>5167</v>
      </c>
      <c r="D44" s="1281">
        <v>5167</v>
      </c>
      <c r="E44" s="1282">
        <f t="shared" si="0"/>
        <v>100</v>
      </c>
    </row>
    <row r="45" spans="1:5" s="1265" customFormat="1" ht="21.75" customHeight="1">
      <c r="A45" s="1279" t="s">
        <v>446</v>
      </c>
      <c r="B45" s="1262" t="s">
        <v>1333</v>
      </c>
      <c r="C45" s="1281">
        <v>207.87</v>
      </c>
      <c r="D45" s="1281">
        <v>207.87</v>
      </c>
      <c r="E45" s="1283" t="s">
        <v>313</v>
      </c>
    </row>
    <row r="46" spans="1:5" s="1265" customFormat="1" ht="18.75" customHeight="1">
      <c r="A46" s="1279" t="s">
        <v>447</v>
      </c>
      <c r="B46" s="1280" t="s">
        <v>1250</v>
      </c>
      <c r="C46" s="1281">
        <f>SUM(C8+C9+C16+C20+C33+C37+C38+C39+C42+C43+C44+C45)</f>
        <v>1462329.75</v>
      </c>
      <c r="D46" s="1281">
        <f>SUM(D8+D9+D16+D20+D33+D37+D38+D39+D42+D43+D44+D45)</f>
        <v>1462329.75</v>
      </c>
      <c r="E46" s="1282">
        <f t="shared" si="0"/>
        <v>100</v>
      </c>
    </row>
    <row r="47" spans="1:5" s="136" customFormat="1" ht="18.75" customHeight="1">
      <c r="A47" s="1266" t="s">
        <v>532</v>
      </c>
      <c r="B47" s="1267" t="s">
        <v>1251</v>
      </c>
      <c r="C47" s="1268">
        <f>SUM(C48:C50)</f>
        <v>1165482.78</v>
      </c>
      <c r="D47" s="1268">
        <f>SUM(D48:D50)</f>
        <v>1165482.78</v>
      </c>
      <c r="E47" s="1269">
        <f t="shared" si="0"/>
        <v>100</v>
      </c>
    </row>
    <row r="48" spans="1:5" ht="15" customHeight="1">
      <c r="A48" s="1270" t="s">
        <v>714</v>
      </c>
      <c r="B48" s="1271" t="s">
        <v>1253</v>
      </c>
      <c r="C48" s="1272">
        <v>841303.96</v>
      </c>
      <c r="D48" s="1272">
        <v>841303.96</v>
      </c>
      <c r="E48" s="1273">
        <f t="shared" si="0"/>
        <v>100</v>
      </c>
    </row>
    <row r="49" spans="1:5" ht="15" customHeight="1">
      <c r="A49" s="1270" t="s">
        <v>715</v>
      </c>
      <c r="B49" s="1271" t="s">
        <v>1254</v>
      </c>
      <c r="C49" s="1272">
        <v>52976.31</v>
      </c>
      <c r="D49" s="1272">
        <v>52976.31</v>
      </c>
      <c r="E49" s="1273">
        <f t="shared" si="0"/>
        <v>100</v>
      </c>
    </row>
    <row r="50" spans="1:5" ht="15" customHeight="1">
      <c r="A50" s="1274" t="s">
        <v>716</v>
      </c>
      <c r="B50" s="1275" t="s">
        <v>1255</v>
      </c>
      <c r="C50" s="1276">
        <v>271202.51</v>
      </c>
      <c r="D50" s="1276">
        <v>271202.51</v>
      </c>
      <c r="E50" s="1277">
        <f t="shared" si="0"/>
        <v>100</v>
      </c>
    </row>
    <row r="51" spans="1:5" s="136" customFormat="1" ht="18.75" customHeight="1">
      <c r="A51" s="1261" t="s">
        <v>448</v>
      </c>
      <c r="B51" s="1262" t="s">
        <v>1256</v>
      </c>
      <c r="C51" s="1263">
        <v>4.33</v>
      </c>
      <c r="D51" s="1263">
        <v>4.33</v>
      </c>
      <c r="E51" s="1283" t="s">
        <v>313</v>
      </c>
    </row>
    <row r="52" spans="1:5" s="136" customFormat="1" ht="18.75" customHeight="1">
      <c r="A52" s="1266" t="s">
        <v>449</v>
      </c>
      <c r="B52" s="1267" t="s">
        <v>1257</v>
      </c>
      <c r="C52" s="1268">
        <f>SUM(C53)</f>
        <v>69815.98</v>
      </c>
      <c r="D52" s="1268">
        <f>SUM(D53)</f>
        <v>69815.98</v>
      </c>
      <c r="E52" s="1286">
        <f t="shared" si="0"/>
        <v>100</v>
      </c>
    </row>
    <row r="53" spans="1:5" ht="15" customHeight="1">
      <c r="A53" s="1270" t="s">
        <v>713</v>
      </c>
      <c r="B53" s="1271" t="s">
        <v>1258</v>
      </c>
      <c r="C53" s="1272">
        <v>69815.98</v>
      </c>
      <c r="D53" s="1272">
        <v>69815.98</v>
      </c>
      <c r="E53" s="1273">
        <f t="shared" si="0"/>
        <v>100</v>
      </c>
    </row>
    <row r="54" spans="1:5" ht="15" customHeight="1" hidden="1">
      <c r="A54" s="1274" t="s">
        <v>424</v>
      </c>
      <c r="B54" s="1275" t="s">
        <v>525</v>
      </c>
      <c r="C54" s="1276">
        <v>0</v>
      </c>
      <c r="D54" s="1276">
        <v>0</v>
      </c>
      <c r="E54" s="1273" t="e">
        <f t="shared" si="0"/>
        <v>#DIV/0!</v>
      </c>
    </row>
    <row r="55" spans="1:5" s="136" customFormat="1" ht="18.75" customHeight="1">
      <c r="A55" s="1279" t="s">
        <v>450</v>
      </c>
      <c r="B55" s="1280" t="s">
        <v>1259</v>
      </c>
      <c r="C55" s="1281">
        <f>SUM(C47+C51+C52)</f>
        <v>1235303.09</v>
      </c>
      <c r="D55" s="1281">
        <f>SUM(D47+D51+D52)</f>
        <v>1235303.09</v>
      </c>
      <c r="E55" s="1282">
        <f t="shared" si="0"/>
        <v>100</v>
      </c>
    </row>
    <row r="56" spans="1:6" s="136" customFormat="1" ht="18.75" customHeight="1" thickBot="1">
      <c r="A56" s="1284" t="s">
        <v>451</v>
      </c>
      <c r="B56" s="1285" t="s">
        <v>1260</v>
      </c>
      <c r="C56" s="1287">
        <f>SUM(C55-C46)</f>
        <v>-227026.65999999992</v>
      </c>
      <c r="D56" s="1287">
        <f>SUM(D55-D46)</f>
        <v>-227026.65999999992</v>
      </c>
      <c r="E56" s="1288" t="s">
        <v>313</v>
      </c>
      <c r="F56" s="1265"/>
    </row>
    <row r="57" spans="4:6" ht="12.75">
      <c r="D57" s="1249"/>
      <c r="E57" s="1248"/>
      <c r="F57" s="1248"/>
    </row>
  </sheetData>
  <sheetProtection password="CF93" sheet="1" formatRows="0" insertColumns="0" insertRows="0" insertHyperlinks="0" deleteColumns="0" deleteRows="0" sort="0" autoFilter="0" pivotTables="0"/>
  <mergeCells count="2">
    <mergeCell ref="A3:E3"/>
    <mergeCell ref="D1:E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143"/>
  <sheetViews>
    <sheetView view="pageBreakPreview" zoomScaleSheetLayoutView="100" zoomScalePageLayoutView="0" workbookViewId="0" topLeftCell="A19">
      <selection activeCell="H16" sqref="H16"/>
    </sheetView>
  </sheetViews>
  <sheetFormatPr defaultColWidth="9.00390625" defaultRowHeight="12.75"/>
  <cols>
    <col min="1" max="1" width="3.625" style="1" customWidth="1"/>
    <col min="2" max="2" width="34.375" style="2" customWidth="1"/>
    <col min="3" max="3" width="13.625" style="2" customWidth="1"/>
    <col min="4" max="4" width="13.875" style="2" customWidth="1"/>
    <col min="5" max="5" width="9.125" style="3" customWidth="1"/>
    <col min="6" max="6" width="8.125" style="2" customWidth="1"/>
    <col min="7" max="7" width="9.125" style="2" customWidth="1"/>
    <col min="8" max="8" width="28.375" style="2" customWidth="1"/>
    <col min="9" max="16384" width="9.125" style="2" customWidth="1"/>
  </cols>
  <sheetData>
    <row r="1" spans="1:6" s="156" customFormat="1" ht="12.75">
      <c r="A1" s="165"/>
      <c r="D1" s="159"/>
      <c r="E1" s="1382" t="s">
        <v>168</v>
      </c>
      <c r="F1" s="1382"/>
    </row>
    <row r="2" spans="1:5" s="156" customFormat="1" ht="11.25" customHeight="1">
      <c r="A2" s="165"/>
      <c r="D2" s="155"/>
      <c r="E2" s="155"/>
    </row>
    <row r="3" spans="1:6" s="156" customFormat="1" ht="13.5" customHeight="1">
      <c r="A3" s="1370" t="s">
        <v>1117</v>
      </c>
      <c r="B3" s="1370"/>
      <c r="C3" s="1370"/>
      <c r="D3" s="1370"/>
      <c r="E3" s="1370"/>
      <c r="F3" s="1370"/>
    </row>
    <row r="4" spans="1:5" s="156" customFormat="1" ht="2.25" customHeight="1">
      <c r="A4" s="1367"/>
      <c r="B4" s="1367"/>
      <c r="C4" s="1367"/>
      <c r="D4" s="1367"/>
      <c r="E4" s="1367"/>
    </row>
    <row r="5" spans="1:6" s="156" customFormat="1" ht="13.5" thickBot="1">
      <c r="A5" s="158"/>
      <c r="B5" s="158"/>
      <c r="C5" s="158"/>
      <c r="D5" s="158"/>
      <c r="E5" s="309"/>
      <c r="F5" s="309" t="s">
        <v>1426</v>
      </c>
    </row>
    <row r="6" spans="1:6" s="156" customFormat="1" ht="15" customHeight="1">
      <c r="A6" s="1371" t="s">
        <v>338</v>
      </c>
      <c r="B6" s="1373" t="s">
        <v>255</v>
      </c>
      <c r="C6" s="1368" t="s">
        <v>410</v>
      </c>
      <c r="D6" s="1369"/>
      <c r="E6" s="1375" t="s">
        <v>247</v>
      </c>
      <c r="F6" s="1377" t="s">
        <v>248</v>
      </c>
    </row>
    <row r="7" spans="1:6" s="156" customFormat="1" ht="12.75">
      <c r="A7" s="1372"/>
      <c r="B7" s="1374"/>
      <c r="C7" s="310" t="s">
        <v>1429</v>
      </c>
      <c r="D7" s="311" t="s">
        <v>1430</v>
      </c>
      <c r="E7" s="1376"/>
      <c r="F7" s="1378"/>
    </row>
    <row r="8" spans="1:6" s="314" customFormat="1" ht="12" customHeight="1" thickBot="1">
      <c r="A8" s="312">
        <v>1</v>
      </c>
      <c r="B8" s="169">
        <v>2</v>
      </c>
      <c r="C8" s="169">
        <v>3</v>
      </c>
      <c r="D8" s="169">
        <v>4</v>
      </c>
      <c r="E8" s="168">
        <v>5</v>
      </c>
      <c r="F8" s="313">
        <v>6</v>
      </c>
    </row>
    <row r="9" spans="1:6" s="156" customFormat="1" ht="18" customHeight="1">
      <c r="A9" s="315" t="s">
        <v>339</v>
      </c>
      <c r="B9" s="316" t="s">
        <v>340</v>
      </c>
      <c r="C9" s="317">
        <f>SUM(C10,C15)</f>
        <v>209541943.92</v>
      </c>
      <c r="D9" s="317">
        <f>SUM(D10,D15)</f>
        <v>186410240.81</v>
      </c>
      <c r="E9" s="318">
        <f>D9*100/C9</f>
        <v>88.96082441669466</v>
      </c>
      <c r="F9" s="319">
        <f>D9/D$9*100</f>
        <v>100</v>
      </c>
    </row>
    <row r="10" spans="1:6" s="325" customFormat="1" ht="18" customHeight="1">
      <c r="A10" s="320" t="s">
        <v>341</v>
      </c>
      <c r="B10" s="321" t="s">
        <v>150</v>
      </c>
      <c r="C10" s="322">
        <f>SUM(C11,C12,C13,C14)</f>
        <v>170208871.92</v>
      </c>
      <c r="D10" s="322">
        <f>SUM(D11,D12,D13,D14)</f>
        <v>178338958.35</v>
      </c>
      <c r="E10" s="323">
        <f aca="true" t="shared" si="0" ref="E10:E17">D10*100/C10</f>
        <v>104.77653505266238</v>
      </c>
      <c r="F10" s="324">
        <f aca="true" t="shared" si="1" ref="F10:F17">D10/D$9*100</f>
        <v>95.67015072512743</v>
      </c>
    </row>
    <row r="11" spans="1:6" s="156" customFormat="1" ht="27.75" customHeight="1">
      <c r="A11" s="326" t="s">
        <v>153</v>
      </c>
      <c r="B11" s="327" t="s">
        <v>870</v>
      </c>
      <c r="C11" s="328">
        <f>SUM(6D!E10,6D!E65,6D!E66,6D!E82,6D!E108,6D!E110,6D!E117,6D!E136,6D!E166,6D!E173,6D!E175,6D!E178,6D!E191,6D!E192,6D!E193,6D!E206,6D!E207,6D!E217,6D!E224,6D!E229,6D!E230,6D!E234,6D!E235,6D!E240,6D!E244,6D!E248,6D!E251,6D!E252,6D!E267,6D!E320)+6D!E340+6D!E344+6D!E347+6D!E349+6D!E352+6D!E359+6D!E366+6D!E381+6D!E397+6D!E403+6D!E408+6D!E410+6D!E414+6D!E417+6D!E435+6D!E160+6D!E372+6D!E164+6D!E376+6D!E378+6D!E383+6D!E391+6D!E412+6D!E423+6D!E431+6D!E433+6D!E363+6D!E360+6D!E441+6D!E93+6D!E112</f>
        <v>102445651.92</v>
      </c>
      <c r="D11" s="328">
        <f>SUM(6D!F10,6D!F65,6D!F66,6D!F82,6D!F108,6D!F110,6D!F117,6D!F136,6D!F166,6D!F173,6D!F175,6D!F178,6D!F191,6D!F192,6D!F193,6D!F206,6D!F207,6D!F217,6D!F224,6D!F229,6D!F230,6D!F234,6D!F235,6D!F240,6D!F244,6D!F248,6D!F251,6D!F252,6D!F267,6D!F320)+6D!F340+6D!F344+6D!F347+6D!F349+6D!F352+6D!F359+6D!F366+6D!F381+6D!F397+6D!F403+6D!F408+6D!F410+6D!F414+6D!F417+6D!F435+6D!F160+6D!F372+6D!F164+6D!F376+6D!F378+6D!F383+6D!F391+6D!F412+6D!F423+6D!F431+6D!F433+6D!F363+6D!F360+6D!F441+6D!F93+6D!F112</f>
        <v>101702851.05000001</v>
      </c>
      <c r="E11" s="329">
        <f t="shared" si="0"/>
        <v>99.27493177496684</v>
      </c>
      <c r="F11" s="330">
        <f t="shared" si="1"/>
        <v>54.55861792145925</v>
      </c>
    </row>
    <row r="12" spans="1:6" s="156" customFormat="1" ht="26.25" customHeight="1">
      <c r="A12" s="326" t="s">
        <v>154</v>
      </c>
      <c r="B12" s="331" t="s">
        <v>512</v>
      </c>
      <c r="C12" s="328">
        <f>SUM(6D!E99,6D!E101,6D!E122,6D!E260,6D!E262,6D!E309,6D!E386,6D!E388,6D!E406,6D!E425,6D!E427,6D!E436,6D!E438)</f>
        <v>3296354</v>
      </c>
      <c r="D12" s="328">
        <f>SUM(6D!F99,6D!F101,6D!F122,6D!F260,6D!F262,6D!F309,6D!F386,6D!F388,6D!F406,6D!F425,6D!F427,6D!F436,6D!F438)</f>
        <v>2252046.65</v>
      </c>
      <c r="E12" s="329">
        <f t="shared" si="0"/>
        <v>68.31932037639162</v>
      </c>
      <c r="F12" s="330">
        <f t="shared" si="1"/>
        <v>1.2081131595637038</v>
      </c>
    </row>
    <row r="13" spans="1:6" s="156" customFormat="1" ht="18" customHeight="1">
      <c r="A13" s="326" t="s">
        <v>155</v>
      </c>
      <c r="B13" s="331" t="s">
        <v>151</v>
      </c>
      <c r="C13" s="328">
        <f>SUM(6D!E44,6D!E103,6D!E104,6D!E123,6D!E186,6D!E194)</f>
        <v>81350</v>
      </c>
      <c r="D13" s="328">
        <f>SUM(6D!F44,6D!F103,6D!F104,6D!F123,6D!F186,6D!F194)</f>
        <v>81861.57</v>
      </c>
      <c r="E13" s="329">
        <f>D13*100/C13</f>
        <v>100.62885064535956</v>
      </c>
      <c r="F13" s="330">
        <f>D13/D$9*100</f>
        <v>0.043914738613227804</v>
      </c>
    </row>
    <row r="14" spans="1:6" s="156" customFormat="1" ht="18" customHeight="1">
      <c r="A14" s="326" t="s">
        <v>161</v>
      </c>
      <c r="B14" s="331" t="s">
        <v>152</v>
      </c>
      <c r="C14" s="328">
        <f>C47-C15-C11-C12-C13</f>
        <v>64385515.999999985</v>
      </c>
      <c r="D14" s="328">
        <f>D47-D15-D11-D12-D13</f>
        <v>74302199.07999998</v>
      </c>
      <c r="E14" s="329">
        <f>D14*100/C14</f>
        <v>115.40204023526036</v>
      </c>
      <c r="F14" s="330">
        <f>D14/D$9*100</f>
        <v>39.859504905491235</v>
      </c>
    </row>
    <row r="15" spans="1:6" s="325" customFormat="1" ht="18" customHeight="1">
      <c r="A15" s="320" t="s">
        <v>342</v>
      </c>
      <c r="B15" s="332" t="s">
        <v>145</v>
      </c>
      <c r="C15" s="322">
        <f>SUM(C16:C19)</f>
        <v>39333072</v>
      </c>
      <c r="D15" s="322">
        <f>SUM(D16:D19)</f>
        <v>8071282.46</v>
      </c>
      <c r="E15" s="333">
        <f t="shared" si="0"/>
        <v>20.520345982637714</v>
      </c>
      <c r="F15" s="324">
        <f t="shared" si="1"/>
        <v>4.329849274872571</v>
      </c>
    </row>
    <row r="16" spans="1:6" s="156" customFormat="1" ht="27" customHeight="1">
      <c r="A16" s="326" t="s">
        <v>156</v>
      </c>
      <c r="B16" s="331" t="s">
        <v>504</v>
      </c>
      <c r="C16" s="328">
        <f>SUM(6D!E14,6D!E26,6D!E41,6D!E61,6D!E62,6D!E87,6D!E170,6D!E270,6D!E292)</f>
        <v>31326000</v>
      </c>
      <c r="D16" s="328">
        <f>SUM(6D!F14,6D!F26,6D!F41,6D!F61,6D!F62,6D!F87,6D!F170,6D!F270,6D!F292)</f>
        <v>4877752.17</v>
      </c>
      <c r="E16" s="334">
        <f>D16*100/C16</f>
        <v>15.570938421758283</v>
      </c>
      <c r="F16" s="330">
        <f>D16/D$9*100</f>
        <v>2.616676073591732</v>
      </c>
    </row>
    <row r="17" spans="1:6" s="156" customFormat="1" ht="18.75" customHeight="1">
      <c r="A17" s="326" t="s">
        <v>157</v>
      </c>
      <c r="B17" s="331" t="s">
        <v>832</v>
      </c>
      <c r="C17" s="328">
        <f>SUM(6D!E51,6D!E195,6D!E311,6D!E335,6D!E337,6D!E341,6D!E364,6D!E392,6D!E442,6D!E379)</f>
        <v>122</v>
      </c>
      <c r="D17" s="328">
        <f>SUM(6D!F51,6D!F195,6D!F311,6D!F335,6D!F337,6D!F341,6D!F364,6D!F392,6D!F442,6D!F379)</f>
        <v>122</v>
      </c>
      <c r="E17" s="334">
        <f t="shared" si="0"/>
        <v>100</v>
      </c>
      <c r="F17" s="330">
        <f t="shared" si="1"/>
        <v>6.544704811810709E-05</v>
      </c>
    </row>
    <row r="18" spans="1:6" s="156" customFormat="1" ht="18" customHeight="1" hidden="1">
      <c r="A18" s="326" t="s">
        <v>160</v>
      </c>
      <c r="B18" s="331" t="s">
        <v>388</v>
      </c>
      <c r="C18" s="335">
        <f>SUM(6D!E273,6D!E276)</f>
        <v>0</v>
      </c>
      <c r="D18" s="335">
        <f>SUM(6D!F273,6D!F276)</f>
        <v>0</v>
      </c>
      <c r="E18" s="334" t="e">
        <f>D18*100/C18</f>
        <v>#DIV/0!</v>
      </c>
      <c r="F18" s="330">
        <f>D18/D$9*100</f>
        <v>0</v>
      </c>
    </row>
    <row r="19" spans="1:6" s="156" customFormat="1" ht="24.75" customHeight="1">
      <c r="A19" s="326" t="s">
        <v>160</v>
      </c>
      <c r="B19" s="331" t="s">
        <v>389</v>
      </c>
      <c r="C19" s="335">
        <f>SUM(6D!E35,6D!E37,6D!E49,6D!E70,6D!E253,6D!E277,6D!E310,6D!E324,6D!E332,6D!E333)</f>
        <v>8006950</v>
      </c>
      <c r="D19" s="335">
        <f>SUM(6D!F35,6D!F37,6D!F49,6D!F70,6D!F253,6D!F277,6D!F310,6D!F324,6D!F332,6D!F333)</f>
        <v>3193408.29</v>
      </c>
      <c r="E19" s="334">
        <f>D19*100/C19</f>
        <v>39.882955307576545</v>
      </c>
      <c r="F19" s="330">
        <f>D19/D$9*100</f>
        <v>1.713107754232722</v>
      </c>
    </row>
    <row r="20" spans="1:6" s="156" customFormat="1" ht="18" customHeight="1">
      <c r="A20" s="927" t="s">
        <v>346</v>
      </c>
      <c r="B20" s="928" t="s">
        <v>347</v>
      </c>
      <c r="C20" s="802">
        <f>SUM(C21,C31)</f>
        <v>207398383.92000002</v>
      </c>
      <c r="D20" s="802">
        <f>SUM(D21,D31)</f>
        <v>181730739.17000002</v>
      </c>
      <c r="E20" s="929">
        <f aca="true" t="shared" si="2" ref="E20:E31">D20*100/C20</f>
        <v>87.62398999217814</v>
      </c>
      <c r="F20" s="930">
        <f>D20/D$20*100</f>
        <v>100</v>
      </c>
    </row>
    <row r="21" spans="1:6" s="325" customFormat="1" ht="18" customHeight="1">
      <c r="A21" s="320" t="s">
        <v>341</v>
      </c>
      <c r="B21" s="931" t="s">
        <v>360</v>
      </c>
      <c r="C21" s="322">
        <f>SUM(C22,C25,C27,C28,C29,C30)</f>
        <v>159785967.92000002</v>
      </c>
      <c r="D21" s="322">
        <f>SUM(D22,D25,D27,D28,D29,D30)</f>
        <v>152036260.20000002</v>
      </c>
      <c r="E21" s="932">
        <f t="shared" si="2"/>
        <v>95.14994475367196</v>
      </c>
      <c r="F21" s="324">
        <f aca="true" t="shared" si="3" ref="F21:F34">D21/D$20*100</f>
        <v>83.6601781814015</v>
      </c>
    </row>
    <row r="22" spans="1:6" s="156" customFormat="1" ht="18" customHeight="1">
      <c r="A22" s="326" t="s">
        <v>153</v>
      </c>
      <c r="B22" s="836" t="s">
        <v>180</v>
      </c>
      <c r="C22" s="328">
        <f>SUM(9W!D749)</f>
        <v>120677521.92</v>
      </c>
      <c r="D22" s="328">
        <f>SUM(9W!E749)</f>
        <v>115759486.74000001</v>
      </c>
      <c r="E22" s="933">
        <f t="shared" si="2"/>
        <v>95.92464685903951</v>
      </c>
      <c r="F22" s="934">
        <f>D22/D$20*100</f>
        <v>63.698352446425034</v>
      </c>
    </row>
    <row r="23" spans="1:6" s="156" customFormat="1" ht="18" customHeight="1">
      <c r="A23" s="326"/>
      <c r="B23" s="935" t="s">
        <v>181</v>
      </c>
      <c r="C23" s="819">
        <f>SUM(9W!D750)</f>
        <v>55444996.92</v>
      </c>
      <c r="D23" s="819">
        <f>SUM(9W!E750)</f>
        <v>51514553</v>
      </c>
      <c r="E23" s="933">
        <f t="shared" si="2"/>
        <v>92.91109362730937</v>
      </c>
      <c r="F23" s="934">
        <f>D23/D$20*100</f>
        <v>28.346637027548056</v>
      </c>
    </row>
    <row r="24" spans="1:7" s="156" customFormat="1" ht="15.75" customHeight="1">
      <c r="A24" s="936"/>
      <c r="B24" s="818" t="s">
        <v>178</v>
      </c>
      <c r="C24" s="819">
        <f>SUM(9W!D751)</f>
        <v>65232525</v>
      </c>
      <c r="D24" s="819">
        <f>SUM(9W!E751)</f>
        <v>64244933.74000001</v>
      </c>
      <c r="E24" s="933">
        <f t="shared" si="2"/>
        <v>98.48604471465731</v>
      </c>
      <c r="F24" s="934">
        <f>D24/D$20*100</f>
        <v>35.351715418876985</v>
      </c>
      <c r="G24" s="156" t="s">
        <v>802</v>
      </c>
    </row>
    <row r="25" spans="1:6" s="156" customFormat="1" ht="16.5" customHeight="1">
      <c r="A25" s="326" t="s">
        <v>154</v>
      </c>
      <c r="B25" s="327" t="s">
        <v>182</v>
      </c>
      <c r="C25" s="328">
        <f>SUM(9W!D752)</f>
        <v>9280</v>
      </c>
      <c r="D25" s="328">
        <f>SUM(9W!E752)</f>
        <v>8712.57</v>
      </c>
      <c r="E25" s="342">
        <f t="shared" si="2"/>
        <v>93.8854525862069</v>
      </c>
      <c r="F25" s="330">
        <f>D25/D$20*100</f>
        <v>0.004794219205728221</v>
      </c>
    </row>
    <row r="26" spans="1:6" s="822" customFormat="1" ht="16.5" customHeight="1">
      <c r="A26" s="936"/>
      <c r="B26" s="818" t="s">
        <v>1047</v>
      </c>
      <c r="C26" s="819">
        <v>20280</v>
      </c>
      <c r="D26" s="819">
        <v>6180.51</v>
      </c>
      <c r="E26" s="933">
        <f t="shared" si="2"/>
        <v>30.475887573964496</v>
      </c>
      <c r="F26" s="934">
        <f>D26/D$20*100</f>
        <v>0.0034009161181138667</v>
      </c>
    </row>
    <row r="27" spans="1:7" s="156" customFormat="1" ht="18" customHeight="1">
      <c r="A27" s="326" t="s">
        <v>155</v>
      </c>
      <c r="B27" s="836" t="s">
        <v>509</v>
      </c>
      <c r="C27" s="328">
        <f>SUM(9W!D754)</f>
        <v>18207758</v>
      </c>
      <c r="D27" s="328">
        <f>SUM(9W!E754)</f>
        <v>17730577.16</v>
      </c>
      <c r="E27" s="342">
        <f t="shared" si="2"/>
        <v>97.37924438582718</v>
      </c>
      <c r="F27" s="330">
        <f t="shared" si="3"/>
        <v>9.756509680739224</v>
      </c>
      <c r="G27" s="156" t="s">
        <v>1252</v>
      </c>
    </row>
    <row r="28" spans="1:6" s="156" customFormat="1" ht="18" customHeight="1">
      <c r="A28" s="326" t="s">
        <v>161</v>
      </c>
      <c r="B28" s="836" t="s">
        <v>183</v>
      </c>
      <c r="C28" s="328">
        <f>SUM(9W!D755)</f>
        <v>13345911</v>
      </c>
      <c r="D28" s="328">
        <f>SUM(9W!E755)</f>
        <v>13122280.46</v>
      </c>
      <c r="E28" s="342">
        <f t="shared" si="2"/>
        <v>98.32435163099768</v>
      </c>
      <c r="F28" s="330">
        <f t="shared" si="3"/>
        <v>7.220726950174766</v>
      </c>
    </row>
    <row r="29" spans="1:6" s="156" customFormat="1" ht="18" customHeight="1">
      <c r="A29" s="326" t="s">
        <v>185</v>
      </c>
      <c r="B29" s="836" t="s">
        <v>834</v>
      </c>
      <c r="C29" s="328">
        <f>9W!D756</f>
        <v>3820497</v>
      </c>
      <c r="D29" s="328">
        <f>9W!E756</f>
        <v>2368919.58</v>
      </c>
      <c r="E29" s="342">
        <f>D29*100/C29</f>
        <v>62.005534358487914</v>
      </c>
      <c r="F29" s="330">
        <f>D29/D$20*100</f>
        <v>1.3035326829238252</v>
      </c>
    </row>
    <row r="30" spans="1:6" s="156" customFormat="1" ht="18" customHeight="1">
      <c r="A30" s="326" t="s">
        <v>833</v>
      </c>
      <c r="B30" s="836" t="s">
        <v>163</v>
      </c>
      <c r="C30" s="328">
        <f>SUM(9W!D757)</f>
        <v>3725000</v>
      </c>
      <c r="D30" s="328">
        <f>SUM(9W!E757)</f>
        <v>3046283.69</v>
      </c>
      <c r="E30" s="342">
        <f t="shared" si="2"/>
        <v>81.77942791946309</v>
      </c>
      <c r="F30" s="330">
        <f t="shared" si="3"/>
        <v>1.6762622019329123</v>
      </c>
    </row>
    <row r="31" spans="1:6" s="325" customFormat="1" ht="18" customHeight="1">
      <c r="A31" s="320" t="s">
        <v>342</v>
      </c>
      <c r="B31" s="931" t="s">
        <v>1343</v>
      </c>
      <c r="C31" s="322">
        <f>SUM(C32,C33,C34)</f>
        <v>47612416</v>
      </c>
      <c r="D31" s="322">
        <f>SUM(D32,D33,D34)</f>
        <v>29694478.969999995</v>
      </c>
      <c r="E31" s="932">
        <f t="shared" si="2"/>
        <v>62.36709132760664</v>
      </c>
      <c r="F31" s="324">
        <f t="shared" si="3"/>
        <v>16.3398218185985</v>
      </c>
    </row>
    <row r="32" spans="1:6" s="156" customFormat="1" ht="18" customHeight="1">
      <c r="A32" s="326" t="s">
        <v>156</v>
      </c>
      <c r="B32" s="327" t="s">
        <v>184</v>
      </c>
      <c r="C32" s="754">
        <f>SUM(9W!D759)</f>
        <v>42426800</v>
      </c>
      <c r="D32" s="754">
        <f>SUM(9W!E759)</f>
        <v>27178652.159999996</v>
      </c>
      <c r="E32" s="342">
        <f>D32*100/C32</f>
        <v>64.06010389659365</v>
      </c>
      <c r="F32" s="330">
        <f t="shared" si="3"/>
        <v>14.955451281456423</v>
      </c>
    </row>
    <row r="33" spans="1:6" s="156" customFormat="1" ht="18" customHeight="1">
      <c r="A33" s="326" t="s">
        <v>157</v>
      </c>
      <c r="B33" s="836" t="s">
        <v>162</v>
      </c>
      <c r="C33" s="754">
        <f>SUM(9W!D760)</f>
        <v>1756879</v>
      </c>
      <c r="D33" s="754">
        <f>SUM(9W!E760)</f>
        <v>1237252.74</v>
      </c>
      <c r="E33" s="342">
        <f>D33*100/C33</f>
        <v>70.42333251180075</v>
      </c>
      <c r="F33" s="330">
        <f t="shared" si="3"/>
        <v>0.6808164351560866</v>
      </c>
    </row>
    <row r="34" spans="1:6" s="156" customFormat="1" ht="18" customHeight="1">
      <c r="A34" s="937" t="s">
        <v>160</v>
      </c>
      <c r="B34" s="938" t="s">
        <v>221</v>
      </c>
      <c r="C34" s="535">
        <f>SUM(9W!D761)</f>
        <v>3428737</v>
      </c>
      <c r="D34" s="535">
        <f>SUM(9W!E761)</f>
        <v>1278574.07</v>
      </c>
      <c r="E34" s="939">
        <f>D34*100/C34</f>
        <v>37.28994291484007</v>
      </c>
      <c r="F34" s="940">
        <f t="shared" si="3"/>
        <v>0.7035541019859926</v>
      </c>
    </row>
    <row r="35" spans="1:6" s="156" customFormat="1" ht="18" customHeight="1">
      <c r="A35" s="343" t="s">
        <v>348</v>
      </c>
      <c r="B35" s="344" t="s">
        <v>227</v>
      </c>
      <c r="C35" s="273">
        <f>C9-C20</f>
        <v>2143559.99999997</v>
      </c>
      <c r="D35" s="273">
        <f>D9-D20</f>
        <v>4679501.639999986</v>
      </c>
      <c r="E35" s="345" t="s">
        <v>349</v>
      </c>
      <c r="F35" s="941" t="s">
        <v>349</v>
      </c>
    </row>
    <row r="36" spans="1:6" s="156" customFormat="1" ht="18.75" customHeight="1">
      <c r="A36" s="343" t="s">
        <v>358</v>
      </c>
      <c r="B36" s="344" t="s">
        <v>533</v>
      </c>
      <c r="C36" s="273">
        <f>C37-C41</f>
        <v>-2143560</v>
      </c>
      <c r="D36" s="273">
        <f>D37-D41</f>
        <v>-2143559.51</v>
      </c>
      <c r="E36" s="345" t="s">
        <v>349</v>
      </c>
      <c r="F36" s="346" t="s">
        <v>349</v>
      </c>
    </row>
    <row r="37" spans="1:6" s="156" customFormat="1" ht="18" customHeight="1">
      <c r="A37" s="336" t="s">
        <v>341</v>
      </c>
      <c r="B37" s="337" t="s">
        <v>329</v>
      </c>
      <c r="C37" s="338">
        <f>SUM(C38,C39,C40)</f>
        <v>6656440</v>
      </c>
      <c r="D37" s="338">
        <f>SUM(D38,D39,D40)</f>
        <v>6656440.49</v>
      </c>
      <c r="E37" s="339">
        <f aca="true" t="shared" si="4" ref="E37:E44">D37/C37*100</f>
        <v>100.00000736129222</v>
      </c>
      <c r="F37" s="340">
        <f>D37/D$37*100</f>
        <v>100</v>
      </c>
    </row>
    <row r="38" spans="1:6" s="156" customFormat="1" ht="18" customHeight="1" hidden="1">
      <c r="A38" s="336"/>
      <c r="B38" s="341" t="s">
        <v>1059</v>
      </c>
      <c r="C38" s="328">
        <f>5PiR!D9</f>
        <v>0</v>
      </c>
      <c r="D38" s="328">
        <f>5PiR!E9</f>
        <v>0</v>
      </c>
      <c r="E38" s="342" t="e">
        <f t="shared" si="4"/>
        <v>#DIV/0!</v>
      </c>
      <c r="F38" s="330">
        <f>D38/D$37*100</f>
        <v>0</v>
      </c>
    </row>
    <row r="39" spans="1:6" s="156" customFormat="1" ht="18" customHeight="1" hidden="1">
      <c r="A39" s="336"/>
      <c r="B39" s="341" t="s">
        <v>228</v>
      </c>
      <c r="C39" s="328">
        <f>5PiR!D10</f>
        <v>0</v>
      </c>
      <c r="D39" s="328">
        <f>5PiR!E10</f>
        <v>0</v>
      </c>
      <c r="E39" s="347" t="s">
        <v>313</v>
      </c>
      <c r="F39" s="330">
        <f>D39/D$37*100</f>
        <v>0</v>
      </c>
    </row>
    <row r="40" spans="1:6" s="156" customFormat="1" ht="18" customHeight="1">
      <c r="A40" s="336"/>
      <c r="B40" s="341" t="s">
        <v>444</v>
      </c>
      <c r="C40" s="328">
        <f>SUM(5PiR!D11)</f>
        <v>6656440</v>
      </c>
      <c r="D40" s="328">
        <f>SUM(5PiR!E11)</f>
        <v>6656440.49</v>
      </c>
      <c r="E40" s="342">
        <f t="shared" si="4"/>
        <v>100.00000736129222</v>
      </c>
      <c r="F40" s="330">
        <f>D40/D$37*100</f>
        <v>100</v>
      </c>
    </row>
    <row r="41" spans="1:6" s="156" customFormat="1" ht="18" customHeight="1">
      <c r="A41" s="336" t="s">
        <v>342</v>
      </c>
      <c r="B41" s="337" t="s">
        <v>1364</v>
      </c>
      <c r="C41" s="348">
        <f>SUM(C42,C43,C44)</f>
        <v>8800000</v>
      </c>
      <c r="D41" s="348">
        <f>SUM(D42,D43,D44)</f>
        <v>8800000</v>
      </c>
      <c r="E41" s="339">
        <f t="shared" si="4"/>
        <v>100</v>
      </c>
      <c r="F41" s="349">
        <f>D41/D$41*100</f>
        <v>100</v>
      </c>
    </row>
    <row r="42" spans="1:6" s="156" customFormat="1" ht="18" customHeight="1">
      <c r="A42" s="336"/>
      <c r="B42" s="341" t="s">
        <v>158</v>
      </c>
      <c r="C42" s="335">
        <f>SUM(5PiR!D15)</f>
        <v>2800000</v>
      </c>
      <c r="D42" s="335">
        <f>SUM(5PiR!E15)</f>
        <v>2800000</v>
      </c>
      <c r="E42" s="342">
        <f t="shared" si="4"/>
        <v>100</v>
      </c>
      <c r="F42" s="330">
        <f>D42/D$41*100</f>
        <v>31.818181818181817</v>
      </c>
    </row>
    <row r="43" spans="1:6" s="156" customFormat="1" ht="18" customHeight="1" hidden="1">
      <c r="A43" s="336"/>
      <c r="B43" s="341" t="s">
        <v>159</v>
      </c>
      <c r="C43" s="335">
        <f>SUM(5PiR!D13)</f>
        <v>0</v>
      </c>
      <c r="D43" s="335">
        <f>SUM(5PiR!E13)</f>
        <v>0</v>
      </c>
      <c r="E43" s="342" t="e">
        <f t="shared" si="4"/>
        <v>#DIV/0!</v>
      </c>
      <c r="F43" s="330">
        <f>D43/D$41*100</f>
        <v>0</v>
      </c>
    </row>
    <row r="44" spans="1:6" s="156" customFormat="1" ht="18" customHeight="1">
      <c r="A44" s="336"/>
      <c r="B44" s="341" t="s">
        <v>234</v>
      </c>
      <c r="C44" s="335">
        <f>SUM(5PiR!D14)</f>
        <v>6000000</v>
      </c>
      <c r="D44" s="335">
        <f>SUM(5PiR!E14)</f>
        <v>6000000</v>
      </c>
      <c r="E44" s="342">
        <f t="shared" si="4"/>
        <v>100</v>
      </c>
      <c r="F44" s="330">
        <f>D44/D$41*100</f>
        <v>68.18181818181817</v>
      </c>
    </row>
    <row r="45" spans="1:6" s="156" customFormat="1" ht="0.75" customHeight="1" thickBot="1">
      <c r="A45" s="942"/>
      <c r="B45" s="943"/>
      <c r="C45" s="944"/>
      <c r="D45" s="944"/>
      <c r="E45" s="945"/>
      <c r="F45" s="946"/>
    </row>
    <row r="46" spans="1:5" s="156" customFormat="1" ht="14.25" customHeight="1">
      <c r="A46" s="158"/>
      <c r="B46" s="947"/>
      <c r="C46" s="948"/>
      <c r="D46" s="948"/>
      <c r="E46" s="309"/>
    </row>
    <row r="47" spans="1:5" s="156" customFormat="1" ht="15.75" customHeight="1">
      <c r="A47" s="165"/>
      <c r="B47" s="305" t="s">
        <v>165</v>
      </c>
      <c r="C47" s="306">
        <v>209541943.92</v>
      </c>
      <c r="D47" s="306">
        <v>186410240.81</v>
      </c>
      <c r="E47" s="307"/>
    </row>
    <row r="48" spans="1:5" s="156" customFormat="1" ht="15.75" customHeight="1">
      <c r="A48" s="165"/>
      <c r="B48" s="305" t="s">
        <v>166</v>
      </c>
      <c r="C48" s="308">
        <f>C9</f>
        <v>209541943.92</v>
      </c>
      <c r="D48" s="308">
        <f>D9</f>
        <v>186410240.81</v>
      </c>
      <c r="E48" s="307"/>
    </row>
    <row r="49" spans="1:5" s="156" customFormat="1" ht="15.75" customHeight="1" thickBot="1">
      <c r="A49" s="165"/>
      <c r="B49" s="305" t="s">
        <v>1392</v>
      </c>
      <c r="C49" s="949">
        <f>C47-C48</f>
        <v>0</v>
      </c>
      <c r="D49" s="949">
        <f>D47-D48</f>
        <v>0</v>
      </c>
      <c r="E49" s="307"/>
    </row>
    <row r="50" spans="1:5" s="156" customFormat="1" ht="15.75" customHeight="1" thickTop="1">
      <c r="A50" s="165"/>
      <c r="B50" s="305"/>
      <c r="C50" s="950"/>
      <c r="D50" s="950"/>
      <c r="E50" s="307"/>
    </row>
    <row r="51" spans="1:5" s="156" customFormat="1" ht="15.75" customHeight="1">
      <c r="A51" s="165"/>
      <c r="B51" s="305" t="s">
        <v>164</v>
      </c>
      <c r="C51" s="950">
        <v>207398383.92</v>
      </c>
      <c r="D51" s="950">
        <v>181730739.17</v>
      </c>
      <c r="E51" s="307"/>
    </row>
    <row r="52" spans="1:5" s="156" customFormat="1" ht="15.75" customHeight="1">
      <c r="A52" s="165"/>
      <c r="B52" s="305" t="s">
        <v>166</v>
      </c>
      <c r="C52" s="951">
        <f>SUM(C20)</f>
        <v>207398383.92000002</v>
      </c>
      <c r="D52" s="951">
        <f>SUM(D20)</f>
        <v>181730739.17000002</v>
      </c>
      <c r="E52" s="307"/>
    </row>
    <row r="53" spans="1:5" s="156" customFormat="1" ht="13.5" thickBot="1">
      <c r="A53" s="165"/>
      <c r="B53" s="305" t="s">
        <v>1392</v>
      </c>
      <c r="C53" s="952">
        <f>C51-C52</f>
        <v>0</v>
      </c>
      <c r="D53" s="952">
        <f>D51-D52</f>
        <v>0</v>
      </c>
      <c r="E53" s="307"/>
    </row>
    <row r="54" spans="1:5" s="156" customFormat="1" ht="13.5" thickTop="1">
      <c r="A54" s="165"/>
      <c r="B54" s="154"/>
      <c r="C54" s="950"/>
      <c r="D54" s="950"/>
      <c r="E54" s="307"/>
    </row>
    <row r="55" spans="2:4" ht="12.75">
      <c r="B55" s="5"/>
      <c r="C55" s="4"/>
      <c r="D55" s="4"/>
    </row>
    <row r="56" spans="2:4" ht="12.75">
      <c r="B56" s="5"/>
      <c r="C56" s="4"/>
      <c r="D56" s="4"/>
    </row>
    <row r="57" spans="2:4" ht="12.75">
      <c r="B57" s="5"/>
      <c r="C57" s="4"/>
      <c r="D57" s="4"/>
    </row>
    <row r="58" spans="2:4" ht="12.75">
      <c r="B58" s="5"/>
      <c r="C58" s="4"/>
      <c r="D58" s="4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</sheetData>
  <sheetProtection password="CF93" sheet="1" formatRows="0" insertColumns="0" insertRows="0" insertHyperlinks="0" deleteColumns="0" deleteRows="0" sort="0" autoFilter="0" pivotTables="0"/>
  <mergeCells count="8">
    <mergeCell ref="E1:F1"/>
    <mergeCell ref="A4:E4"/>
    <mergeCell ref="C6:D6"/>
    <mergeCell ref="A3:F3"/>
    <mergeCell ref="A6:A7"/>
    <mergeCell ref="B6:B7"/>
    <mergeCell ref="E6:E7"/>
    <mergeCell ref="F6:F7"/>
  </mergeCells>
  <printOptions/>
  <pageMargins left="0.984251968503937" right="0.90551181102362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205"/>
  <sheetViews>
    <sheetView view="pageBreakPreview" zoomScaleSheetLayoutView="100" zoomScalePageLayoutView="0" workbookViewId="0" topLeftCell="A1">
      <pane ySplit="7" topLeftCell="BM8" activePane="bottomLeft" state="frozen"/>
      <selection pane="topLeft" activeCell="A1" sqref="A1"/>
      <selection pane="bottomLeft" activeCell="I41" sqref="I41"/>
    </sheetView>
  </sheetViews>
  <sheetFormatPr defaultColWidth="9.00390625" defaultRowHeight="12.75"/>
  <cols>
    <col min="1" max="1" width="4.375" style="107" customWidth="1"/>
    <col min="2" max="2" width="27.625" style="108" customWidth="1"/>
    <col min="3" max="3" width="13.25390625" style="108" customWidth="1"/>
    <col min="4" max="4" width="13.625" style="108" customWidth="1"/>
    <col min="5" max="5" width="5.625" style="109" customWidth="1"/>
    <col min="6" max="7" width="13.375" style="391" customWidth="1"/>
    <col min="8" max="8" width="6.00390625" style="392" customWidth="1"/>
    <col min="9" max="9" width="14.375" style="108" customWidth="1"/>
    <col min="10" max="16384" width="9.125" style="108" customWidth="1"/>
  </cols>
  <sheetData>
    <row r="1" spans="1:8" s="391" customFormat="1" ht="18.75" customHeight="1">
      <c r="A1" s="389"/>
      <c r="E1" s="392"/>
      <c r="G1" s="1380" t="s">
        <v>851</v>
      </c>
      <c r="H1" s="1380"/>
    </row>
    <row r="2" spans="1:8" s="391" customFormat="1" ht="26.25" customHeight="1">
      <c r="A2" s="389"/>
      <c r="E2" s="392"/>
      <c r="H2" s="392"/>
    </row>
    <row r="3" spans="1:10" s="391" customFormat="1" ht="12.75">
      <c r="A3" s="1359" t="s">
        <v>294</v>
      </c>
      <c r="B3" s="1359"/>
      <c r="C3" s="1359"/>
      <c r="D3" s="1359"/>
      <c r="E3" s="1359"/>
      <c r="F3" s="1359"/>
      <c r="G3" s="1359"/>
      <c r="H3" s="1359"/>
      <c r="I3" s="393"/>
      <c r="J3" s="393"/>
    </row>
    <row r="4" spans="1:8" s="391" customFormat="1" ht="10.5" customHeight="1" thickBot="1">
      <c r="A4" s="394"/>
      <c r="B4" s="395"/>
      <c r="C4" s="395"/>
      <c r="D4" s="395"/>
      <c r="E4" s="395"/>
      <c r="F4" s="395"/>
      <c r="G4" s="395"/>
      <c r="H4" s="396" t="s">
        <v>1426</v>
      </c>
    </row>
    <row r="5" spans="1:9" s="391" customFormat="1" ht="15" customHeight="1">
      <c r="A5" s="1360" t="s">
        <v>254</v>
      </c>
      <c r="B5" s="1362" t="s">
        <v>367</v>
      </c>
      <c r="C5" s="1364" t="s">
        <v>368</v>
      </c>
      <c r="D5" s="1365"/>
      <c r="E5" s="1365"/>
      <c r="F5" s="1364" t="s">
        <v>330</v>
      </c>
      <c r="G5" s="1365"/>
      <c r="H5" s="1366"/>
      <c r="I5" s="390"/>
    </row>
    <row r="6" spans="1:8" s="391" customFormat="1" ht="14.25" customHeight="1">
      <c r="A6" s="1361"/>
      <c r="B6" s="1363"/>
      <c r="C6" s="355" t="s">
        <v>331</v>
      </c>
      <c r="D6" s="356" t="s">
        <v>1430</v>
      </c>
      <c r="E6" s="356" t="s">
        <v>1431</v>
      </c>
      <c r="F6" s="355" t="s">
        <v>331</v>
      </c>
      <c r="G6" s="356" t="s">
        <v>1430</v>
      </c>
      <c r="H6" s="397" t="s">
        <v>1431</v>
      </c>
    </row>
    <row r="7" spans="1:8" s="399" customFormat="1" ht="11.25" thickBot="1">
      <c r="A7" s="357">
        <v>1</v>
      </c>
      <c r="B7" s="358">
        <v>2</v>
      </c>
      <c r="C7" s="358">
        <v>3</v>
      </c>
      <c r="D7" s="358">
        <v>4</v>
      </c>
      <c r="E7" s="358">
        <v>5</v>
      </c>
      <c r="F7" s="358">
        <v>6</v>
      </c>
      <c r="G7" s="358">
        <v>7</v>
      </c>
      <c r="H7" s="398">
        <v>8</v>
      </c>
    </row>
    <row r="8" spans="1:8" ht="4.5" customHeight="1">
      <c r="A8" s="359"/>
      <c r="B8" s="360"/>
      <c r="C8" s="360"/>
      <c r="D8" s="360"/>
      <c r="E8" s="361"/>
      <c r="F8" s="953"/>
      <c r="G8" s="953"/>
      <c r="H8" s="400"/>
    </row>
    <row r="9" spans="1:8" ht="19.5" customHeight="1">
      <c r="A9" s="294" t="s">
        <v>1432</v>
      </c>
      <c r="B9" s="360" t="s">
        <v>369</v>
      </c>
      <c r="C9" s="210">
        <f>SUM(6D!E8,6D!E318)</f>
        <v>34997.92</v>
      </c>
      <c r="D9" s="210">
        <f>SUM(6D!F8,6D!F318)</f>
        <v>34997.92</v>
      </c>
      <c r="E9" s="297">
        <f>D9*100/C9</f>
        <v>100</v>
      </c>
      <c r="F9" s="210">
        <f>SUM(9W!D8)</f>
        <v>109264.92</v>
      </c>
      <c r="G9" s="210">
        <f>SUM(9W!E8)</f>
        <v>98577.97</v>
      </c>
      <c r="H9" s="211">
        <f aca="true" t="shared" si="0" ref="H9:H21">G9*100/F9</f>
        <v>90.21923047214055</v>
      </c>
    </row>
    <row r="10" spans="1:8" ht="19.5" customHeight="1">
      <c r="A10" s="294" t="s">
        <v>1434</v>
      </c>
      <c r="B10" s="360" t="s">
        <v>370</v>
      </c>
      <c r="C10" s="210">
        <f>SUM(6D!E11)</f>
        <v>41500</v>
      </c>
      <c r="D10" s="210">
        <f>SUM(6D!F11)</f>
        <v>29017.48</v>
      </c>
      <c r="E10" s="297">
        <f>D10*100/C10</f>
        <v>69.92163855421687</v>
      </c>
      <c r="F10" s="210">
        <f>SUM(9W!D21)</f>
        <v>36020</v>
      </c>
      <c r="G10" s="210">
        <f>SUM(9W!E21)</f>
        <v>3660</v>
      </c>
      <c r="H10" s="211">
        <f t="shared" si="0"/>
        <v>10.161021654636313</v>
      </c>
    </row>
    <row r="11" spans="1:8" ht="27.75" customHeight="1">
      <c r="A11" s="294" t="s">
        <v>419</v>
      </c>
      <c r="B11" s="362" t="s">
        <v>1370</v>
      </c>
      <c r="C11" s="210">
        <f>6D!E16</f>
        <v>0</v>
      </c>
      <c r="D11" s="210">
        <f>6D!F16</f>
        <v>30536.51</v>
      </c>
      <c r="E11" s="297" t="s">
        <v>313</v>
      </c>
      <c r="F11" s="210">
        <f>SUM(9W!D26)</f>
        <v>5451737</v>
      </c>
      <c r="G11" s="210">
        <f>SUM(9W!E26)</f>
        <v>5428777.97</v>
      </c>
      <c r="H11" s="211">
        <f>G11/F11*100</f>
        <v>99.57886761595432</v>
      </c>
    </row>
    <row r="12" spans="1:8" ht="19.5" customHeight="1">
      <c r="A12" s="294" t="s">
        <v>1436</v>
      </c>
      <c r="B12" s="360" t="s">
        <v>371</v>
      </c>
      <c r="C12" s="210">
        <v>0</v>
      </c>
      <c r="D12" s="210">
        <v>0</v>
      </c>
      <c r="E12" s="297" t="s">
        <v>313</v>
      </c>
      <c r="F12" s="210">
        <f>SUM(9W!D31)</f>
        <v>400000</v>
      </c>
      <c r="G12" s="210">
        <f>SUM(9W!E31)</f>
        <v>342917.33999999997</v>
      </c>
      <c r="H12" s="211">
        <f t="shared" si="0"/>
        <v>85.729335</v>
      </c>
    </row>
    <row r="13" spans="1:8" ht="19.5" customHeight="1" hidden="1">
      <c r="A13" s="294" t="s">
        <v>383</v>
      </c>
      <c r="B13" s="360" t="s">
        <v>384</v>
      </c>
      <c r="C13" s="210">
        <f>SUM(6D!E19)</f>
        <v>0</v>
      </c>
      <c r="D13" s="210">
        <f>SUM(6D!F19)</f>
        <v>0</v>
      </c>
      <c r="E13" s="297" t="s">
        <v>313</v>
      </c>
      <c r="F13" s="210">
        <v>0</v>
      </c>
      <c r="G13" s="210">
        <v>0</v>
      </c>
      <c r="H13" s="211" t="s">
        <v>313</v>
      </c>
    </row>
    <row r="14" spans="1:8" ht="19.5" customHeight="1">
      <c r="A14" s="294" t="s">
        <v>67</v>
      </c>
      <c r="B14" s="360" t="s">
        <v>361</v>
      </c>
      <c r="C14" s="210">
        <f>SUM(6D!E22,6D!E321)</f>
        <v>3446575</v>
      </c>
      <c r="D14" s="210">
        <f>SUM(6D!F22,6D!F321)</f>
        <v>3246812.0900000003</v>
      </c>
      <c r="E14" s="297">
        <f>D14*100/C14</f>
        <v>94.20401674125765</v>
      </c>
      <c r="F14" s="210">
        <f>SUM(9W!D37,9W!D455)</f>
        <v>51727450</v>
      </c>
      <c r="G14" s="210">
        <f>SUM(9W!E37,9W!E455)</f>
        <v>42542505.04</v>
      </c>
      <c r="H14" s="211">
        <f t="shared" si="0"/>
        <v>82.24357674696897</v>
      </c>
    </row>
    <row r="15" spans="1:8" ht="19.5" customHeight="1">
      <c r="A15" s="294" t="s">
        <v>72</v>
      </c>
      <c r="B15" s="360" t="s">
        <v>372</v>
      </c>
      <c r="C15" s="210">
        <f>SUM(6D!E39)</f>
        <v>2061350</v>
      </c>
      <c r="D15" s="210">
        <f>SUM(6D!F39)</f>
        <v>360947.03</v>
      </c>
      <c r="E15" s="297">
        <f>D15*100/C15</f>
        <v>17.510225337764087</v>
      </c>
      <c r="F15" s="210">
        <f>SUM(9W!D56)</f>
        <v>5761100</v>
      </c>
      <c r="G15" s="210">
        <f>SUM(9W!E56)</f>
        <v>3699323.44</v>
      </c>
      <c r="H15" s="211">
        <f t="shared" si="0"/>
        <v>64.21210254986028</v>
      </c>
    </row>
    <row r="16" spans="1:8" ht="19.5" customHeight="1">
      <c r="A16" s="294" t="s">
        <v>74</v>
      </c>
      <c r="B16" s="362" t="s">
        <v>373</v>
      </c>
      <c r="C16" s="210">
        <f>SUM(6D!E52,6D!E338)</f>
        <v>35205100</v>
      </c>
      <c r="D16" s="210">
        <f>SUM(6D!F52,6D!F338)</f>
        <v>14250938.68</v>
      </c>
      <c r="E16" s="297">
        <f>D16*100/C16</f>
        <v>40.479756285310934</v>
      </c>
      <c r="F16" s="210">
        <f>SUM(9W!D66,9W!D465)</f>
        <v>5658256</v>
      </c>
      <c r="G16" s="210">
        <f>SUM(9W!E66,9W!E465)</f>
        <v>2693907.9299999997</v>
      </c>
      <c r="H16" s="211">
        <f t="shared" si="0"/>
        <v>47.610216469527</v>
      </c>
    </row>
    <row r="17" spans="1:8" ht="19.5" customHeight="1">
      <c r="A17" s="294" t="s">
        <v>78</v>
      </c>
      <c r="B17" s="362" t="s">
        <v>374</v>
      </c>
      <c r="C17" s="210">
        <f>SUM(6D!E71,6D!E342)</f>
        <v>683780</v>
      </c>
      <c r="D17" s="210">
        <f>SUM(6D!F71,6D!F342)</f>
        <v>852566.5900000001</v>
      </c>
      <c r="E17" s="297">
        <f>D17*100/C17</f>
        <v>124.68434145485392</v>
      </c>
      <c r="F17" s="210">
        <f>SUM(9W!D82,9W!D472)</f>
        <v>2063675</v>
      </c>
      <c r="G17" s="210">
        <f>SUM(9W!E82,9W!E472)</f>
        <v>1297978.97</v>
      </c>
      <c r="H17" s="211">
        <f t="shared" si="0"/>
        <v>62.89648176190534</v>
      </c>
    </row>
    <row r="18" spans="1:9" ht="19.5" customHeight="1">
      <c r="A18" s="294" t="s">
        <v>90</v>
      </c>
      <c r="B18" s="362" t="s">
        <v>375</v>
      </c>
      <c r="C18" s="210">
        <f>SUM(6D!E80,6D!E350)</f>
        <v>3808417</v>
      </c>
      <c r="D18" s="210">
        <f>SUM(6D!F80,6D!F350)</f>
        <v>4273300.43</v>
      </c>
      <c r="E18" s="297">
        <f>D18/C18*100</f>
        <v>112.20673655222105</v>
      </c>
      <c r="F18" s="210">
        <f>SUM(9W!D98,9W!D487)</f>
        <v>17508260</v>
      </c>
      <c r="G18" s="210">
        <f>SUM(9W!E98,9W!E487)</f>
        <v>15730639.009999998</v>
      </c>
      <c r="H18" s="211">
        <f t="shared" si="0"/>
        <v>89.84695800724914</v>
      </c>
      <c r="I18" s="110"/>
    </row>
    <row r="19" spans="1:8" ht="39" customHeight="1">
      <c r="A19" s="294" t="s">
        <v>333</v>
      </c>
      <c r="B19" s="362" t="s">
        <v>1359</v>
      </c>
      <c r="C19" s="210">
        <f>SUM(6D!E106)</f>
        <v>214078</v>
      </c>
      <c r="D19" s="210">
        <f>SUM(6D!F106)</f>
        <v>167192.83000000002</v>
      </c>
      <c r="E19" s="297">
        <f>D19/C19*100</f>
        <v>78.09902465456517</v>
      </c>
      <c r="F19" s="210">
        <f>SUM(9W!D142)</f>
        <v>214078</v>
      </c>
      <c r="G19" s="210">
        <f>SUM(9W!E142)</f>
        <v>167192.83000000002</v>
      </c>
      <c r="H19" s="211">
        <f t="shared" si="0"/>
        <v>78.09902465456517</v>
      </c>
    </row>
    <row r="20" spans="1:8" ht="30" customHeight="1">
      <c r="A20" s="294" t="s">
        <v>105</v>
      </c>
      <c r="B20" s="362" t="s">
        <v>376</v>
      </c>
      <c r="C20" s="210">
        <f>SUM(6D!E113,6D!E361)</f>
        <v>4180436</v>
      </c>
      <c r="D20" s="210">
        <f>SUM(6D!F113,6D!F361)</f>
        <v>4157545.83</v>
      </c>
      <c r="E20" s="297">
        <f>D20/C20*100</f>
        <v>99.45244539086355</v>
      </c>
      <c r="F20" s="210">
        <f>SUM(9W!D159,9W!D503)</f>
        <v>4788921</v>
      </c>
      <c r="G20" s="210">
        <f>SUM(9W!E159,9W!E503)</f>
        <v>4687260.07</v>
      </c>
      <c r="H20" s="211">
        <f t="shared" si="0"/>
        <v>97.87716418792459</v>
      </c>
    </row>
    <row r="21" spans="1:8" ht="65.25" customHeight="1">
      <c r="A21" s="294" t="s">
        <v>377</v>
      </c>
      <c r="B21" s="362" t="s">
        <v>1369</v>
      </c>
      <c r="C21" s="210">
        <f>SUM(6D!E367,6D!E124)</f>
        <v>63220765</v>
      </c>
      <c r="D21" s="210">
        <f>SUM(6D!F367,6D!F124)</f>
        <v>64285769.629999995</v>
      </c>
      <c r="E21" s="297">
        <f>D21*100/C21</f>
        <v>101.68458042227107</v>
      </c>
      <c r="F21" s="210">
        <f>SUM(9W!D183)</f>
        <v>408000</v>
      </c>
      <c r="G21" s="210">
        <f>SUM(9W!E183)</f>
        <v>367814.63999999996</v>
      </c>
      <c r="H21" s="211">
        <f t="shared" si="0"/>
        <v>90.15064705882351</v>
      </c>
    </row>
    <row r="22" spans="1:8" ht="19.5" customHeight="1">
      <c r="A22" s="294" t="s">
        <v>109</v>
      </c>
      <c r="B22" s="360" t="s">
        <v>378</v>
      </c>
      <c r="C22" s="210">
        <v>0</v>
      </c>
      <c r="D22" s="210">
        <v>0</v>
      </c>
      <c r="E22" s="297" t="s">
        <v>313</v>
      </c>
      <c r="F22" s="210">
        <f>SUM(9W!D189)</f>
        <v>3725000</v>
      </c>
      <c r="G22" s="210">
        <f>SUM(9W!E189)</f>
        <v>3046283.69</v>
      </c>
      <c r="H22" s="211">
        <f aca="true" t="shared" si="1" ref="H22:H31">G22*100/F22</f>
        <v>81.77942791946309</v>
      </c>
    </row>
    <row r="23" spans="1:8" ht="19.5" customHeight="1">
      <c r="A23" s="294" t="s">
        <v>110</v>
      </c>
      <c r="B23" s="360" t="s">
        <v>379</v>
      </c>
      <c r="C23" s="210">
        <f>SUM(6D!E162,6D!E374)</f>
        <v>59552703</v>
      </c>
      <c r="D23" s="210">
        <f>SUM(6D!F162,6D!F374)</f>
        <v>60688624.58</v>
      </c>
      <c r="E23" s="297">
        <f aca="true" t="shared" si="2" ref="E23:E31">D23*100/C23</f>
        <v>101.90742237174356</v>
      </c>
      <c r="F23" s="210">
        <f>SUM(9W!D193)</f>
        <v>135710</v>
      </c>
      <c r="G23" s="210">
        <f>SUM(9W!E193)</f>
        <v>0</v>
      </c>
      <c r="H23" s="211">
        <f t="shared" si="1"/>
        <v>0</v>
      </c>
    </row>
    <row r="24" spans="1:9" ht="19.5" customHeight="1">
      <c r="A24" s="294" t="s">
        <v>112</v>
      </c>
      <c r="B24" s="360" t="s">
        <v>362</v>
      </c>
      <c r="C24" s="210">
        <f>SUM(6D!E176,6D!E384)</f>
        <v>1245652</v>
      </c>
      <c r="D24" s="210">
        <f>SUM(6D!F176,6D!F384)</f>
        <v>515500.4</v>
      </c>
      <c r="E24" s="297">
        <f t="shared" si="2"/>
        <v>41.38398204313886</v>
      </c>
      <c r="F24" s="210">
        <f>SUM(9W!D198,9W!D524)</f>
        <v>44675915</v>
      </c>
      <c r="G24" s="210">
        <f>SUM(9W!E198,9W!E524)</f>
        <v>43153512.849999994</v>
      </c>
      <c r="H24" s="211">
        <f t="shared" si="1"/>
        <v>96.59234254071795</v>
      </c>
      <c r="I24" s="111"/>
    </row>
    <row r="25" spans="1:9" ht="19.5" customHeight="1">
      <c r="A25" s="294" t="s">
        <v>121</v>
      </c>
      <c r="B25" s="360" t="s">
        <v>363</v>
      </c>
      <c r="C25" s="210">
        <f>SUM(6D!E196,6D!E393)</f>
        <v>917000</v>
      </c>
      <c r="D25" s="210">
        <f>SUM(6D!F196,6D!F393)</f>
        <v>855937.58</v>
      </c>
      <c r="E25" s="297">
        <f t="shared" si="2"/>
        <v>93.34106652126499</v>
      </c>
      <c r="F25" s="210">
        <f>SUM(9W!D253,9W!D571)</f>
        <v>3023700</v>
      </c>
      <c r="G25" s="210">
        <f>SUM(9W!E253,9W!E571)</f>
        <v>2585556.2800000003</v>
      </c>
      <c r="H25" s="211">
        <f t="shared" si="1"/>
        <v>85.50968283890599</v>
      </c>
      <c r="I25" s="110"/>
    </row>
    <row r="26" spans="1:8" ht="19.5" customHeight="1">
      <c r="A26" s="294" t="s">
        <v>679</v>
      </c>
      <c r="B26" s="360" t="s">
        <v>695</v>
      </c>
      <c r="C26" s="210">
        <f>SUM(6D!E208,6D!E399)</f>
        <v>8964707</v>
      </c>
      <c r="D26" s="210">
        <f>SUM(6D!F208,6D!F399)</f>
        <v>8856205.38</v>
      </c>
      <c r="E26" s="297">
        <f t="shared" si="2"/>
        <v>98.78968024275642</v>
      </c>
      <c r="F26" s="210">
        <f>SUM(9W!D279,9W!D594)</f>
        <v>16713744</v>
      </c>
      <c r="G26" s="210">
        <f>SUM(9W!E279,9W!E594)</f>
        <v>16327069.690000001</v>
      </c>
      <c r="H26" s="211">
        <f t="shared" si="1"/>
        <v>97.68648897577947</v>
      </c>
    </row>
    <row r="27" spans="1:8" ht="27" customHeight="1">
      <c r="A27" s="294" t="s">
        <v>125</v>
      </c>
      <c r="B27" s="363" t="s">
        <v>1367</v>
      </c>
      <c r="C27" s="210">
        <f>SUM(6D!E254,6D!E415)</f>
        <v>1354282</v>
      </c>
      <c r="D27" s="210">
        <f>SUM(6D!F254,6D!F415)</f>
        <v>1341228.28</v>
      </c>
      <c r="E27" s="297">
        <f t="shared" si="2"/>
        <v>99.03611507795274</v>
      </c>
      <c r="F27" s="210">
        <f>SUM(9W!D340,9W!D637)</f>
        <v>4197641</v>
      </c>
      <c r="G27" s="210">
        <f>SUM(9W!E340,9W!E637)</f>
        <v>4124656.53</v>
      </c>
      <c r="H27" s="211">
        <f t="shared" si="1"/>
        <v>98.26129795282637</v>
      </c>
    </row>
    <row r="28" spans="1:8" ht="19.5" customHeight="1">
      <c r="A28" s="294" t="s">
        <v>135</v>
      </c>
      <c r="B28" s="360" t="s">
        <v>380</v>
      </c>
      <c r="C28" s="210">
        <f>SUM(6D!E265,6D!E429)</f>
        <v>167809</v>
      </c>
      <c r="D28" s="210">
        <f>SUM(6D!F265,6D!F429)</f>
        <v>97218.36</v>
      </c>
      <c r="E28" s="297">
        <f t="shared" si="2"/>
        <v>57.93393679719205</v>
      </c>
      <c r="F28" s="210">
        <f>SUM(9W!D355,9W!D661)</f>
        <v>5900518</v>
      </c>
      <c r="G28" s="210">
        <f>SUM(9W!E355,9W!E661)</f>
        <v>5791975.289999999</v>
      </c>
      <c r="H28" s="211">
        <f t="shared" si="1"/>
        <v>98.16045455670161</v>
      </c>
    </row>
    <row r="29" spans="1:9" ht="27.75" customHeight="1">
      <c r="A29" s="294" t="s">
        <v>216</v>
      </c>
      <c r="B29" s="362" t="s">
        <v>364</v>
      </c>
      <c r="C29" s="210">
        <f>SUM(6D!E268,6D!E443)</f>
        <v>24394792</v>
      </c>
      <c r="D29" s="210">
        <f>SUM(6D!F268,6D!F443)</f>
        <v>22297590.57</v>
      </c>
      <c r="E29" s="297">
        <f t="shared" si="2"/>
        <v>91.40307722238418</v>
      </c>
      <c r="F29" s="210">
        <f>SUM(9W!D383,9W!D701)</f>
        <v>17454844</v>
      </c>
      <c r="G29" s="210">
        <f>SUM(9W!E383,9W!E701)</f>
        <v>14412818.05</v>
      </c>
      <c r="H29" s="211">
        <f t="shared" si="1"/>
        <v>82.57202441912399</v>
      </c>
      <c r="I29" s="110"/>
    </row>
    <row r="30" spans="1:9" ht="26.25" customHeight="1">
      <c r="A30" s="294" t="s">
        <v>244</v>
      </c>
      <c r="B30" s="362" t="s">
        <v>365</v>
      </c>
      <c r="C30" s="210">
        <f>6D!E295</f>
        <v>0</v>
      </c>
      <c r="D30" s="210">
        <f>6D!F295</f>
        <v>17788.21</v>
      </c>
      <c r="E30" s="297" t="s">
        <v>313</v>
      </c>
      <c r="F30" s="210">
        <f>SUM(9W!D415)</f>
        <v>5177350</v>
      </c>
      <c r="G30" s="210">
        <f>SUM(9W!E415)</f>
        <v>5145265.46</v>
      </c>
      <c r="H30" s="211">
        <f t="shared" si="1"/>
        <v>99.38029030295421</v>
      </c>
      <c r="I30" s="110"/>
    </row>
    <row r="31" spans="1:8" ht="19.5" customHeight="1" thickBot="1">
      <c r="A31" s="364" t="s">
        <v>245</v>
      </c>
      <c r="B31" s="365" t="s">
        <v>366</v>
      </c>
      <c r="C31" s="366">
        <f>SUM(6D!E304)</f>
        <v>48000</v>
      </c>
      <c r="D31" s="366">
        <f>SUM(6D!F304)</f>
        <v>50522.43</v>
      </c>
      <c r="E31" s="367">
        <f t="shared" si="2"/>
        <v>105.2550625</v>
      </c>
      <c r="F31" s="366">
        <f>SUM(9W!D441)</f>
        <v>12267200</v>
      </c>
      <c r="G31" s="366">
        <f>SUM(9W!E441)</f>
        <v>10083046.12</v>
      </c>
      <c r="H31" s="401">
        <f t="shared" si="1"/>
        <v>82.19517184035476</v>
      </c>
    </row>
    <row r="32" spans="1:8" ht="3" customHeight="1">
      <c r="A32" s="368"/>
      <c r="B32" s="369"/>
      <c r="C32" s="370"/>
      <c r="D32" s="370"/>
      <c r="E32" s="371"/>
      <c r="F32" s="370"/>
      <c r="G32" s="370"/>
      <c r="H32" s="402"/>
    </row>
    <row r="33" spans="1:8" s="112" customFormat="1" ht="21" customHeight="1" thickBot="1">
      <c r="A33" s="372"/>
      <c r="B33" s="373" t="s">
        <v>381</v>
      </c>
      <c r="C33" s="374">
        <f>SUM(C9:C31)</f>
        <v>209541943.92000002</v>
      </c>
      <c r="D33" s="374">
        <f>SUM(D9:D31)</f>
        <v>186410240.81000003</v>
      </c>
      <c r="E33" s="375">
        <f>D33*100/C33</f>
        <v>88.96082441669468</v>
      </c>
      <c r="F33" s="374">
        <f>SUM(F9:F31)</f>
        <v>207398383.92000002</v>
      </c>
      <c r="G33" s="374">
        <f>SUM(G9:G31)</f>
        <v>181730739.17000002</v>
      </c>
      <c r="H33" s="403">
        <f>G33*100/F33</f>
        <v>87.62398999217814</v>
      </c>
    </row>
    <row r="34" spans="1:8" s="113" customFormat="1" ht="13.5" customHeight="1" hidden="1">
      <c r="A34" s="376"/>
      <c r="B34" s="377" t="s">
        <v>359</v>
      </c>
      <c r="C34" s="378"/>
      <c r="D34" s="378"/>
      <c r="E34" s="379"/>
      <c r="F34" s="378"/>
      <c r="G34" s="378"/>
      <c r="H34" s="404"/>
    </row>
    <row r="35" spans="1:9" ht="15" customHeight="1" hidden="1">
      <c r="A35" s="380" t="s">
        <v>341</v>
      </c>
      <c r="B35" s="381" t="s">
        <v>195</v>
      </c>
      <c r="C35" s="212">
        <f>C33-C36-C37-C38</f>
        <v>197489339.00000003</v>
      </c>
      <c r="D35" s="212">
        <f>D33-D36-D37-D38</f>
        <v>174457150.52000004</v>
      </c>
      <c r="E35" s="382">
        <f>D35/C35*100</f>
        <v>88.33750287654769</v>
      </c>
      <c r="F35" s="212" t="e">
        <f>F33-F36-F37-F38</f>
        <v>#REF!</v>
      </c>
      <c r="G35" s="212" t="e">
        <f>G33-G36-G37-G38</f>
        <v>#REF!</v>
      </c>
      <c r="H35" s="220" t="e">
        <f>G35/F35*100</f>
        <v>#REF!</v>
      </c>
      <c r="I35" s="110"/>
    </row>
    <row r="36" spans="1:9" ht="28.5" customHeight="1" hidden="1">
      <c r="A36" s="380" t="s">
        <v>342</v>
      </c>
      <c r="B36" s="383" t="s">
        <v>199</v>
      </c>
      <c r="C36" s="212">
        <f>SUM(6D!E10,6D!E65,6D!E82,6D!E108,6D!E110,6D!E117,6D!E191,6D!E206,6D!E217,6D!E224,6D!E229,6D!E234,6D!E248,6D!E320,6D!E340,6D!E344,6D!E347,6D!E349,6D!E352,6D!E359,6D!E363,6D!E364,6D!E397,6D!E403,6D!E417)</f>
        <v>11931217.92</v>
      </c>
      <c r="D36" s="212">
        <f>SUM(6D!F10,6D!F65,6D!F82,6D!F108,6D!F110,6D!F117,6D!F191,6D!F206,6D!F217,6D!F224,6D!F229,6D!F234,6D!F248,6D!F320,6D!F340,6D!F344,6D!F347,6D!F349,6D!F352,6D!F359,6D!F363,6D!F364,6D!F397,6D!F403,6D!F417)</f>
        <v>11845619.26</v>
      </c>
      <c r="E36" s="382">
        <f>D36/C36*100</f>
        <v>99.28256561422356</v>
      </c>
      <c r="F36" s="212">
        <f>SUM('13DiW zlecone'!D64)</f>
        <v>12380789.92</v>
      </c>
      <c r="G36" s="212">
        <f>SUM('13DiW zlecone'!D65)</f>
        <v>12222342.21</v>
      </c>
      <c r="H36" s="220">
        <f>G36/F36*100</f>
        <v>98.72021324145044</v>
      </c>
      <c r="I36" s="110"/>
    </row>
    <row r="37" spans="1:12" ht="40.5" customHeight="1" hidden="1">
      <c r="A37" s="380" t="s">
        <v>433</v>
      </c>
      <c r="B37" s="383" t="s">
        <v>198</v>
      </c>
      <c r="C37" s="212">
        <f>SUM(6D!E66,6D!E207,6D!E192,6D!E251,6D!E335,6D!E360)</f>
        <v>46750</v>
      </c>
      <c r="D37" s="212">
        <f>SUM(6D!F66,6D!F207,6D!F192,6D!F251,6D!F335,6D!F360)</f>
        <v>46173.65000000001</v>
      </c>
      <c r="E37" s="384">
        <f>D37/C37*100</f>
        <v>98.76716577540108</v>
      </c>
      <c r="F37" s="212" t="e">
        <f>SUM(#REF!)</f>
        <v>#REF!</v>
      </c>
      <c r="G37" s="212" t="e">
        <f>SUM(#REF!)</f>
        <v>#REF!</v>
      </c>
      <c r="H37" s="220" t="e">
        <f>G37/F37*100</f>
        <v>#REF!</v>
      </c>
      <c r="I37" s="114" t="e">
        <f>D37-G37</f>
        <v>#REF!</v>
      </c>
      <c r="J37" s="115"/>
      <c r="K37" s="115"/>
      <c r="L37" s="115"/>
    </row>
    <row r="38" spans="1:12" ht="51.75" customHeight="1" hidden="1" thickBot="1">
      <c r="A38" s="385" t="s">
        <v>440</v>
      </c>
      <c r="B38" s="386" t="s">
        <v>202</v>
      </c>
      <c r="C38" s="296">
        <f>SUM(6D!E122,6D!E406,6D!E436,6D!E438)</f>
        <v>74637</v>
      </c>
      <c r="D38" s="296">
        <f>SUM(6D!F122,6D!F406,6D!F436,6D!F438)</f>
        <v>61297.38</v>
      </c>
      <c r="E38" s="387">
        <f>D38/C38*100</f>
        <v>82.12733630772941</v>
      </c>
      <c r="F38" s="296">
        <f>SUM('15DiW porozumienia z jst'!D13)</f>
        <v>74637</v>
      </c>
      <c r="G38" s="296">
        <f>SUM('15DiW porozumienia z jst'!D14)</f>
        <v>64536.64</v>
      </c>
      <c r="H38" s="405">
        <f>G38/F38*100</f>
        <v>86.46735533314576</v>
      </c>
      <c r="I38" s="114"/>
      <c r="J38" s="115"/>
      <c r="K38" s="115"/>
      <c r="L38" s="115"/>
    </row>
    <row r="39" spans="1:10" ht="42" customHeight="1">
      <c r="A39" s="388"/>
      <c r="B39" s="389" t="s">
        <v>203</v>
      </c>
      <c r="C39" s="306">
        <v>209541943.92</v>
      </c>
      <c r="D39" s="306">
        <v>186410240.81</v>
      </c>
      <c r="E39" s="390"/>
      <c r="F39" s="954">
        <v>207398383.92</v>
      </c>
      <c r="G39" s="954">
        <v>181730739.17</v>
      </c>
      <c r="H39" s="406">
        <f>G39/F39*100</f>
        <v>87.62398999217814</v>
      </c>
      <c r="I39" s="1379"/>
      <c r="J39" s="1379"/>
    </row>
    <row r="40" spans="1:8" s="354" customFormat="1" ht="12.75">
      <c r="A40" s="350"/>
      <c r="B40" s="351" t="s">
        <v>1392</v>
      </c>
      <c r="C40" s="352">
        <f>C33-C39</f>
        <v>0</v>
      </c>
      <c r="D40" s="352">
        <f>D33-D39</f>
        <v>0</v>
      </c>
      <c r="E40" s="353"/>
      <c r="F40" s="955">
        <f>F33-F39</f>
        <v>0</v>
      </c>
      <c r="G40" s="390">
        <f>G33-G39</f>
        <v>0</v>
      </c>
      <c r="H40" s="406"/>
    </row>
    <row r="41" spans="1:8" ht="12.75">
      <c r="A41" s="116"/>
      <c r="B41" s="107"/>
      <c r="C41" s="118"/>
      <c r="D41" s="118"/>
      <c r="E41" s="117"/>
      <c r="F41" s="955"/>
      <c r="G41" s="955"/>
      <c r="H41" s="406"/>
    </row>
    <row r="42" spans="1:8" ht="12.75" hidden="1">
      <c r="A42" s="116"/>
      <c r="B42" s="107"/>
      <c r="C42" s="118"/>
      <c r="D42" s="118"/>
      <c r="E42" s="117"/>
      <c r="F42" s="955"/>
      <c r="G42" s="955"/>
      <c r="H42" s="406"/>
    </row>
    <row r="43" spans="1:8" ht="12.75" hidden="1">
      <c r="A43" s="116"/>
      <c r="B43" s="107" t="s">
        <v>408</v>
      </c>
      <c r="C43" s="110">
        <f>SUM(C35:C38)</f>
        <v>209541943.92000002</v>
      </c>
      <c r="D43" s="110">
        <f>SUM(D35:D38)</f>
        <v>186410240.81000003</v>
      </c>
      <c r="E43" s="110"/>
      <c r="F43" s="390" t="e">
        <f>SUM(F35:F38)</f>
        <v>#REF!</v>
      </c>
      <c r="G43" s="390" t="e">
        <f>SUM(G35:G38)</f>
        <v>#REF!</v>
      </c>
      <c r="H43" s="390"/>
    </row>
    <row r="44" spans="1:8" s="110" customFormat="1" ht="12.75" hidden="1">
      <c r="A44" s="119"/>
      <c r="B44" s="110" t="s">
        <v>1392</v>
      </c>
      <c r="C44" s="110">
        <f>C43-C39</f>
        <v>0</v>
      </c>
      <c r="D44" s="110">
        <f>D43-D39</f>
        <v>0</v>
      </c>
      <c r="F44" s="390" t="e">
        <f>F43-F39</f>
        <v>#REF!</v>
      </c>
      <c r="G44" s="390" t="e">
        <f>G43-G39</f>
        <v>#REF!</v>
      </c>
      <c r="H44" s="407"/>
    </row>
    <row r="45" spans="1:8" ht="12.75" hidden="1">
      <c r="A45" s="116"/>
      <c r="B45" s="107"/>
      <c r="C45" s="118"/>
      <c r="D45" s="118"/>
      <c r="E45" s="117"/>
      <c r="F45" s="955"/>
      <c r="G45" s="955"/>
      <c r="H45" s="406"/>
    </row>
    <row r="46" spans="1:8" ht="12.75" hidden="1">
      <c r="A46" s="116"/>
      <c r="B46" s="107"/>
      <c r="C46" s="118"/>
      <c r="D46" s="118"/>
      <c r="E46" s="117"/>
      <c r="F46" s="955"/>
      <c r="G46" s="955"/>
      <c r="H46" s="406"/>
    </row>
    <row r="47" spans="1:8" ht="12.75">
      <c r="A47" s="116"/>
      <c r="B47" s="107"/>
      <c r="C47" s="118"/>
      <c r="D47" s="118"/>
      <c r="E47" s="117"/>
      <c r="F47" s="955"/>
      <c r="G47" s="955"/>
      <c r="H47" s="406"/>
    </row>
    <row r="48" spans="1:8" ht="12.75">
      <c r="A48" s="116"/>
      <c r="B48" s="107"/>
      <c r="C48" s="118"/>
      <c r="D48" s="118"/>
      <c r="E48" s="117"/>
      <c r="F48" s="955"/>
      <c r="G48" s="955"/>
      <c r="H48" s="406"/>
    </row>
    <row r="49" spans="1:8" ht="12.75">
      <c r="A49" s="116"/>
      <c r="B49" s="107"/>
      <c r="C49" s="118"/>
      <c r="D49" s="118"/>
      <c r="E49" s="117"/>
      <c r="F49" s="955"/>
      <c r="G49" s="955"/>
      <c r="H49" s="406"/>
    </row>
    <row r="50" spans="1:8" ht="12.75">
      <c r="A50" s="116"/>
      <c r="C50" s="118"/>
      <c r="D50" s="118"/>
      <c r="E50" s="117"/>
      <c r="F50" s="955"/>
      <c r="G50" s="955"/>
      <c r="H50" s="406"/>
    </row>
    <row r="51" spans="1:8" ht="12.75">
      <c r="A51" s="116"/>
      <c r="C51" s="118"/>
      <c r="D51" s="118"/>
      <c r="E51" s="117"/>
      <c r="F51" s="955"/>
      <c r="G51" s="955"/>
      <c r="H51" s="406"/>
    </row>
    <row r="52" spans="1:8" ht="12.75">
      <c r="A52" s="116"/>
      <c r="E52" s="117"/>
      <c r="F52" s="955"/>
      <c r="G52" s="955"/>
      <c r="H52" s="406"/>
    </row>
    <row r="53" spans="1:8" ht="12.75">
      <c r="A53" s="116"/>
      <c r="E53" s="117"/>
      <c r="F53" s="955"/>
      <c r="G53" s="955"/>
      <c r="H53" s="406"/>
    </row>
    <row r="54" spans="1:8" ht="12.75">
      <c r="A54" s="116"/>
      <c r="E54" s="117"/>
      <c r="F54" s="955"/>
      <c r="G54" s="955"/>
      <c r="H54" s="406"/>
    </row>
    <row r="55" spans="1:8" ht="12.75">
      <c r="A55" s="116"/>
      <c r="E55" s="117"/>
      <c r="F55" s="955"/>
      <c r="G55" s="955"/>
      <c r="H55" s="406"/>
    </row>
    <row r="56" spans="1:8" ht="12.75">
      <c r="A56" s="116"/>
      <c r="E56" s="117"/>
      <c r="F56" s="955"/>
      <c r="G56" s="955"/>
      <c r="H56" s="406"/>
    </row>
    <row r="57" spans="1:8" ht="12.75">
      <c r="A57" s="116"/>
      <c r="E57" s="117"/>
      <c r="F57" s="955"/>
      <c r="G57" s="955"/>
      <c r="H57" s="406"/>
    </row>
    <row r="58" spans="1:8" ht="12.75">
      <c r="A58" s="116"/>
      <c r="E58" s="117"/>
      <c r="F58" s="955"/>
      <c r="G58" s="955"/>
      <c r="H58" s="406"/>
    </row>
    <row r="59" spans="1:8" ht="12.75">
      <c r="A59" s="116"/>
      <c r="E59" s="117"/>
      <c r="F59" s="955"/>
      <c r="G59" s="955"/>
      <c r="H59" s="406"/>
    </row>
    <row r="60" spans="1:8" ht="12.75">
      <c r="A60" s="116"/>
      <c r="E60" s="117"/>
      <c r="F60" s="955"/>
      <c r="G60" s="955"/>
      <c r="H60" s="406"/>
    </row>
    <row r="61" spans="1:8" ht="12.75">
      <c r="A61" s="116"/>
      <c r="E61" s="117"/>
      <c r="F61" s="955"/>
      <c r="G61" s="955"/>
      <c r="H61" s="406"/>
    </row>
    <row r="62" spans="1:8" ht="12.75">
      <c r="A62" s="116"/>
      <c r="E62" s="117"/>
      <c r="F62" s="955"/>
      <c r="G62" s="955"/>
      <c r="H62" s="406"/>
    </row>
    <row r="63" spans="1:8" ht="12.75">
      <c r="A63" s="116"/>
      <c r="E63" s="117"/>
      <c r="F63" s="955"/>
      <c r="G63" s="955"/>
      <c r="H63" s="406"/>
    </row>
    <row r="64" spans="1:8" ht="12.75">
      <c r="A64" s="116"/>
      <c r="E64" s="117"/>
      <c r="F64" s="955"/>
      <c r="G64" s="955"/>
      <c r="H64" s="406"/>
    </row>
    <row r="65" spans="1:8" ht="12.75">
      <c r="A65" s="116"/>
      <c r="E65" s="117"/>
      <c r="F65" s="955"/>
      <c r="G65" s="955"/>
      <c r="H65" s="406"/>
    </row>
    <row r="66" spans="1:8" ht="12.75">
      <c r="A66" s="116"/>
      <c r="E66" s="117"/>
      <c r="F66" s="955"/>
      <c r="G66" s="955"/>
      <c r="H66" s="406"/>
    </row>
    <row r="67" spans="1:8" ht="12.75">
      <c r="A67" s="116"/>
      <c r="E67" s="117"/>
      <c r="F67" s="955"/>
      <c r="G67" s="955"/>
      <c r="H67" s="406"/>
    </row>
    <row r="68" spans="1:8" ht="12.75">
      <c r="A68" s="116"/>
      <c r="E68" s="117"/>
      <c r="F68" s="955"/>
      <c r="G68" s="955"/>
      <c r="H68" s="406"/>
    </row>
    <row r="69" spans="1:8" ht="12.75">
      <c r="A69" s="116"/>
      <c r="E69" s="117"/>
      <c r="F69" s="955"/>
      <c r="G69" s="955"/>
      <c r="H69" s="406"/>
    </row>
    <row r="70" spans="1:8" ht="12.75">
      <c r="A70" s="116"/>
      <c r="E70" s="117"/>
      <c r="F70" s="955"/>
      <c r="G70" s="955"/>
      <c r="H70" s="406"/>
    </row>
    <row r="71" spans="1:8" ht="12.75">
      <c r="A71" s="116"/>
      <c r="E71" s="117"/>
      <c r="F71" s="955"/>
      <c r="G71" s="955"/>
      <c r="H71" s="406"/>
    </row>
    <row r="72" spans="1:8" ht="12.75">
      <c r="A72" s="116"/>
      <c r="E72" s="117"/>
      <c r="F72" s="955"/>
      <c r="G72" s="955"/>
      <c r="H72" s="406"/>
    </row>
    <row r="73" spans="1:8" ht="12.75">
      <c r="A73" s="116"/>
      <c r="E73" s="117"/>
      <c r="F73" s="955"/>
      <c r="G73" s="955"/>
      <c r="H73" s="406"/>
    </row>
    <row r="74" spans="1:8" ht="12.75">
      <c r="A74" s="116"/>
      <c r="E74" s="117"/>
      <c r="F74" s="955"/>
      <c r="G74" s="955"/>
      <c r="H74" s="406"/>
    </row>
    <row r="75" spans="1:8" ht="12.75">
      <c r="A75" s="116"/>
      <c r="E75" s="117"/>
      <c r="F75" s="955"/>
      <c r="G75" s="955"/>
      <c r="H75" s="406"/>
    </row>
    <row r="76" spans="1:8" ht="12.75">
      <c r="A76" s="116"/>
      <c r="E76" s="117"/>
      <c r="F76" s="955"/>
      <c r="G76" s="955"/>
      <c r="H76" s="406"/>
    </row>
    <row r="77" spans="1:8" ht="12.75">
      <c r="A77" s="116"/>
      <c r="E77" s="117"/>
      <c r="F77" s="955"/>
      <c r="G77" s="955"/>
      <c r="H77" s="406"/>
    </row>
    <row r="78" spans="1:8" ht="12.75">
      <c r="A78" s="116"/>
      <c r="E78" s="117"/>
      <c r="F78" s="955"/>
      <c r="G78" s="955"/>
      <c r="H78" s="406"/>
    </row>
    <row r="79" spans="1:8" ht="12.75">
      <c r="A79" s="116"/>
      <c r="E79" s="117"/>
      <c r="F79" s="955"/>
      <c r="G79" s="955"/>
      <c r="H79" s="406"/>
    </row>
    <row r="80" spans="1:8" ht="12.75">
      <c r="A80" s="116"/>
      <c r="E80" s="117"/>
      <c r="F80" s="955"/>
      <c r="G80" s="955"/>
      <c r="H80" s="406"/>
    </row>
    <row r="81" spans="1:8" ht="12.75">
      <c r="A81" s="116"/>
      <c r="E81" s="117"/>
      <c r="F81" s="955"/>
      <c r="G81" s="955"/>
      <c r="H81" s="406"/>
    </row>
    <row r="82" spans="1:8" ht="12.75">
      <c r="A82" s="116"/>
      <c r="E82" s="117"/>
      <c r="F82" s="955"/>
      <c r="G82" s="955"/>
      <c r="H82" s="406"/>
    </row>
    <row r="83" spans="1:8" ht="12.75">
      <c r="A83" s="116"/>
      <c r="E83" s="117"/>
      <c r="F83" s="955"/>
      <c r="G83" s="955"/>
      <c r="H83" s="406"/>
    </row>
    <row r="84" spans="1:8" ht="12.75">
      <c r="A84" s="116"/>
      <c r="E84" s="117"/>
      <c r="F84" s="955"/>
      <c r="G84" s="955"/>
      <c r="H84" s="406"/>
    </row>
    <row r="85" spans="1:8" ht="12.75">
      <c r="A85" s="116"/>
      <c r="E85" s="117"/>
      <c r="F85" s="955"/>
      <c r="G85" s="955"/>
      <c r="H85" s="406"/>
    </row>
    <row r="86" spans="1:8" ht="12.75">
      <c r="A86" s="116"/>
      <c r="E86" s="117"/>
      <c r="F86" s="955"/>
      <c r="G86" s="955"/>
      <c r="H86" s="406"/>
    </row>
    <row r="87" spans="1:8" ht="12.75">
      <c r="A87" s="116"/>
      <c r="E87" s="117"/>
      <c r="H87" s="406"/>
    </row>
    <row r="88" spans="1:8" ht="12.75">
      <c r="A88" s="116"/>
      <c r="E88" s="117"/>
      <c r="H88" s="406"/>
    </row>
    <row r="89" spans="1:8" ht="12.75">
      <c r="A89" s="116"/>
      <c r="E89" s="117"/>
      <c r="H89" s="406"/>
    </row>
    <row r="90" spans="1:8" ht="12.75">
      <c r="A90" s="116"/>
      <c r="E90" s="117"/>
      <c r="H90" s="406"/>
    </row>
    <row r="91" spans="1:8" ht="12.75">
      <c r="A91" s="116"/>
      <c r="E91" s="117"/>
      <c r="H91" s="406"/>
    </row>
    <row r="92" spans="1:8" ht="12.75">
      <c r="A92" s="116"/>
      <c r="E92" s="117"/>
      <c r="H92" s="406"/>
    </row>
    <row r="93" spans="1:8" ht="12.75">
      <c r="A93" s="116"/>
      <c r="E93" s="117"/>
      <c r="H93" s="406"/>
    </row>
    <row r="94" spans="1:8" ht="12.75">
      <c r="A94" s="116"/>
      <c r="E94" s="117"/>
      <c r="H94" s="406"/>
    </row>
    <row r="95" spans="5:8" ht="12.75">
      <c r="E95" s="117"/>
      <c r="H95" s="406"/>
    </row>
    <row r="96" spans="5:8" ht="12.75">
      <c r="E96" s="117"/>
      <c r="H96" s="406"/>
    </row>
    <row r="97" spans="5:8" ht="12.75">
      <c r="E97" s="117"/>
      <c r="H97" s="406"/>
    </row>
    <row r="98" spans="5:8" ht="12.75">
      <c r="E98" s="117"/>
      <c r="H98" s="406"/>
    </row>
    <row r="99" spans="5:8" ht="12.75">
      <c r="E99" s="117"/>
      <c r="H99" s="406"/>
    </row>
    <row r="100" spans="5:8" ht="12.75">
      <c r="E100" s="117"/>
      <c r="H100" s="406"/>
    </row>
    <row r="101" spans="5:8" ht="12.75">
      <c r="E101" s="117"/>
      <c r="H101" s="406"/>
    </row>
    <row r="102" spans="5:8" ht="12.75">
      <c r="E102" s="117"/>
      <c r="H102" s="406"/>
    </row>
    <row r="103" spans="5:8" ht="12.75">
      <c r="E103" s="117"/>
      <c r="H103" s="406"/>
    </row>
    <row r="104" spans="5:8" ht="12.75">
      <c r="E104" s="117"/>
      <c r="H104" s="406"/>
    </row>
    <row r="105" spans="5:8" ht="12.75">
      <c r="E105" s="117"/>
      <c r="H105" s="406"/>
    </row>
    <row r="106" spans="5:8" ht="12.75">
      <c r="E106" s="117"/>
      <c r="H106" s="406"/>
    </row>
    <row r="107" spans="5:8" ht="12.75">
      <c r="E107" s="117"/>
      <c r="H107" s="406"/>
    </row>
    <row r="108" spans="5:8" ht="12.75">
      <c r="E108" s="117"/>
      <c r="H108" s="406"/>
    </row>
    <row r="109" spans="5:8" ht="12.75">
      <c r="E109" s="117"/>
      <c r="H109" s="406"/>
    </row>
    <row r="110" spans="5:8" ht="12.75">
      <c r="E110" s="117"/>
      <c r="H110" s="406"/>
    </row>
    <row r="111" spans="5:8" ht="12.75">
      <c r="E111" s="117"/>
      <c r="H111" s="406"/>
    </row>
    <row r="112" spans="5:8" ht="12.75">
      <c r="E112" s="117"/>
      <c r="H112" s="406"/>
    </row>
    <row r="113" spans="5:8" ht="12.75">
      <c r="E113" s="117"/>
      <c r="H113" s="406"/>
    </row>
    <row r="114" spans="5:8" ht="12.75">
      <c r="E114" s="117"/>
      <c r="H114" s="406"/>
    </row>
    <row r="115" spans="5:8" ht="12.75">
      <c r="E115" s="117"/>
      <c r="H115" s="406"/>
    </row>
    <row r="116" spans="5:8" ht="12.75">
      <c r="E116" s="117"/>
      <c r="H116" s="406"/>
    </row>
    <row r="117" spans="5:8" ht="12.75">
      <c r="E117" s="117"/>
      <c r="H117" s="406"/>
    </row>
    <row r="118" spans="5:8" ht="12.75">
      <c r="E118" s="117"/>
      <c r="H118" s="406"/>
    </row>
    <row r="119" spans="5:8" ht="12.75">
      <c r="E119" s="117"/>
      <c r="H119" s="406"/>
    </row>
    <row r="120" spans="5:8" ht="12.75">
      <c r="E120" s="117"/>
      <c r="H120" s="406"/>
    </row>
    <row r="121" spans="5:8" ht="12.75">
      <c r="E121" s="117"/>
      <c r="H121" s="406"/>
    </row>
    <row r="122" spans="5:8" ht="12.75">
      <c r="E122" s="117"/>
      <c r="H122" s="406"/>
    </row>
    <row r="123" spans="5:8" ht="12.75">
      <c r="E123" s="117"/>
      <c r="H123" s="406"/>
    </row>
    <row r="124" spans="5:8" ht="12.75">
      <c r="E124" s="117"/>
      <c r="H124" s="406"/>
    </row>
    <row r="125" spans="5:8" ht="12.75">
      <c r="E125" s="117"/>
      <c r="H125" s="406"/>
    </row>
    <row r="126" spans="5:8" ht="12.75">
      <c r="E126" s="117"/>
      <c r="H126" s="406"/>
    </row>
    <row r="127" spans="5:8" ht="12.75">
      <c r="E127" s="117"/>
      <c r="H127" s="406"/>
    </row>
    <row r="128" spans="5:8" ht="12.75">
      <c r="E128" s="117"/>
      <c r="H128" s="406"/>
    </row>
    <row r="129" spans="5:8" ht="12.75">
      <c r="E129" s="117"/>
      <c r="H129" s="406"/>
    </row>
    <row r="130" spans="5:8" ht="12.75">
      <c r="E130" s="117"/>
      <c r="H130" s="406"/>
    </row>
    <row r="131" spans="5:8" ht="12.75">
      <c r="E131" s="117"/>
      <c r="H131" s="406"/>
    </row>
    <row r="132" spans="5:8" ht="12.75">
      <c r="E132" s="117"/>
      <c r="H132" s="406"/>
    </row>
    <row r="133" spans="5:8" ht="12.75">
      <c r="E133" s="117"/>
      <c r="H133" s="406"/>
    </row>
    <row r="134" spans="5:8" ht="12.75">
      <c r="E134" s="117"/>
      <c r="H134" s="406"/>
    </row>
    <row r="135" spans="5:8" ht="12.75">
      <c r="E135" s="117"/>
      <c r="H135" s="406"/>
    </row>
    <row r="136" spans="5:8" ht="12.75">
      <c r="E136" s="117"/>
      <c r="H136" s="406"/>
    </row>
    <row r="137" spans="5:8" ht="12.75">
      <c r="E137" s="117"/>
      <c r="H137" s="406"/>
    </row>
    <row r="138" spans="5:8" ht="12.75">
      <c r="E138" s="117"/>
      <c r="H138" s="406"/>
    </row>
    <row r="139" spans="5:8" ht="12.75">
      <c r="E139" s="117"/>
      <c r="H139" s="406"/>
    </row>
    <row r="140" spans="5:8" ht="12.75">
      <c r="E140" s="117"/>
      <c r="H140" s="406"/>
    </row>
    <row r="141" spans="5:8" ht="12.75">
      <c r="E141" s="117"/>
      <c r="H141" s="406"/>
    </row>
    <row r="142" spans="5:8" ht="12.75">
      <c r="E142" s="117"/>
      <c r="H142" s="406"/>
    </row>
    <row r="143" spans="5:8" ht="12.75">
      <c r="E143" s="117"/>
      <c r="H143" s="406"/>
    </row>
    <row r="144" spans="5:8" ht="12.75">
      <c r="E144" s="117"/>
      <c r="H144" s="406"/>
    </row>
    <row r="145" spans="5:8" ht="12.75">
      <c r="E145" s="117"/>
      <c r="H145" s="406"/>
    </row>
    <row r="146" spans="5:8" ht="12.75">
      <c r="E146" s="117"/>
      <c r="H146" s="406"/>
    </row>
    <row r="147" spans="5:8" ht="12.75">
      <c r="E147" s="117"/>
      <c r="H147" s="406"/>
    </row>
    <row r="148" spans="5:8" ht="12.75">
      <c r="E148" s="117"/>
      <c r="H148" s="406"/>
    </row>
    <row r="149" spans="5:8" ht="12.75">
      <c r="E149" s="117"/>
      <c r="H149" s="406"/>
    </row>
    <row r="150" spans="5:8" ht="12.75">
      <c r="E150" s="117"/>
      <c r="H150" s="406"/>
    </row>
    <row r="151" spans="5:8" ht="12.75">
      <c r="E151" s="117"/>
      <c r="H151" s="406"/>
    </row>
    <row r="152" spans="5:8" ht="12.75">
      <c r="E152" s="117"/>
      <c r="H152" s="406"/>
    </row>
    <row r="153" spans="5:8" ht="12.75">
      <c r="E153" s="117"/>
      <c r="H153" s="406"/>
    </row>
    <row r="154" spans="5:8" ht="12.75">
      <c r="E154" s="117"/>
      <c r="H154" s="406"/>
    </row>
    <row r="155" spans="5:8" ht="12.75">
      <c r="E155" s="117"/>
      <c r="H155" s="406"/>
    </row>
    <row r="156" spans="5:8" ht="12.75">
      <c r="E156" s="117"/>
      <c r="H156" s="406"/>
    </row>
    <row r="157" spans="5:8" ht="12.75">
      <c r="E157" s="117"/>
      <c r="H157" s="406"/>
    </row>
    <row r="158" spans="5:8" ht="12.75">
      <c r="E158" s="117"/>
      <c r="H158" s="406"/>
    </row>
    <row r="159" spans="5:8" ht="12.75">
      <c r="E159" s="117"/>
      <c r="H159" s="406"/>
    </row>
    <row r="160" spans="5:8" ht="12.75">
      <c r="E160" s="117"/>
      <c r="H160" s="406"/>
    </row>
    <row r="161" spans="5:8" ht="12.75">
      <c r="E161" s="117"/>
      <c r="H161" s="406"/>
    </row>
    <row r="162" spans="5:8" ht="12.75">
      <c r="E162" s="117"/>
      <c r="H162" s="406"/>
    </row>
    <row r="163" spans="5:8" ht="12.75">
      <c r="E163" s="117"/>
      <c r="H163" s="406"/>
    </row>
    <row r="164" spans="5:8" ht="12.75">
      <c r="E164" s="117"/>
      <c r="H164" s="406"/>
    </row>
    <row r="165" spans="5:8" ht="12.75">
      <c r="E165" s="117"/>
      <c r="H165" s="406"/>
    </row>
    <row r="166" spans="5:8" ht="12.75">
      <c r="E166" s="117"/>
      <c r="H166" s="406"/>
    </row>
    <row r="167" spans="5:8" ht="12.75">
      <c r="E167" s="117"/>
      <c r="H167" s="406"/>
    </row>
    <row r="168" spans="5:8" ht="12.75">
      <c r="E168" s="117"/>
      <c r="H168" s="406"/>
    </row>
    <row r="169" spans="5:8" ht="12.75">
      <c r="E169" s="117"/>
      <c r="H169" s="406"/>
    </row>
    <row r="170" spans="5:8" ht="12.75">
      <c r="E170" s="117"/>
      <c r="H170" s="406"/>
    </row>
    <row r="171" spans="5:8" ht="12.75">
      <c r="E171" s="117"/>
      <c r="H171" s="406"/>
    </row>
    <row r="172" spans="5:8" ht="12.75">
      <c r="E172" s="117"/>
      <c r="H172" s="406"/>
    </row>
    <row r="173" spans="5:8" ht="12.75">
      <c r="E173" s="117"/>
      <c r="H173" s="406"/>
    </row>
    <row r="174" spans="5:8" ht="12.75">
      <c r="E174" s="117"/>
      <c r="H174" s="406"/>
    </row>
    <row r="175" spans="5:8" ht="12.75">
      <c r="E175" s="117"/>
      <c r="H175" s="406"/>
    </row>
    <row r="176" spans="5:8" ht="12.75">
      <c r="E176" s="117"/>
      <c r="H176" s="406"/>
    </row>
    <row r="177" spans="5:8" ht="12.75">
      <c r="E177" s="117"/>
      <c r="H177" s="406"/>
    </row>
    <row r="178" spans="5:8" ht="12.75">
      <c r="E178" s="117"/>
      <c r="H178" s="406"/>
    </row>
    <row r="179" spans="5:8" ht="12.75">
      <c r="E179" s="117"/>
      <c r="H179" s="406"/>
    </row>
    <row r="180" spans="5:8" ht="12.75">
      <c r="E180" s="117"/>
      <c r="H180" s="406"/>
    </row>
    <row r="181" spans="5:8" ht="12.75">
      <c r="E181" s="117"/>
      <c r="H181" s="406"/>
    </row>
    <row r="182" spans="5:8" ht="12.75">
      <c r="E182" s="117"/>
      <c r="H182" s="406"/>
    </row>
    <row r="183" spans="5:8" ht="12.75">
      <c r="E183" s="117"/>
      <c r="H183" s="406"/>
    </row>
    <row r="184" spans="5:8" ht="12.75">
      <c r="E184" s="117"/>
      <c r="H184" s="406"/>
    </row>
    <row r="185" spans="5:8" ht="12.75">
      <c r="E185" s="117"/>
      <c r="H185" s="406"/>
    </row>
    <row r="186" spans="5:8" ht="12.75">
      <c r="E186" s="117"/>
      <c r="H186" s="406"/>
    </row>
    <row r="187" spans="5:8" ht="12.75">
      <c r="E187" s="117"/>
      <c r="H187" s="406"/>
    </row>
    <row r="188" spans="5:8" ht="12.75">
      <c r="E188" s="117"/>
      <c r="H188" s="406"/>
    </row>
    <row r="189" spans="5:8" ht="12.75">
      <c r="E189" s="117"/>
      <c r="H189" s="406"/>
    </row>
    <row r="190" spans="5:8" ht="12.75">
      <c r="E190" s="117"/>
      <c r="H190" s="406"/>
    </row>
    <row r="191" spans="5:8" ht="12.75">
      <c r="E191" s="117"/>
      <c r="H191" s="406"/>
    </row>
    <row r="192" spans="5:8" ht="12.75">
      <c r="E192" s="117"/>
      <c r="H192" s="406"/>
    </row>
    <row r="193" spans="5:8" ht="12.75">
      <c r="E193" s="117"/>
      <c r="H193" s="406"/>
    </row>
    <row r="194" spans="5:8" ht="12.75">
      <c r="E194" s="117"/>
      <c r="H194" s="406"/>
    </row>
    <row r="195" spans="5:8" ht="12.75">
      <c r="E195" s="117"/>
      <c r="H195" s="406"/>
    </row>
    <row r="196" spans="5:8" ht="12.75">
      <c r="E196" s="117"/>
      <c r="H196" s="406"/>
    </row>
    <row r="197" spans="5:8" ht="12.75">
      <c r="E197" s="117"/>
      <c r="H197" s="406"/>
    </row>
    <row r="198" spans="5:8" ht="12.75">
      <c r="E198" s="117"/>
      <c r="H198" s="406"/>
    </row>
    <row r="199" spans="5:8" ht="12.75">
      <c r="E199" s="117"/>
      <c r="H199" s="406"/>
    </row>
    <row r="200" spans="5:8" ht="12.75">
      <c r="E200" s="117"/>
      <c r="H200" s="406"/>
    </row>
    <row r="201" spans="5:8" ht="12.75">
      <c r="E201" s="117"/>
      <c r="H201" s="406"/>
    </row>
    <row r="202" spans="5:8" ht="12.75">
      <c r="E202" s="117"/>
      <c r="H202" s="406"/>
    </row>
    <row r="203" spans="5:8" ht="12.75">
      <c r="E203" s="117"/>
      <c r="H203" s="406"/>
    </row>
    <row r="204" spans="5:8" ht="12.75">
      <c r="E204" s="117"/>
      <c r="H204" s="406"/>
    </row>
    <row r="205" ht="12.75">
      <c r="H205" s="406"/>
    </row>
  </sheetData>
  <sheetProtection password="CF93" sheet="1" formatRows="0" insertColumns="0" insertRows="0" insertHyperlinks="0" deleteColumns="0" deleteRows="0" sort="0" autoFilter="0" pivotTables="0"/>
  <mergeCells count="7">
    <mergeCell ref="I39:J39"/>
    <mergeCell ref="G1:H1"/>
    <mergeCell ref="A5:A6"/>
    <mergeCell ref="B5:B6"/>
    <mergeCell ref="C5:E5"/>
    <mergeCell ref="F5:H5"/>
    <mergeCell ref="A3:H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G17"/>
  <sheetViews>
    <sheetView showGridLines="0" view="pageBreakPreview" zoomScaleSheetLayoutView="100" zoomScalePageLayoutView="0" workbookViewId="0" topLeftCell="A1">
      <selection activeCell="B8" sqref="B8:C8"/>
    </sheetView>
  </sheetViews>
  <sheetFormatPr defaultColWidth="9.00390625" defaultRowHeight="12.75"/>
  <cols>
    <col min="1" max="1" width="4.75390625" style="43" bestFit="1" customWidth="1"/>
    <col min="2" max="2" width="35.375" style="36" customWidth="1"/>
    <col min="3" max="3" width="11.25390625" style="36" customWidth="1"/>
    <col min="4" max="4" width="13.375" style="44" customWidth="1"/>
    <col min="5" max="5" width="13.00390625" style="44" customWidth="1"/>
    <col min="6" max="6" width="8.375" style="44" customWidth="1"/>
    <col min="7" max="7" width="12.00390625" style="36" customWidth="1"/>
    <col min="8" max="16384" width="9.125" style="36" customWidth="1"/>
  </cols>
  <sheetData>
    <row r="1" spans="5:6" ht="12.75">
      <c r="E1" s="1348" t="s">
        <v>428</v>
      </c>
      <c r="F1" s="1348"/>
    </row>
    <row r="2" spans="5:6" ht="23.25" customHeight="1">
      <c r="E2" s="45"/>
      <c r="F2" s="45"/>
    </row>
    <row r="3" spans="1:6" ht="12" customHeight="1">
      <c r="A3" s="1357" t="s">
        <v>84</v>
      </c>
      <c r="B3" s="1357"/>
      <c r="C3" s="1357"/>
      <c r="D3" s="1357"/>
      <c r="E3" s="1357"/>
      <c r="F3" s="1357"/>
    </row>
    <row r="4" spans="1:6" ht="4.5" customHeight="1">
      <c r="A4" s="46"/>
      <c r="B4" s="46"/>
      <c r="C4" s="46"/>
      <c r="D4" s="47"/>
      <c r="E4" s="47"/>
      <c r="F4" s="47"/>
    </row>
    <row r="5" ht="12" customHeight="1" thickBot="1">
      <c r="F5" s="44" t="s">
        <v>1426</v>
      </c>
    </row>
    <row r="6" spans="1:6" ht="31.5" customHeight="1">
      <c r="A6" s="48" t="s">
        <v>338</v>
      </c>
      <c r="B6" s="49" t="s">
        <v>1428</v>
      </c>
      <c r="C6" s="50" t="s">
        <v>239</v>
      </c>
      <c r="D6" s="50" t="s">
        <v>1429</v>
      </c>
      <c r="E6" s="49" t="s">
        <v>1430</v>
      </c>
      <c r="F6" s="51" t="s">
        <v>1431</v>
      </c>
    </row>
    <row r="7" spans="1:6" s="55" customFormat="1" ht="12" customHeight="1" thickBot="1">
      <c r="A7" s="52">
        <v>1</v>
      </c>
      <c r="B7" s="53">
        <v>2</v>
      </c>
      <c r="C7" s="53">
        <v>3</v>
      </c>
      <c r="D7" s="53">
        <v>4</v>
      </c>
      <c r="E7" s="53">
        <v>5</v>
      </c>
      <c r="F7" s="54">
        <v>6</v>
      </c>
    </row>
    <row r="8" spans="1:6" ht="24.75" customHeight="1">
      <c r="A8" s="56" t="s">
        <v>727</v>
      </c>
      <c r="B8" s="1358" t="s">
        <v>85</v>
      </c>
      <c r="C8" s="1347"/>
      <c r="D8" s="57">
        <f>SUM(D9,D10,D11)</f>
        <v>6656440</v>
      </c>
      <c r="E8" s="57">
        <f>SUM(E9,E10,E11)</f>
        <v>6656440.49</v>
      </c>
      <c r="F8" s="58">
        <f aca="true" t="shared" si="0" ref="F8:F16">E8/D8*100</f>
        <v>100.00000736129222</v>
      </c>
    </row>
    <row r="9" spans="1:7" ht="33.75" customHeight="1" hidden="1">
      <c r="A9" s="59" t="s">
        <v>341</v>
      </c>
      <c r="B9" s="60" t="s">
        <v>651</v>
      </c>
      <c r="C9" s="61" t="s">
        <v>650</v>
      </c>
      <c r="D9" s="62"/>
      <c r="E9" s="62"/>
      <c r="F9" s="63" t="e">
        <f t="shared" si="0"/>
        <v>#DIV/0!</v>
      </c>
      <c r="G9" s="35">
        <f aca="true" t="shared" si="1" ref="G9:G17">E9-D9</f>
        <v>0</v>
      </c>
    </row>
    <row r="10" spans="1:7" ht="33.75" customHeight="1" hidden="1">
      <c r="A10" s="59" t="s">
        <v>433</v>
      </c>
      <c r="B10" s="60" t="s">
        <v>1057</v>
      </c>
      <c r="C10" s="61" t="s">
        <v>1058</v>
      </c>
      <c r="D10" s="62">
        <v>0</v>
      </c>
      <c r="E10" s="62"/>
      <c r="F10" s="63">
        <v>0</v>
      </c>
      <c r="G10" s="35">
        <f t="shared" si="1"/>
        <v>0</v>
      </c>
    </row>
    <row r="11" spans="1:7" ht="34.5" customHeight="1" thickBot="1">
      <c r="A11" s="59" t="s">
        <v>341</v>
      </c>
      <c r="B11" s="31" t="s">
        <v>1197</v>
      </c>
      <c r="C11" s="32" t="s">
        <v>240</v>
      </c>
      <c r="D11" s="33">
        <v>6656440</v>
      </c>
      <c r="E11" s="33">
        <v>6656440.49</v>
      </c>
      <c r="F11" s="34">
        <f t="shared" si="0"/>
        <v>100.00000736129222</v>
      </c>
      <c r="G11" s="35">
        <f t="shared" si="1"/>
        <v>0.4900000002235174</v>
      </c>
    </row>
    <row r="12" spans="1:7" ht="24.75" customHeight="1">
      <c r="A12" s="56" t="s">
        <v>728</v>
      </c>
      <c r="B12" s="1358" t="s">
        <v>86</v>
      </c>
      <c r="C12" s="1347"/>
      <c r="D12" s="57">
        <f>SUM(D13,D14,D15)</f>
        <v>8800000</v>
      </c>
      <c r="E12" s="57">
        <f>SUM(E13,E14,E15)</f>
        <v>8800000</v>
      </c>
      <c r="F12" s="58">
        <f t="shared" si="0"/>
        <v>100</v>
      </c>
      <c r="G12" s="35">
        <f t="shared" si="1"/>
        <v>0</v>
      </c>
    </row>
    <row r="13" spans="1:7" ht="54.75" customHeight="1" hidden="1">
      <c r="A13" s="30" t="s">
        <v>341</v>
      </c>
      <c r="B13" s="31" t="s">
        <v>526</v>
      </c>
      <c r="C13" s="32" t="s">
        <v>522</v>
      </c>
      <c r="D13" s="33"/>
      <c r="E13" s="33"/>
      <c r="F13" s="34" t="e">
        <f t="shared" si="0"/>
        <v>#DIV/0!</v>
      </c>
      <c r="G13" s="35">
        <f t="shared" si="1"/>
        <v>0</v>
      </c>
    </row>
    <row r="14" spans="1:7" ht="33" customHeight="1">
      <c r="A14" s="30" t="s">
        <v>341</v>
      </c>
      <c r="B14" s="31" t="s">
        <v>1196</v>
      </c>
      <c r="C14" s="32" t="s">
        <v>242</v>
      </c>
      <c r="D14" s="33">
        <v>6000000</v>
      </c>
      <c r="E14" s="33">
        <v>6000000</v>
      </c>
      <c r="F14" s="34">
        <f t="shared" si="0"/>
        <v>100</v>
      </c>
      <c r="G14" s="35">
        <f t="shared" si="1"/>
        <v>0</v>
      </c>
    </row>
    <row r="15" spans="1:7" ht="43.5" customHeight="1">
      <c r="A15" s="30" t="s">
        <v>342</v>
      </c>
      <c r="B15" s="31" t="s">
        <v>938</v>
      </c>
      <c r="C15" s="32" t="s">
        <v>241</v>
      </c>
      <c r="D15" s="33">
        <f>SUM(D16,D17)</f>
        <v>2800000</v>
      </c>
      <c r="E15" s="33">
        <v>2800000</v>
      </c>
      <c r="F15" s="34">
        <f t="shared" si="0"/>
        <v>100</v>
      </c>
      <c r="G15" s="35">
        <f t="shared" si="1"/>
        <v>0</v>
      </c>
    </row>
    <row r="16" spans="1:7" s="42" customFormat="1" ht="19.5" customHeight="1" thickBot="1">
      <c r="A16" s="37" t="s">
        <v>523</v>
      </c>
      <c r="B16" s="38" t="s">
        <v>201</v>
      </c>
      <c r="C16" s="39" t="s">
        <v>241</v>
      </c>
      <c r="D16" s="40">
        <v>2800000</v>
      </c>
      <c r="E16" s="40">
        <v>2800000</v>
      </c>
      <c r="F16" s="41">
        <f t="shared" si="0"/>
        <v>100</v>
      </c>
      <c r="G16" s="35">
        <f t="shared" si="1"/>
        <v>0</v>
      </c>
    </row>
    <row r="17" spans="1:7" s="68" customFormat="1" ht="19.5" customHeight="1" hidden="1" thickBot="1">
      <c r="A17" s="64" t="s">
        <v>524</v>
      </c>
      <c r="B17" s="65" t="s">
        <v>200</v>
      </c>
      <c r="C17" s="66" t="s">
        <v>241</v>
      </c>
      <c r="D17" s="40">
        <v>0</v>
      </c>
      <c r="E17" s="40">
        <v>0</v>
      </c>
      <c r="F17" s="67" t="s">
        <v>313</v>
      </c>
      <c r="G17" s="35">
        <f t="shared" si="1"/>
        <v>0</v>
      </c>
    </row>
  </sheetData>
  <sheetProtection password="CF93" sheet="1" formatRows="0" insertColumns="0" insertRows="0" insertHyperlinks="0" deleteColumns="0" deleteRows="0" sort="0" autoFilter="0" pivotTables="0"/>
  <mergeCells count="4">
    <mergeCell ref="A3:F3"/>
    <mergeCell ref="B8:C8"/>
    <mergeCell ref="E1:F1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599"/>
  <sheetViews>
    <sheetView view="pageBreakPreview" zoomScaleSheetLayoutView="100" zoomScalePageLayoutView="0" workbookViewId="0" topLeftCell="A1">
      <selection activeCell="I217" sqref="I217"/>
    </sheetView>
  </sheetViews>
  <sheetFormatPr defaultColWidth="9.00390625" defaultRowHeight="12.75"/>
  <cols>
    <col min="1" max="1" width="5.625" style="431" customWidth="1"/>
    <col min="2" max="2" width="6.375" style="431" customWidth="1"/>
    <col min="3" max="3" width="5.125" style="431" customWidth="1"/>
    <col min="4" max="4" width="40.25390625" style="432" customWidth="1"/>
    <col min="5" max="5" width="13.375" style="201" customWidth="1"/>
    <col min="6" max="6" width="13.00390625" style="201" customWidth="1"/>
    <col min="7" max="7" width="6.375" style="422" customWidth="1"/>
    <col min="8" max="8" width="9.125" style="201" customWidth="1"/>
    <col min="9" max="9" width="29.875" style="201" customWidth="1"/>
    <col min="10" max="16384" width="9.125" style="201" customWidth="1"/>
  </cols>
  <sheetData>
    <row r="1" spans="1:7" s="156" customFormat="1" ht="12.75">
      <c r="A1" s="153"/>
      <c r="B1" s="153"/>
      <c r="C1" s="153"/>
      <c r="D1" s="154"/>
      <c r="E1" s="154"/>
      <c r="F1" s="1382" t="s">
        <v>1238</v>
      </c>
      <c r="G1" s="1382"/>
    </row>
    <row r="2" spans="1:7" s="156" customFormat="1" ht="17.25" customHeight="1">
      <c r="A2" s="153"/>
      <c r="B2" s="153"/>
      <c r="C2" s="153"/>
      <c r="E2" s="154"/>
      <c r="G2" s="157"/>
    </row>
    <row r="3" spans="1:7" s="159" customFormat="1" ht="16.5" customHeight="1">
      <c r="A3" s="1367" t="s">
        <v>295</v>
      </c>
      <c r="B3" s="1367"/>
      <c r="C3" s="1367"/>
      <c r="D3" s="1367"/>
      <c r="E3" s="1367"/>
      <c r="F3" s="1367"/>
      <c r="G3" s="1367"/>
    </row>
    <row r="4" spans="1:7" s="156" customFormat="1" ht="13.5" thickBot="1">
      <c r="A4" s="153"/>
      <c r="B4" s="153"/>
      <c r="C4" s="153"/>
      <c r="D4" s="154"/>
      <c r="G4" s="157"/>
    </row>
    <row r="5" spans="1:7" s="165" customFormat="1" ht="15" customHeight="1">
      <c r="A5" s="160" t="s">
        <v>254</v>
      </c>
      <c r="B5" s="161" t="s">
        <v>1427</v>
      </c>
      <c r="C5" s="161" t="s">
        <v>259</v>
      </c>
      <c r="D5" s="161" t="s">
        <v>1428</v>
      </c>
      <c r="E5" s="162" t="s">
        <v>1429</v>
      </c>
      <c r="F5" s="163" t="s">
        <v>1430</v>
      </c>
      <c r="G5" s="164" t="s">
        <v>1431</v>
      </c>
    </row>
    <row r="6" spans="1:7" s="171" customFormat="1" ht="13.5" customHeight="1" thickBot="1">
      <c r="A6" s="166">
        <v>1</v>
      </c>
      <c r="B6" s="167">
        <v>2</v>
      </c>
      <c r="C6" s="167">
        <v>3</v>
      </c>
      <c r="D6" s="167">
        <v>4</v>
      </c>
      <c r="E6" s="168">
        <v>5</v>
      </c>
      <c r="F6" s="169">
        <v>6</v>
      </c>
      <c r="G6" s="170">
        <v>7</v>
      </c>
    </row>
    <row r="7" spans="1:7" s="174" customFormat="1" ht="22.5" customHeight="1">
      <c r="A7" s="1349" t="s">
        <v>264</v>
      </c>
      <c r="B7" s="1350"/>
      <c r="C7" s="1350"/>
      <c r="D7" s="1351"/>
      <c r="E7" s="172">
        <f>SUM(E8,E11,E16,E19,E22,E39,E52,E71,E80,E106,E113,E124,E162,E176,E196,E208,E254,E265,E268,E295,E304)</f>
        <v>146858768.92000002</v>
      </c>
      <c r="F7" s="172">
        <f>SUM(F8,F11,F16,F19,F22,F39,F52,F71,F80,F106,F113,F124,F162,F176,F196,F208,F254,F265,F268,F295,F304)</f>
        <v>124719446.25</v>
      </c>
      <c r="G7" s="173">
        <f aca="true" t="shared" si="0" ref="G7:G14">F7/E7*100</f>
        <v>84.92475264990121</v>
      </c>
    </row>
    <row r="8" spans="1:7" s="180" customFormat="1" ht="16.5" customHeight="1">
      <c r="A8" s="175" t="s">
        <v>1432</v>
      </c>
      <c r="B8" s="176"/>
      <c r="C8" s="176"/>
      <c r="D8" s="177" t="s">
        <v>891</v>
      </c>
      <c r="E8" s="178">
        <f>SUM(E9)</f>
        <v>34997.92</v>
      </c>
      <c r="F8" s="178">
        <f>SUM(F9)</f>
        <v>34997.92</v>
      </c>
      <c r="G8" s="179">
        <f t="shared" si="0"/>
        <v>100</v>
      </c>
    </row>
    <row r="9" spans="1:7" s="186" customFormat="1" ht="19.5" customHeight="1">
      <c r="A9" s="181"/>
      <c r="B9" s="182" t="s">
        <v>896</v>
      </c>
      <c r="C9" s="182"/>
      <c r="D9" s="183" t="s">
        <v>1433</v>
      </c>
      <c r="E9" s="184">
        <f>SUM(E10)</f>
        <v>34997.92</v>
      </c>
      <c r="F9" s="184">
        <f>SUM(F10)</f>
        <v>34997.92</v>
      </c>
      <c r="G9" s="185">
        <f t="shared" si="0"/>
        <v>100</v>
      </c>
    </row>
    <row r="10" spans="1:7" s="193" customFormat="1" ht="55.5" customHeight="1">
      <c r="A10" s="187"/>
      <c r="B10" s="188"/>
      <c r="C10" s="189">
        <v>2010</v>
      </c>
      <c r="D10" s="190" t="s">
        <v>400</v>
      </c>
      <c r="E10" s="191">
        <v>34997.92</v>
      </c>
      <c r="F10" s="191">
        <v>34997.92</v>
      </c>
      <c r="G10" s="192">
        <f t="shared" si="0"/>
        <v>100</v>
      </c>
    </row>
    <row r="11" spans="1:7" s="197" customFormat="1" ht="18" customHeight="1">
      <c r="A11" s="175" t="s">
        <v>1434</v>
      </c>
      <c r="B11" s="194"/>
      <c r="C11" s="194"/>
      <c r="D11" s="195" t="s">
        <v>260</v>
      </c>
      <c r="E11" s="196">
        <f>SUM(E12)</f>
        <v>41500</v>
      </c>
      <c r="F11" s="196">
        <f>SUM(F12)</f>
        <v>29017.48</v>
      </c>
      <c r="G11" s="179">
        <f t="shared" si="0"/>
        <v>69.92163855421687</v>
      </c>
    </row>
    <row r="12" spans="1:7" ht="21" customHeight="1">
      <c r="A12" s="181"/>
      <c r="B12" s="198" t="s">
        <v>1435</v>
      </c>
      <c r="C12" s="198"/>
      <c r="D12" s="199" t="s">
        <v>1433</v>
      </c>
      <c r="E12" s="200">
        <f>SUM(E13,E14,E15)</f>
        <v>41500</v>
      </c>
      <c r="F12" s="200">
        <f>SUM(F13,F14,F15)</f>
        <v>29017.48</v>
      </c>
      <c r="G12" s="185">
        <f t="shared" si="0"/>
        <v>69.92163855421687</v>
      </c>
    </row>
    <row r="13" spans="1:7" s="205" customFormat="1" ht="21" customHeight="1">
      <c r="A13" s="187"/>
      <c r="B13" s="202"/>
      <c r="C13" s="202" t="s">
        <v>614</v>
      </c>
      <c r="D13" s="203" t="s">
        <v>263</v>
      </c>
      <c r="E13" s="204">
        <v>1500</v>
      </c>
      <c r="F13" s="204">
        <v>931.61</v>
      </c>
      <c r="G13" s="192">
        <f t="shared" si="0"/>
        <v>62.10733333333334</v>
      </c>
    </row>
    <row r="14" spans="1:7" s="205" customFormat="1" ht="21" customHeight="1">
      <c r="A14" s="187"/>
      <c r="B14" s="202"/>
      <c r="C14" s="202" t="s">
        <v>570</v>
      </c>
      <c r="D14" s="206" t="s">
        <v>569</v>
      </c>
      <c r="E14" s="204">
        <v>40000</v>
      </c>
      <c r="F14" s="204">
        <v>27949.82</v>
      </c>
      <c r="G14" s="192">
        <f t="shared" si="0"/>
        <v>69.87455</v>
      </c>
    </row>
    <row r="15" spans="1:7" s="205" customFormat="1" ht="21" customHeight="1">
      <c r="A15" s="187"/>
      <c r="B15" s="202"/>
      <c r="C15" s="202" t="s">
        <v>611</v>
      </c>
      <c r="D15" s="206" t="s">
        <v>268</v>
      </c>
      <c r="E15" s="204">
        <v>0</v>
      </c>
      <c r="F15" s="204">
        <v>136.05</v>
      </c>
      <c r="G15" s="192" t="s">
        <v>313</v>
      </c>
    </row>
    <row r="16" spans="1:7" s="197" customFormat="1" ht="29.25" customHeight="1">
      <c r="A16" s="175" t="s">
        <v>419</v>
      </c>
      <c r="B16" s="194"/>
      <c r="C16" s="194"/>
      <c r="D16" s="207" t="s">
        <v>520</v>
      </c>
      <c r="E16" s="196">
        <f>SUM(E17)</f>
        <v>0</v>
      </c>
      <c r="F16" s="196">
        <f>SUM(F17)</f>
        <v>30536.51</v>
      </c>
      <c r="G16" s="179" t="s">
        <v>313</v>
      </c>
    </row>
    <row r="17" spans="1:7" ht="21" customHeight="1">
      <c r="A17" s="181"/>
      <c r="B17" s="198" t="s">
        <v>899</v>
      </c>
      <c r="C17" s="198"/>
      <c r="D17" s="199" t="s">
        <v>900</v>
      </c>
      <c r="E17" s="200">
        <f>SUM(E18,E19,E20)</f>
        <v>0</v>
      </c>
      <c r="F17" s="200">
        <f>SUM(F18,F19,F20)</f>
        <v>30536.51</v>
      </c>
      <c r="G17" s="185" t="s">
        <v>313</v>
      </c>
    </row>
    <row r="18" spans="1:7" s="205" customFormat="1" ht="21" customHeight="1">
      <c r="A18" s="187"/>
      <c r="B18" s="202"/>
      <c r="C18" s="202" t="s">
        <v>612</v>
      </c>
      <c r="D18" s="203" t="s">
        <v>266</v>
      </c>
      <c r="E18" s="204">
        <v>0</v>
      </c>
      <c r="F18" s="204">
        <v>30536.51</v>
      </c>
      <c r="G18" s="192" t="s">
        <v>313</v>
      </c>
    </row>
    <row r="19" spans="1:7" s="197" customFormat="1" ht="19.5" customHeight="1" hidden="1">
      <c r="A19" s="175" t="s">
        <v>383</v>
      </c>
      <c r="B19" s="194"/>
      <c r="C19" s="194"/>
      <c r="D19" s="195" t="s">
        <v>386</v>
      </c>
      <c r="E19" s="196">
        <f>E21</f>
        <v>0</v>
      </c>
      <c r="F19" s="196">
        <f>F20</f>
        <v>0</v>
      </c>
      <c r="G19" s="179" t="s">
        <v>313</v>
      </c>
    </row>
    <row r="20" spans="1:7" ht="21.75" customHeight="1" hidden="1">
      <c r="A20" s="181"/>
      <c r="B20" s="198" t="s">
        <v>616</v>
      </c>
      <c r="C20" s="198"/>
      <c r="D20" s="199" t="s">
        <v>617</v>
      </c>
      <c r="E20" s="210">
        <f>E21</f>
        <v>0</v>
      </c>
      <c r="F20" s="200">
        <f>F21</f>
        <v>0</v>
      </c>
      <c r="G20" s="185" t="s">
        <v>313</v>
      </c>
    </row>
    <row r="21" spans="1:7" s="205" customFormat="1" ht="29.25" customHeight="1" hidden="1">
      <c r="A21" s="187"/>
      <c r="B21" s="202"/>
      <c r="C21" s="202" t="s">
        <v>618</v>
      </c>
      <c r="D21" s="206" t="s">
        <v>413</v>
      </c>
      <c r="E21" s="212">
        <v>0</v>
      </c>
      <c r="F21" s="204"/>
      <c r="G21" s="192" t="s">
        <v>313</v>
      </c>
    </row>
    <row r="22" spans="1:7" ht="19.5" customHeight="1">
      <c r="A22" s="175" t="s">
        <v>67</v>
      </c>
      <c r="B22" s="194"/>
      <c r="C22" s="194"/>
      <c r="D22" s="207" t="s">
        <v>68</v>
      </c>
      <c r="E22" s="208">
        <f>SUM(E23,E30)</f>
        <v>128510</v>
      </c>
      <c r="F22" s="209">
        <f>SUM(F23,F30)</f>
        <v>413344.48</v>
      </c>
      <c r="G22" s="179">
        <f>F22/E22*100</f>
        <v>321.64382538323866</v>
      </c>
    </row>
    <row r="23" spans="1:7" ht="19.5" customHeight="1">
      <c r="A23" s="181"/>
      <c r="B23" s="198" t="s">
        <v>70</v>
      </c>
      <c r="C23" s="198"/>
      <c r="D23" s="183" t="s">
        <v>71</v>
      </c>
      <c r="E23" s="210">
        <f>SUM(E24,E25,E26,E27,E28,E29)</f>
        <v>0</v>
      </c>
      <c r="F23" s="210">
        <f>SUM(F24,F25,F26,F27,F28,F29)</f>
        <v>258315.31</v>
      </c>
      <c r="G23" s="211" t="s">
        <v>313</v>
      </c>
    </row>
    <row r="24" spans="1:7" s="205" customFormat="1" ht="27" customHeight="1">
      <c r="A24" s="187"/>
      <c r="B24" s="202"/>
      <c r="C24" s="202" t="s">
        <v>613</v>
      </c>
      <c r="D24" s="206" t="s">
        <v>1348</v>
      </c>
      <c r="E24" s="212">
        <v>0</v>
      </c>
      <c r="F24" s="212">
        <v>1607.08</v>
      </c>
      <c r="G24" s="211" t="s">
        <v>313</v>
      </c>
    </row>
    <row r="25" spans="1:7" ht="27.75" customHeight="1">
      <c r="A25" s="187"/>
      <c r="B25" s="202"/>
      <c r="C25" s="202" t="s">
        <v>1347</v>
      </c>
      <c r="D25" s="206" t="s">
        <v>1346</v>
      </c>
      <c r="E25" s="212">
        <v>0</v>
      </c>
      <c r="F25" s="204">
        <v>2637.86</v>
      </c>
      <c r="G25" s="192" t="s">
        <v>313</v>
      </c>
    </row>
    <row r="26" spans="1:7" s="205" customFormat="1" ht="20.25" customHeight="1" hidden="1">
      <c r="A26" s="187"/>
      <c r="B26" s="202"/>
      <c r="C26" s="202" t="s">
        <v>570</v>
      </c>
      <c r="D26" s="206" t="s">
        <v>569</v>
      </c>
      <c r="E26" s="204"/>
      <c r="F26" s="204"/>
      <c r="G26" s="185" t="s">
        <v>313</v>
      </c>
    </row>
    <row r="27" spans="1:7" s="205" customFormat="1" ht="20.25" customHeight="1" hidden="1">
      <c r="A27" s="187"/>
      <c r="B27" s="202"/>
      <c r="C27" s="202" t="s">
        <v>611</v>
      </c>
      <c r="D27" s="206" t="s">
        <v>268</v>
      </c>
      <c r="E27" s="204">
        <v>0</v>
      </c>
      <c r="F27" s="204">
        <v>0</v>
      </c>
      <c r="G27" s="185" t="s">
        <v>313</v>
      </c>
    </row>
    <row r="28" spans="1:7" s="205" customFormat="1" ht="20.25" customHeight="1">
      <c r="A28" s="187"/>
      <c r="B28" s="202"/>
      <c r="C28" s="202" t="s">
        <v>612</v>
      </c>
      <c r="D28" s="206" t="s">
        <v>266</v>
      </c>
      <c r="E28" s="204">
        <v>0</v>
      </c>
      <c r="F28" s="204">
        <v>314.97</v>
      </c>
      <c r="G28" s="185" t="s">
        <v>313</v>
      </c>
    </row>
    <row r="29" spans="1:7" s="205" customFormat="1" ht="40.5" customHeight="1">
      <c r="A29" s="187"/>
      <c r="B29" s="278"/>
      <c r="C29" s="202" t="s">
        <v>57</v>
      </c>
      <c r="D29" s="206" t="s">
        <v>932</v>
      </c>
      <c r="E29" s="204">
        <v>0</v>
      </c>
      <c r="F29" s="204">
        <v>253755.4</v>
      </c>
      <c r="G29" s="185" t="s">
        <v>313</v>
      </c>
    </row>
    <row r="30" spans="1:7" ht="21.75" customHeight="1">
      <c r="A30" s="181"/>
      <c r="B30" s="213" t="s">
        <v>434</v>
      </c>
      <c r="C30" s="198"/>
      <c r="D30" s="183" t="s">
        <v>435</v>
      </c>
      <c r="E30" s="184">
        <f>SUM(E31,E32,E33,E34,E35,E37)</f>
        <v>128510</v>
      </c>
      <c r="F30" s="184">
        <f>SUM(F31,F32,F33,F34,F35,F37)</f>
        <v>155029.17</v>
      </c>
      <c r="G30" s="185">
        <f>F30/E30*100</f>
        <v>120.63588047622753</v>
      </c>
    </row>
    <row r="31" spans="1:7" ht="27.75" customHeight="1" hidden="1">
      <c r="A31" s="187"/>
      <c r="B31" s="202"/>
      <c r="C31" s="202" t="s">
        <v>1347</v>
      </c>
      <c r="D31" s="206" t="s">
        <v>1346</v>
      </c>
      <c r="E31" s="212">
        <v>0</v>
      </c>
      <c r="F31" s="204">
        <v>0</v>
      </c>
      <c r="G31" s="192" t="s">
        <v>313</v>
      </c>
    </row>
    <row r="32" spans="1:7" s="205" customFormat="1" ht="21" customHeight="1" hidden="1">
      <c r="A32" s="187"/>
      <c r="B32" s="202"/>
      <c r="C32" s="202" t="s">
        <v>614</v>
      </c>
      <c r="D32" s="203" t="s">
        <v>263</v>
      </c>
      <c r="E32" s="204">
        <v>0</v>
      </c>
      <c r="F32" s="204">
        <v>0</v>
      </c>
      <c r="G32" s="192" t="e">
        <f>F32/E32*100</f>
        <v>#DIV/0!</v>
      </c>
    </row>
    <row r="33" spans="1:7" s="205" customFormat="1" ht="66" customHeight="1">
      <c r="A33" s="214"/>
      <c r="B33" s="215"/>
      <c r="C33" s="216" t="s">
        <v>615</v>
      </c>
      <c r="D33" s="190" t="s">
        <v>699</v>
      </c>
      <c r="E33" s="217">
        <v>128510</v>
      </c>
      <c r="F33" s="217">
        <v>153618.01</v>
      </c>
      <c r="G33" s="192">
        <f>F33/E33*100</f>
        <v>119.53778694265038</v>
      </c>
    </row>
    <row r="34" spans="1:7" s="205" customFormat="1" ht="21" customHeight="1">
      <c r="A34" s="187"/>
      <c r="B34" s="202"/>
      <c r="C34" s="202" t="s">
        <v>611</v>
      </c>
      <c r="D34" s="206" t="s">
        <v>268</v>
      </c>
      <c r="E34" s="204">
        <v>0</v>
      </c>
      <c r="F34" s="204">
        <v>1411.16</v>
      </c>
      <c r="G34" s="192" t="s">
        <v>313</v>
      </c>
    </row>
    <row r="35" spans="1:7" s="205" customFormat="1" ht="54.75" customHeight="1" hidden="1">
      <c r="A35" s="187"/>
      <c r="B35" s="278"/>
      <c r="C35" s="202" t="s">
        <v>1321</v>
      </c>
      <c r="D35" s="206" t="s">
        <v>711</v>
      </c>
      <c r="E35" s="191">
        <v>0</v>
      </c>
      <c r="F35" s="191">
        <v>0</v>
      </c>
      <c r="G35" s="192" t="e">
        <f>F35/E35*100</f>
        <v>#DIV/0!</v>
      </c>
    </row>
    <row r="36" spans="1:7" s="205" customFormat="1" ht="66.75" customHeight="1" hidden="1">
      <c r="A36" s="187"/>
      <c r="B36" s="278"/>
      <c r="C36" s="202"/>
      <c r="D36" s="190" t="s">
        <v>790</v>
      </c>
      <c r="E36" s="191"/>
      <c r="F36" s="191"/>
      <c r="G36" s="192"/>
    </row>
    <row r="37" spans="1:7" s="205" customFormat="1" ht="54" customHeight="1" hidden="1">
      <c r="A37" s="187"/>
      <c r="B37" s="278"/>
      <c r="C37" s="202" t="s">
        <v>1247</v>
      </c>
      <c r="D37" s="206" t="s">
        <v>711</v>
      </c>
      <c r="E37" s="191">
        <v>0</v>
      </c>
      <c r="F37" s="191">
        <v>0</v>
      </c>
      <c r="G37" s="192" t="e">
        <f>F37/E37*100</f>
        <v>#DIV/0!</v>
      </c>
    </row>
    <row r="38" spans="1:7" s="205" customFormat="1" ht="66.75" customHeight="1" hidden="1">
      <c r="A38" s="187"/>
      <c r="B38" s="278"/>
      <c r="C38" s="202"/>
      <c r="D38" s="190" t="s">
        <v>800</v>
      </c>
      <c r="E38" s="191"/>
      <c r="F38" s="191"/>
      <c r="G38" s="192"/>
    </row>
    <row r="39" spans="1:7" s="197" customFormat="1" ht="19.5" customHeight="1">
      <c r="A39" s="175" t="s">
        <v>72</v>
      </c>
      <c r="B39" s="194"/>
      <c r="C39" s="194"/>
      <c r="D39" s="207" t="s">
        <v>73</v>
      </c>
      <c r="E39" s="196">
        <f>SUM(E40,E46)</f>
        <v>2061350</v>
      </c>
      <c r="F39" s="196">
        <f>SUM(F40,F46)</f>
        <v>360947.03</v>
      </c>
      <c r="G39" s="179">
        <f>F39/E39*100</f>
        <v>17.510225337764087</v>
      </c>
    </row>
    <row r="40" spans="1:7" ht="16.5" customHeight="1">
      <c r="A40" s="181"/>
      <c r="B40" s="198" t="s">
        <v>415</v>
      </c>
      <c r="C40" s="198"/>
      <c r="D40" s="183" t="s">
        <v>416</v>
      </c>
      <c r="E40" s="200">
        <f>SUM(E41,E42,E43,E44)</f>
        <v>1350</v>
      </c>
      <c r="F40" s="200">
        <f>SUM(F41,F42,F43,F44)</f>
        <v>11024.51</v>
      </c>
      <c r="G40" s="185">
        <f>F40/E40*100</f>
        <v>816.6303703703704</v>
      </c>
    </row>
    <row r="41" spans="1:7" ht="21" customHeight="1">
      <c r="A41" s="187"/>
      <c r="B41" s="202"/>
      <c r="C41" s="202" t="s">
        <v>570</v>
      </c>
      <c r="D41" s="206" t="s">
        <v>569</v>
      </c>
      <c r="E41" s="204">
        <v>0</v>
      </c>
      <c r="F41" s="204">
        <v>296.02</v>
      </c>
      <c r="G41" s="192" t="s">
        <v>313</v>
      </c>
    </row>
    <row r="42" spans="1:7" s="205" customFormat="1" ht="21" customHeight="1">
      <c r="A42" s="187"/>
      <c r="B42" s="202"/>
      <c r="C42" s="202" t="s">
        <v>611</v>
      </c>
      <c r="D42" s="206" t="s">
        <v>268</v>
      </c>
      <c r="E42" s="204">
        <v>0</v>
      </c>
      <c r="F42" s="204">
        <v>9.23</v>
      </c>
      <c r="G42" s="192" t="s">
        <v>313</v>
      </c>
    </row>
    <row r="43" spans="1:7" s="205" customFormat="1" ht="21" customHeight="1">
      <c r="A43" s="187"/>
      <c r="B43" s="188"/>
      <c r="C43" s="188" t="s">
        <v>612</v>
      </c>
      <c r="D43" s="218" t="s">
        <v>266</v>
      </c>
      <c r="E43" s="219">
        <v>0</v>
      </c>
      <c r="F43" s="219">
        <v>9378.42</v>
      </c>
      <c r="G43" s="192" t="s">
        <v>313</v>
      </c>
    </row>
    <row r="44" spans="1:7" s="205" customFormat="1" ht="54" customHeight="1">
      <c r="A44" s="187"/>
      <c r="B44" s="202"/>
      <c r="C44" s="202" t="s">
        <v>1081</v>
      </c>
      <c r="D44" s="206" t="s">
        <v>311</v>
      </c>
      <c r="E44" s="1355">
        <v>1350</v>
      </c>
      <c r="F44" s="1355">
        <v>1340.84</v>
      </c>
      <c r="G44" s="1356">
        <f>F44/E44*100</f>
        <v>99.32148148148147</v>
      </c>
    </row>
    <row r="45" spans="1:7" s="205" customFormat="1" ht="79.5" customHeight="1">
      <c r="A45" s="187"/>
      <c r="B45" s="202"/>
      <c r="C45" s="202"/>
      <c r="D45" s="190" t="s">
        <v>712</v>
      </c>
      <c r="E45" s="1355"/>
      <c r="F45" s="1355"/>
      <c r="G45" s="1356"/>
    </row>
    <row r="46" spans="1:7" s="205" customFormat="1" ht="18" customHeight="1">
      <c r="A46" s="181"/>
      <c r="B46" s="198" t="s">
        <v>912</v>
      </c>
      <c r="C46" s="198"/>
      <c r="D46" s="183" t="s">
        <v>1433</v>
      </c>
      <c r="E46" s="200">
        <f>SUM(E47,E48,E49,E51)</f>
        <v>2060000</v>
      </c>
      <c r="F46" s="200">
        <f>SUM(F47,F48,F49,F51)</f>
        <v>349922.52</v>
      </c>
      <c r="G46" s="185">
        <f>F46/E46*100</f>
        <v>16.98653009708738</v>
      </c>
    </row>
    <row r="47" spans="1:7" s="205" customFormat="1" ht="29.25" customHeight="1">
      <c r="A47" s="187"/>
      <c r="B47" s="202"/>
      <c r="C47" s="202" t="s">
        <v>613</v>
      </c>
      <c r="D47" s="206" t="s">
        <v>1348</v>
      </c>
      <c r="E47" s="204">
        <v>0</v>
      </c>
      <c r="F47" s="204">
        <v>4196.8</v>
      </c>
      <c r="G47" s="192" t="s">
        <v>313</v>
      </c>
    </row>
    <row r="48" spans="1:7" s="205" customFormat="1" ht="20.25" customHeight="1">
      <c r="A48" s="187"/>
      <c r="B48" s="202"/>
      <c r="C48" s="188" t="s">
        <v>612</v>
      </c>
      <c r="D48" s="218" t="s">
        <v>266</v>
      </c>
      <c r="E48" s="204">
        <v>0</v>
      </c>
      <c r="F48" s="204">
        <v>14727.96</v>
      </c>
      <c r="G48" s="192" t="s">
        <v>313</v>
      </c>
    </row>
    <row r="49" spans="1:7" ht="50.25" customHeight="1">
      <c r="A49" s="214"/>
      <c r="B49" s="215"/>
      <c r="C49" s="216" t="s">
        <v>1321</v>
      </c>
      <c r="D49" s="206" t="s">
        <v>711</v>
      </c>
      <c r="E49" s="217">
        <v>2060000</v>
      </c>
      <c r="F49" s="217">
        <v>330997.76</v>
      </c>
      <c r="G49" s="192">
        <f>F49/E49*100</f>
        <v>16.067852427184466</v>
      </c>
    </row>
    <row r="50" spans="1:7" s="205" customFormat="1" ht="65.25" customHeight="1">
      <c r="A50" s="187"/>
      <c r="B50" s="202"/>
      <c r="C50" s="188"/>
      <c r="D50" s="190" t="s">
        <v>712</v>
      </c>
      <c r="E50" s="204"/>
      <c r="F50" s="204"/>
      <c r="G50" s="192"/>
    </row>
    <row r="51" spans="1:7" s="205" customFormat="1" ht="16.5" customHeight="1" hidden="1">
      <c r="A51" s="187"/>
      <c r="B51" s="202"/>
      <c r="C51" s="202" t="s">
        <v>669</v>
      </c>
      <c r="D51" s="206" t="s">
        <v>427</v>
      </c>
      <c r="E51" s="204">
        <v>0</v>
      </c>
      <c r="F51" s="204">
        <v>0</v>
      </c>
      <c r="G51" s="192" t="e">
        <f aca="true" t="shared" si="1" ref="G51:G64">F51/E51*100</f>
        <v>#DIV/0!</v>
      </c>
    </row>
    <row r="52" spans="1:7" s="197" customFormat="1" ht="21" customHeight="1">
      <c r="A52" s="175" t="s">
        <v>74</v>
      </c>
      <c r="B52" s="194"/>
      <c r="C52" s="194"/>
      <c r="D52" s="195" t="s">
        <v>75</v>
      </c>
      <c r="E52" s="196">
        <f>SUM(E53,E56,E67)</f>
        <v>35161100</v>
      </c>
      <c r="F52" s="196">
        <f>SUM(F53,F56,F67)</f>
        <v>14211810.53</v>
      </c>
      <c r="G52" s="179">
        <f t="shared" si="1"/>
        <v>40.41912946409526</v>
      </c>
    </row>
    <row r="53" spans="1:7" ht="21" customHeight="1" hidden="1">
      <c r="A53" s="187"/>
      <c r="B53" s="198" t="s">
        <v>914</v>
      </c>
      <c r="C53" s="198"/>
      <c r="D53" s="199" t="s">
        <v>917</v>
      </c>
      <c r="E53" s="200">
        <f>SUM(E54,E55)</f>
        <v>0</v>
      </c>
      <c r="F53" s="200">
        <f>SUM(F54,F55)</f>
        <v>0</v>
      </c>
      <c r="G53" s="185" t="e">
        <f>F53/E53*100</f>
        <v>#DIV/0!</v>
      </c>
    </row>
    <row r="54" spans="1:7" s="205" customFormat="1" ht="29.25" customHeight="1" hidden="1">
      <c r="A54" s="187"/>
      <c r="B54" s="202"/>
      <c r="C54" s="202" t="s">
        <v>652</v>
      </c>
      <c r="D54" s="206" t="s">
        <v>653</v>
      </c>
      <c r="E54" s="204">
        <v>0</v>
      </c>
      <c r="F54" s="204">
        <v>0</v>
      </c>
      <c r="G54" s="192" t="e">
        <f>F54/E54*100</f>
        <v>#DIV/0!</v>
      </c>
    </row>
    <row r="55" spans="1:7" s="205" customFormat="1" ht="40.5" customHeight="1" hidden="1">
      <c r="A55" s="187"/>
      <c r="B55" s="202"/>
      <c r="C55" s="202" t="s">
        <v>452</v>
      </c>
      <c r="D55" s="206" t="s">
        <v>453</v>
      </c>
      <c r="E55" s="204">
        <v>0</v>
      </c>
      <c r="F55" s="204">
        <v>0</v>
      </c>
      <c r="G55" s="192" t="e">
        <f>F55/E55*100</f>
        <v>#DIV/0!</v>
      </c>
    </row>
    <row r="56" spans="1:7" ht="21" customHeight="1">
      <c r="A56" s="187"/>
      <c r="B56" s="198" t="s">
        <v>76</v>
      </c>
      <c r="C56" s="198"/>
      <c r="D56" s="199" t="s">
        <v>77</v>
      </c>
      <c r="E56" s="200">
        <f>SUM(E57,E58,E59,E60,E61,E62,E63,E64,E65,E66)</f>
        <v>35141000</v>
      </c>
      <c r="F56" s="200">
        <f>SUM(F57,F58,F59,F60,F61,F62,F63,F64,F65,F66)</f>
        <v>14176666.75</v>
      </c>
      <c r="G56" s="185">
        <f t="shared" si="1"/>
        <v>40.342240545232066</v>
      </c>
    </row>
    <row r="57" spans="1:7" s="205" customFormat="1" ht="29.25" customHeight="1">
      <c r="A57" s="187"/>
      <c r="B57" s="202"/>
      <c r="C57" s="202" t="s">
        <v>619</v>
      </c>
      <c r="D57" s="206" t="s">
        <v>541</v>
      </c>
      <c r="E57" s="204">
        <v>1440000</v>
      </c>
      <c r="F57" s="204">
        <v>1466090.43</v>
      </c>
      <c r="G57" s="192">
        <f t="shared" si="1"/>
        <v>101.81183541666665</v>
      </c>
    </row>
    <row r="58" spans="1:7" s="205" customFormat="1" ht="29.25" customHeight="1">
      <c r="A58" s="187"/>
      <c r="B58" s="202"/>
      <c r="C58" s="202" t="s">
        <v>613</v>
      </c>
      <c r="D58" s="206" t="s">
        <v>1348</v>
      </c>
      <c r="E58" s="204">
        <v>0</v>
      </c>
      <c r="F58" s="204">
        <v>133.48</v>
      </c>
      <c r="G58" s="192" t="s">
        <v>313</v>
      </c>
    </row>
    <row r="59" spans="1:7" ht="27.75" customHeight="1" hidden="1">
      <c r="A59" s="187"/>
      <c r="B59" s="202"/>
      <c r="C59" s="202" t="s">
        <v>1347</v>
      </c>
      <c r="D59" s="206" t="s">
        <v>1346</v>
      </c>
      <c r="E59" s="212">
        <v>0</v>
      </c>
      <c r="F59" s="204">
        <v>0</v>
      </c>
      <c r="G59" s="192" t="s">
        <v>313</v>
      </c>
    </row>
    <row r="60" spans="1:7" s="205" customFormat="1" ht="69" customHeight="1">
      <c r="A60" s="187"/>
      <c r="B60" s="202"/>
      <c r="C60" s="202" t="s">
        <v>615</v>
      </c>
      <c r="D60" s="206" t="s">
        <v>699</v>
      </c>
      <c r="E60" s="204">
        <v>2300000</v>
      </c>
      <c r="F60" s="204">
        <v>2122022.99</v>
      </c>
      <c r="G60" s="192">
        <f t="shared" si="1"/>
        <v>92.26186913043479</v>
      </c>
    </row>
    <row r="61" spans="1:7" s="205" customFormat="1" ht="42" customHeight="1">
      <c r="A61" s="187"/>
      <c r="B61" s="202"/>
      <c r="C61" s="202" t="s">
        <v>621</v>
      </c>
      <c r="D61" s="206" t="s">
        <v>272</v>
      </c>
      <c r="E61" s="204">
        <v>200000</v>
      </c>
      <c r="F61" s="204">
        <v>103374.95</v>
      </c>
      <c r="G61" s="192">
        <f t="shared" si="1"/>
        <v>51.68747499999999</v>
      </c>
    </row>
    <row r="62" spans="1:7" s="221" customFormat="1" ht="39" customHeight="1">
      <c r="A62" s="187"/>
      <c r="B62" s="202"/>
      <c r="C62" s="202" t="s">
        <v>622</v>
      </c>
      <c r="D62" s="206" t="s">
        <v>717</v>
      </c>
      <c r="E62" s="204">
        <v>31086000</v>
      </c>
      <c r="F62" s="204">
        <v>4744941.01</v>
      </c>
      <c r="G62" s="192">
        <f t="shared" si="1"/>
        <v>15.263916264556391</v>
      </c>
    </row>
    <row r="63" spans="1:7" s="205" customFormat="1" ht="19.5" customHeight="1">
      <c r="A63" s="187"/>
      <c r="B63" s="188"/>
      <c r="C63" s="188" t="s">
        <v>611</v>
      </c>
      <c r="D63" s="218" t="s">
        <v>268</v>
      </c>
      <c r="E63" s="219">
        <v>60000</v>
      </c>
      <c r="F63" s="219">
        <v>28202.45</v>
      </c>
      <c r="G63" s="192">
        <f t="shared" si="1"/>
        <v>47.004083333333334</v>
      </c>
    </row>
    <row r="64" spans="1:7" s="205" customFormat="1" ht="19.5" customHeight="1">
      <c r="A64" s="187"/>
      <c r="B64" s="188"/>
      <c r="C64" s="216" t="s">
        <v>612</v>
      </c>
      <c r="D64" s="190" t="s">
        <v>266</v>
      </c>
      <c r="E64" s="217">
        <v>20000</v>
      </c>
      <c r="F64" s="217">
        <v>5676925.14</v>
      </c>
      <c r="G64" s="1160">
        <f t="shared" si="1"/>
        <v>28384.625699999997</v>
      </c>
    </row>
    <row r="65" spans="1:7" s="205" customFormat="1" ht="63" customHeight="1" hidden="1">
      <c r="A65" s="214"/>
      <c r="B65" s="215"/>
      <c r="C65" s="189">
        <v>2010</v>
      </c>
      <c r="D65" s="190" t="s">
        <v>400</v>
      </c>
      <c r="E65" s="217">
        <v>0</v>
      </c>
      <c r="F65" s="217"/>
      <c r="G65" s="192" t="e">
        <f>F65/E65*100</f>
        <v>#DIV/0!</v>
      </c>
    </row>
    <row r="66" spans="1:7" s="205" customFormat="1" ht="55.5" customHeight="1">
      <c r="A66" s="214"/>
      <c r="B66" s="215"/>
      <c r="C66" s="189">
        <v>2020</v>
      </c>
      <c r="D66" s="190" t="s">
        <v>414</v>
      </c>
      <c r="E66" s="217">
        <v>35000</v>
      </c>
      <c r="F66" s="217">
        <v>34976.3</v>
      </c>
      <c r="G66" s="192">
        <f>F66/E66*100</f>
        <v>99.93228571428571</v>
      </c>
    </row>
    <row r="67" spans="1:7" ht="20.25" customHeight="1">
      <c r="A67" s="222"/>
      <c r="B67" s="223" t="s">
        <v>918</v>
      </c>
      <c r="C67" s="224"/>
      <c r="D67" s="225" t="s">
        <v>1433</v>
      </c>
      <c r="E67" s="226">
        <f>SUM(E68,E69,E70)</f>
        <v>20100</v>
      </c>
      <c r="F67" s="226">
        <f>SUM(F68,F69,F70)</f>
        <v>35143.78</v>
      </c>
      <c r="G67" s="185">
        <f>F67/E67*100</f>
        <v>174.8446766169154</v>
      </c>
    </row>
    <row r="68" spans="1:7" s="205" customFormat="1" ht="30" customHeight="1">
      <c r="A68" s="214"/>
      <c r="B68" s="215"/>
      <c r="C68" s="216" t="s">
        <v>613</v>
      </c>
      <c r="D68" s="190" t="s">
        <v>1348</v>
      </c>
      <c r="E68" s="217">
        <v>0</v>
      </c>
      <c r="F68" s="217">
        <v>600</v>
      </c>
      <c r="G68" s="192" t="s">
        <v>313</v>
      </c>
    </row>
    <row r="69" spans="1:7" s="221" customFormat="1" ht="19.5" customHeight="1">
      <c r="A69" s="187"/>
      <c r="B69" s="188"/>
      <c r="C69" s="227" t="s">
        <v>612</v>
      </c>
      <c r="D69" s="206" t="s">
        <v>266</v>
      </c>
      <c r="E69" s="204">
        <v>20100</v>
      </c>
      <c r="F69" s="204">
        <v>34543.78</v>
      </c>
      <c r="G69" s="192">
        <f>F69/E69*100</f>
        <v>171.85960199004975</v>
      </c>
    </row>
    <row r="70" spans="1:7" s="205" customFormat="1" ht="38.25" customHeight="1" hidden="1">
      <c r="A70" s="214"/>
      <c r="B70" s="215"/>
      <c r="C70" s="189">
        <v>6290</v>
      </c>
      <c r="D70" s="206" t="s">
        <v>711</v>
      </c>
      <c r="E70" s="217">
        <v>0</v>
      </c>
      <c r="F70" s="217">
        <v>0</v>
      </c>
      <c r="G70" s="192" t="s">
        <v>313</v>
      </c>
    </row>
    <row r="71" spans="1:7" ht="19.5" customHeight="1">
      <c r="A71" s="228" t="s">
        <v>78</v>
      </c>
      <c r="B71" s="229"/>
      <c r="C71" s="230"/>
      <c r="D71" s="231" t="s">
        <v>79</v>
      </c>
      <c r="E71" s="209">
        <f>SUM(E72,E74,E77)</f>
        <v>190000</v>
      </c>
      <c r="F71" s="209">
        <f>SUM(F72,F74,F77)</f>
        <v>358791.82</v>
      </c>
      <c r="G71" s="179">
        <f>F71/E71*100</f>
        <v>188.83780000000002</v>
      </c>
    </row>
    <row r="72" spans="1:7" ht="19.5" customHeight="1" hidden="1">
      <c r="A72" s="222"/>
      <c r="B72" s="223" t="s">
        <v>919</v>
      </c>
      <c r="C72" s="230"/>
      <c r="D72" s="233" t="s">
        <v>920</v>
      </c>
      <c r="E72" s="226">
        <f>SUM(E73)</f>
        <v>0</v>
      </c>
      <c r="F72" s="226">
        <f>SUM(F73)</f>
        <v>0</v>
      </c>
      <c r="G72" s="185" t="s">
        <v>313</v>
      </c>
    </row>
    <row r="73" spans="1:7" s="205" customFormat="1" ht="29.25" customHeight="1" hidden="1">
      <c r="A73" s="214"/>
      <c r="B73" s="215"/>
      <c r="C73" s="215" t="s">
        <v>613</v>
      </c>
      <c r="D73" s="190" t="s">
        <v>1348</v>
      </c>
      <c r="E73" s="217">
        <v>0</v>
      </c>
      <c r="F73" s="217"/>
      <c r="G73" s="192" t="s">
        <v>313</v>
      </c>
    </row>
    <row r="74" spans="1:7" ht="18.75" customHeight="1">
      <c r="A74" s="222"/>
      <c r="B74" s="223" t="s">
        <v>81</v>
      </c>
      <c r="C74" s="223"/>
      <c r="D74" s="225" t="s">
        <v>82</v>
      </c>
      <c r="E74" s="226">
        <f>SUM(E75,E76)</f>
        <v>0</v>
      </c>
      <c r="F74" s="226">
        <f>SUM(F75,F76)</f>
        <v>149964.09</v>
      </c>
      <c r="G74" s="185" t="s">
        <v>313</v>
      </c>
    </row>
    <row r="75" spans="1:7" s="205" customFormat="1" ht="29.25" customHeight="1">
      <c r="A75" s="214"/>
      <c r="B75" s="215"/>
      <c r="C75" s="215" t="s">
        <v>613</v>
      </c>
      <c r="D75" s="206" t="s">
        <v>1348</v>
      </c>
      <c r="E75" s="217">
        <v>0</v>
      </c>
      <c r="F75" s="217">
        <v>1424.78</v>
      </c>
      <c r="G75" s="192" t="s">
        <v>313</v>
      </c>
    </row>
    <row r="76" spans="1:7" s="205" customFormat="1" ht="21.75" customHeight="1">
      <c r="A76" s="214"/>
      <c r="B76" s="215"/>
      <c r="C76" s="215" t="s">
        <v>612</v>
      </c>
      <c r="D76" s="206" t="s">
        <v>266</v>
      </c>
      <c r="E76" s="217">
        <v>0</v>
      </c>
      <c r="F76" s="217">
        <v>148539.31</v>
      </c>
      <c r="G76" s="192" t="s">
        <v>313</v>
      </c>
    </row>
    <row r="77" spans="1:7" ht="19.5" customHeight="1">
      <c r="A77" s="222"/>
      <c r="B77" s="223" t="s">
        <v>88</v>
      </c>
      <c r="C77" s="223"/>
      <c r="D77" s="233" t="s">
        <v>89</v>
      </c>
      <c r="E77" s="226">
        <f>SUM(E78,E79)</f>
        <v>190000</v>
      </c>
      <c r="F77" s="226">
        <f>SUM(F78,F79)</f>
        <v>208827.73</v>
      </c>
      <c r="G77" s="185">
        <f aca="true" t="shared" si="2" ref="G77:G86">F77/E77*100</f>
        <v>109.90933157894737</v>
      </c>
    </row>
    <row r="78" spans="1:7" ht="29.25" customHeight="1">
      <c r="A78" s="222"/>
      <c r="B78" s="223"/>
      <c r="C78" s="215" t="s">
        <v>613</v>
      </c>
      <c r="D78" s="190" t="s">
        <v>1348</v>
      </c>
      <c r="E78" s="217">
        <v>0</v>
      </c>
      <c r="F78" s="217">
        <v>669.94</v>
      </c>
      <c r="G78" s="185" t="s">
        <v>313</v>
      </c>
    </row>
    <row r="79" spans="1:7" s="205" customFormat="1" ht="19.5" customHeight="1">
      <c r="A79" s="214"/>
      <c r="B79" s="215"/>
      <c r="C79" s="215" t="s">
        <v>610</v>
      </c>
      <c r="D79" s="232" t="s">
        <v>325</v>
      </c>
      <c r="E79" s="217">
        <v>190000</v>
      </c>
      <c r="F79" s="217">
        <v>208157.79</v>
      </c>
      <c r="G79" s="192">
        <f t="shared" si="2"/>
        <v>109.55673157894736</v>
      </c>
    </row>
    <row r="80" spans="1:7" s="197" customFormat="1" ht="19.5" customHeight="1">
      <c r="A80" s="228" t="s">
        <v>90</v>
      </c>
      <c r="B80" s="229"/>
      <c r="C80" s="229"/>
      <c r="D80" s="231" t="s">
        <v>91</v>
      </c>
      <c r="E80" s="209">
        <f>SUM(E81,E83,E92,E94,E97)</f>
        <v>1493068</v>
      </c>
      <c r="F80" s="209">
        <f>SUM(F81,F83,F92,F94,F97)</f>
        <v>1455955.88</v>
      </c>
      <c r="G80" s="179">
        <f t="shared" si="2"/>
        <v>97.51437174998057</v>
      </c>
    </row>
    <row r="81" spans="1:7" ht="19.5" customHeight="1">
      <c r="A81" s="222"/>
      <c r="B81" s="223" t="s">
        <v>92</v>
      </c>
      <c r="C81" s="223"/>
      <c r="D81" s="233" t="s">
        <v>98</v>
      </c>
      <c r="E81" s="226">
        <f>SUM(E82)</f>
        <v>369700</v>
      </c>
      <c r="F81" s="226">
        <f>SUM(F82)</f>
        <v>369699.7</v>
      </c>
      <c r="G81" s="185">
        <f t="shared" si="2"/>
        <v>99.99991885312416</v>
      </c>
    </row>
    <row r="82" spans="1:7" s="205" customFormat="1" ht="56.25" customHeight="1">
      <c r="A82" s="214"/>
      <c r="B82" s="215"/>
      <c r="C82" s="215" t="s">
        <v>688</v>
      </c>
      <c r="D82" s="190" t="s">
        <v>400</v>
      </c>
      <c r="E82" s="217">
        <v>369700</v>
      </c>
      <c r="F82" s="217">
        <v>369699.7</v>
      </c>
      <c r="G82" s="192">
        <f t="shared" si="2"/>
        <v>99.99991885312416</v>
      </c>
    </row>
    <row r="83" spans="1:7" ht="19.5" customHeight="1">
      <c r="A83" s="222"/>
      <c r="B83" s="234" t="s">
        <v>101</v>
      </c>
      <c r="C83" s="234"/>
      <c r="D83" s="235" t="s">
        <v>401</v>
      </c>
      <c r="E83" s="236">
        <f>SUM(E84,E85,E86,E87,E88,E89,E90,E91)</f>
        <v>110950</v>
      </c>
      <c r="F83" s="236">
        <f>SUM(F84,F85,F86,F87,F88,F89,F90,F91)</f>
        <v>316279.2</v>
      </c>
      <c r="G83" s="211">
        <f t="shared" si="2"/>
        <v>285.06462370437134</v>
      </c>
    </row>
    <row r="84" spans="1:7" s="205" customFormat="1" ht="19.5" customHeight="1">
      <c r="A84" s="237"/>
      <c r="B84" s="238"/>
      <c r="C84" s="238" t="s">
        <v>614</v>
      </c>
      <c r="D84" s="239" t="s">
        <v>263</v>
      </c>
      <c r="E84" s="240">
        <v>61500</v>
      </c>
      <c r="F84" s="217">
        <v>74795.8</v>
      </c>
      <c r="G84" s="220">
        <f t="shared" si="2"/>
        <v>121.61918699186994</v>
      </c>
    </row>
    <row r="85" spans="1:7" s="205" customFormat="1" ht="69" customHeight="1">
      <c r="A85" s="214"/>
      <c r="B85" s="215"/>
      <c r="C85" s="216" t="s">
        <v>615</v>
      </c>
      <c r="D85" s="190" t="s">
        <v>699</v>
      </c>
      <c r="E85" s="217">
        <v>14550</v>
      </c>
      <c r="F85" s="217">
        <v>14777.41</v>
      </c>
      <c r="G85" s="192">
        <f t="shared" si="2"/>
        <v>101.5629553264605</v>
      </c>
    </row>
    <row r="86" spans="1:7" s="205" customFormat="1" ht="20.25" customHeight="1">
      <c r="A86" s="214"/>
      <c r="B86" s="215"/>
      <c r="C86" s="216" t="s">
        <v>610</v>
      </c>
      <c r="D86" s="190" t="s">
        <v>325</v>
      </c>
      <c r="E86" s="217">
        <v>33600</v>
      </c>
      <c r="F86" s="217">
        <v>56452.24</v>
      </c>
      <c r="G86" s="192">
        <f t="shared" si="2"/>
        <v>168.01261904761904</v>
      </c>
    </row>
    <row r="87" spans="1:7" s="205" customFormat="1" ht="20.25" customHeight="1">
      <c r="A87" s="214"/>
      <c r="B87" s="215"/>
      <c r="C87" s="216" t="s">
        <v>570</v>
      </c>
      <c r="D87" s="190" t="s">
        <v>569</v>
      </c>
      <c r="E87" s="217">
        <v>0</v>
      </c>
      <c r="F87" s="217">
        <v>40.98</v>
      </c>
      <c r="G87" s="192" t="s">
        <v>313</v>
      </c>
    </row>
    <row r="88" spans="1:7" s="205" customFormat="1" ht="30" customHeight="1">
      <c r="A88" s="214"/>
      <c r="B88" s="215"/>
      <c r="C88" s="216" t="s">
        <v>624</v>
      </c>
      <c r="D88" s="190" t="s">
        <v>534</v>
      </c>
      <c r="E88" s="217">
        <v>0</v>
      </c>
      <c r="F88" s="217">
        <v>5.3</v>
      </c>
      <c r="G88" s="192" t="s">
        <v>313</v>
      </c>
    </row>
    <row r="89" spans="1:7" s="205" customFormat="1" ht="21" customHeight="1">
      <c r="A89" s="214"/>
      <c r="B89" s="215"/>
      <c r="C89" s="216" t="s">
        <v>611</v>
      </c>
      <c r="D89" s="190" t="s">
        <v>268</v>
      </c>
      <c r="E89" s="217">
        <v>0</v>
      </c>
      <c r="F89" s="217">
        <v>1002.34</v>
      </c>
      <c r="G89" s="192" t="s">
        <v>313</v>
      </c>
    </row>
    <row r="90" spans="1:7" s="205" customFormat="1" ht="21" customHeight="1">
      <c r="A90" s="214"/>
      <c r="B90" s="215"/>
      <c r="C90" s="216" t="s">
        <v>612</v>
      </c>
      <c r="D90" s="190" t="s">
        <v>266</v>
      </c>
      <c r="E90" s="217">
        <v>0</v>
      </c>
      <c r="F90" s="217">
        <v>69434.72</v>
      </c>
      <c r="G90" s="192" t="s">
        <v>313</v>
      </c>
    </row>
    <row r="91" spans="1:7" s="205" customFormat="1" ht="52.5" customHeight="1">
      <c r="A91" s="214"/>
      <c r="B91" s="215"/>
      <c r="C91" s="216" t="s">
        <v>676</v>
      </c>
      <c r="D91" s="190" t="s">
        <v>696</v>
      </c>
      <c r="E91" s="217">
        <v>1300</v>
      </c>
      <c r="F91" s="217">
        <v>99770.41</v>
      </c>
      <c r="G91" s="185">
        <f aca="true" t="shared" si="3" ref="G91:G113">F91/E91*100</f>
        <v>7674.6469230769235</v>
      </c>
    </row>
    <row r="92" spans="1:7" ht="19.5" customHeight="1">
      <c r="A92" s="222"/>
      <c r="B92" s="223" t="s">
        <v>58</v>
      </c>
      <c r="C92" s="241"/>
      <c r="D92" s="225" t="s">
        <v>59</v>
      </c>
      <c r="E92" s="226">
        <f>SUM(E93)</f>
        <v>8947</v>
      </c>
      <c r="F92" s="226">
        <f>SUM(F93)</f>
        <v>8935.01</v>
      </c>
      <c r="G92" s="185">
        <f t="shared" si="3"/>
        <v>99.86598859953058</v>
      </c>
    </row>
    <row r="93" spans="1:7" s="205" customFormat="1" ht="57.75" customHeight="1">
      <c r="A93" s="214"/>
      <c r="B93" s="215"/>
      <c r="C93" s="215" t="s">
        <v>688</v>
      </c>
      <c r="D93" s="190" t="s">
        <v>400</v>
      </c>
      <c r="E93" s="217">
        <v>8947</v>
      </c>
      <c r="F93" s="217">
        <v>8935.01</v>
      </c>
      <c r="G93" s="185">
        <f t="shared" si="3"/>
        <v>99.86598859953058</v>
      </c>
    </row>
    <row r="94" spans="1:7" ht="20.25" customHeight="1">
      <c r="A94" s="222"/>
      <c r="B94" s="223" t="s">
        <v>1241</v>
      </c>
      <c r="C94" s="241"/>
      <c r="D94" s="225" t="s">
        <v>1242</v>
      </c>
      <c r="E94" s="226">
        <f>SUM(E95,E96)</f>
        <v>130000</v>
      </c>
      <c r="F94" s="226">
        <f>SUM(F95,F96)</f>
        <v>161611.82</v>
      </c>
      <c r="G94" s="185">
        <f t="shared" si="3"/>
        <v>124.31678461538462</v>
      </c>
    </row>
    <row r="95" spans="1:7" s="205" customFormat="1" ht="23.25" customHeight="1">
      <c r="A95" s="214"/>
      <c r="B95" s="215"/>
      <c r="C95" s="216" t="s">
        <v>612</v>
      </c>
      <c r="D95" s="190" t="s">
        <v>266</v>
      </c>
      <c r="E95" s="217">
        <v>0</v>
      </c>
      <c r="F95" s="217">
        <v>31611.82</v>
      </c>
      <c r="G95" s="185" t="s">
        <v>313</v>
      </c>
    </row>
    <row r="96" spans="1:7" s="205" customFormat="1" ht="40.5" customHeight="1">
      <c r="A96" s="214"/>
      <c r="B96" s="215"/>
      <c r="C96" s="216" t="s">
        <v>1035</v>
      </c>
      <c r="D96" s="190" t="s">
        <v>1048</v>
      </c>
      <c r="E96" s="217">
        <v>130000</v>
      </c>
      <c r="F96" s="217">
        <v>130000</v>
      </c>
      <c r="G96" s="192">
        <f t="shared" si="3"/>
        <v>100</v>
      </c>
    </row>
    <row r="97" spans="1:7" ht="19.5" customHeight="1">
      <c r="A97" s="222"/>
      <c r="B97" s="223" t="s">
        <v>103</v>
      </c>
      <c r="C97" s="241"/>
      <c r="D97" s="225" t="s">
        <v>1433</v>
      </c>
      <c r="E97" s="226">
        <f>SUM(E98,E99,E101,E103,E104)</f>
        <v>873471</v>
      </c>
      <c r="F97" s="226">
        <f>SUM(F98,F99,F101,F103,F104)</f>
        <v>599430.1499999999</v>
      </c>
      <c r="G97" s="185">
        <f t="shared" si="3"/>
        <v>68.62622227870186</v>
      </c>
    </row>
    <row r="98" spans="1:7" s="205" customFormat="1" ht="23.25" customHeight="1">
      <c r="A98" s="214"/>
      <c r="B98" s="215"/>
      <c r="C98" s="216" t="s">
        <v>612</v>
      </c>
      <c r="D98" s="190" t="s">
        <v>266</v>
      </c>
      <c r="E98" s="217">
        <v>0</v>
      </c>
      <c r="F98" s="217">
        <v>-234.03</v>
      </c>
      <c r="G98" s="192" t="s">
        <v>313</v>
      </c>
    </row>
    <row r="99" spans="1:7" s="205" customFormat="1" ht="66" customHeight="1">
      <c r="A99" s="214"/>
      <c r="B99" s="215"/>
      <c r="C99" s="216" t="s">
        <v>631</v>
      </c>
      <c r="D99" s="190" t="s">
        <v>1113</v>
      </c>
      <c r="E99" s="217">
        <v>674450</v>
      </c>
      <c r="F99" s="217">
        <v>492505.7</v>
      </c>
      <c r="G99" s="192">
        <f t="shared" si="3"/>
        <v>73.02330788049522</v>
      </c>
    </row>
    <row r="100" spans="1:7" s="205" customFormat="1" ht="17.25" customHeight="1">
      <c r="A100" s="214"/>
      <c r="B100" s="215"/>
      <c r="C100" s="216"/>
      <c r="D100" s="190" t="s">
        <v>632</v>
      </c>
      <c r="E100" s="217"/>
      <c r="F100" s="217"/>
      <c r="G100" s="192"/>
    </row>
    <row r="101" spans="1:7" s="205" customFormat="1" ht="67.5" customHeight="1">
      <c r="A101" s="214"/>
      <c r="B101" s="215"/>
      <c r="C101" s="216" t="s">
        <v>848</v>
      </c>
      <c r="D101" s="190" t="s">
        <v>1113</v>
      </c>
      <c r="E101" s="217">
        <v>119021</v>
      </c>
      <c r="F101" s="217">
        <v>26637.75</v>
      </c>
      <c r="G101" s="192">
        <f t="shared" si="3"/>
        <v>22.38071432772368</v>
      </c>
    </row>
    <row r="102" spans="1:7" s="205" customFormat="1" ht="77.25" customHeight="1">
      <c r="A102" s="214"/>
      <c r="B102" s="215"/>
      <c r="C102" s="216"/>
      <c r="D102" s="190" t="s">
        <v>514</v>
      </c>
      <c r="E102" s="217"/>
      <c r="F102" s="217"/>
      <c r="G102" s="192"/>
    </row>
    <row r="103" spans="1:7" s="205" customFormat="1" ht="54" customHeight="1">
      <c r="A103" s="187"/>
      <c r="B103" s="202"/>
      <c r="C103" s="202" t="s">
        <v>752</v>
      </c>
      <c r="D103" s="206" t="s">
        <v>311</v>
      </c>
      <c r="E103" s="217">
        <v>30000</v>
      </c>
      <c r="F103" s="217">
        <v>30000</v>
      </c>
      <c r="G103" s="192">
        <f t="shared" si="3"/>
        <v>100</v>
      </c>
    </row>
    <row r="104" spans="1:7" s="205" customFormat="1" ht="54" customHeight="1">
      <c r="A104" s="187"/>
      <c r="B104" s="202"/>
      <c r="C104" s="202" t="s">
        <v>1081</v>
      </c>
      <c r="D104" s="206" t="s">
        <v>311</v>
      </c>
      <c r="E104" s="1355">
        <v>50000</v>
      </c>
      <c r="F104" s="1355">
        <v>50520.73</v>
      </c>
      <c r="G104" s="1356">
        <f>F104/E104*100</f>
        <v>101.04146</v>
      </c>
    </row>
    <row r="105" spans="1:7" s="205" customFormat="1" ht="80.25" customHeight="1">
      <c r="A105" s="187"/>
      <c r="B105" s="202"/>
      <c r="C105" s="202"/>
      <c r="D105" s="206" t="s">
        <v>633</v>
      </c>
      <c r="E105" s="1355"/>
      <c r="F105" s="1355"/>
      <c r="G105" s="1356"/>
    </row>
    <row r="106" spans="1:7" s="197" customFormat="1" ht="42" customHeight="1">
      <c r="A106" s="242" t="s">
        <v>333</v>
      </c>
      <c r="B106" s="229"/>
      <c r="C106" s="243"/>
      <c r="D106" s="244" t="s">
        <v>104</v>
      </c>
      <c r="E106" s="209">
        <f>SUM(E107,E109,E111)</f>
        <v>214078</v>
      </c>
      <c r="F106" s="209">
        <f>SUM(F107,F109,F111)</f>
        <v>167192.83000000002</v>
      </c>
      <c r="G106" s="245">
        <f t="shared" si="3"/>
        <v>78.09902465456517</v>
      </c>
    </row>
    <row r="107" spans="1:7" ht="29.25" customHeight="1">
      <c r="A107" s="222"/>
      <c r="B107" s="223" t="s">
        <v>275</v>
      </c>
      <c r="C107" s="224"/>
      <c r="D107" s="225" t="s">
        <v>277</v>
      </c>
      <c r="E107" s="226">
        <f>E108</f>
        <v>6960</v>
      </c>
      <c r="F107" s="226">
        <f>F108</f>
        <v>6957.97</v>
      </c>
      <c r="G107" s="246">
        <f t="shared" si="3"/>
        <v>99.97083333333335</v>
      </c>
    </row>
    <row r="108" spans="1:7" s="205" customFormat="1" ht="56.25" customHeight="1">
      <c r="A108" s="214"/>
      <c r="B108" s="215"/>
      <c r="C108" s="189">
        <v>2010</v>
      </c>
      <c r="D108" s="190" t="s">
        <v>400</v>
      </c>
      <c r="E108" s="217">
        <v>6960</v>
      </c>
      <c r="F108" s="217">
        <v>6957.97</v>
      </c>
      <c r="G108" s="247">
        <f t="shared" si="3"/>
        <v>99.97083333333335</v>
      </c>
    </row>
    <row r="109" spans="1:7" s="205" customFormat="1" ht="18.75" customHeight="1">
      <c r="A109" s="222"/>
      <c r="B109" s="223" t="s">
        <v>634</v>
      </c>
      <c r="C109" s="224"/>
      <c r="D109" s="225" t="s">
        <v>635</v>
      </c>
      <c r="E109" s="226">
        <f>E110</f>
        <v>92515</v>
      </c>
      <c r="F109" s="226">
        <f>F110</f>
        <v>91566.69</v>
      </c>
      <c r="G109" s="246">
        <f t="shared" si="3"/>
        <v>98.97496622169378</v>
      </c>
    </row>
    <row r="110" spans="1:7" s="205" customFormat="1" ht="56.25" customHeight="1">
      <c r="A110" s="214"/>
      <c r="B110" s="215"/>
      <c r="C110" s="189">
        <v>2010</v>
      </c>
      <c r="D110" s="190" t="s">
        <v>400</v>
      </c>
      <c r="E110" s="217">
        <v>92515</v>
      </c>
      <c r="F110" s="217">
        <v>91566.69</v>
      </c>
      <c r="G110" s="247">
        <f t="shared" si="3"/>
        <v>98.97496622169378</v>
      </c>
    </row>
    <row r="111" spans="1:7" s="205" customFormat="1" ht="51.75" customHeight="1">
      <c r="A111" s="222"/>
      <c r="B111" s="223" t="s">
        <v>60</v>
      </c>
      <c r="C111" s="224"/>
      <c r="D111" s="225" t="s">
        <v>61</v>
      </c>
      <c r="E111" s="226">
        <f>E112</f>
        <v>114603</v>
      </c>
      <c r="F111" s="226">
        <f>F112</f>
        <v>68668.17</v>
      </c>
      <c r="G111" s="246">
        <f>F111/E111*100</f>
        <v>59.918300568047954</v>
      </c>
    </row>
    <row r="112" spans="1:7" s="205" customFormat="1" ht="56.25" customHeight="1">
      <c r="A112" s="214"/>
      <c r="B112" s="215"/>
      <c r="C112" s="189">
        <v>2010</v>
      </c>
      <c r="D112" s="190" t="s">
        <v>400</v>
      </c>
      <c r="E112" s="217">
        <v>114603</v>
      </c>
      <c r="F112" s="217">
        <v>68668.17</v>
      </c>
      <c r="G112" s="247">
        <f>F112/E112*100</f>
        <v>59.918300568047954</v>
      </c>
    </row>
    <row r="113" spans="1:7" ht="29.25" customHeight="1">
      <c r="A113" s="228" t="s">
        <v>105</v>
      </c>
      <c r="B113" s="229"/>
      <c r="C113" s="230"/>
      <c r="D113" s="244" t="s">
        <v>211</v>
      </c>
      <c r="E113" s="209">
        <f>SUM(E114,E116,E118)</f>
        <v>310000</v>
      </c>
      <c r="F113" s="209">
        <f>SUM(F114,F116,F118)</f>
        <v>287118.36</v>
      </c>
      <c r="G113" s="179">
        <f t="shared" si="3"/>
        <v>92.61882580645161</v>
      </c>
    </row>
    <row r="114" spans="1:7" ht="20.25" customHeight="1" hidden="1">
      <c r="A114" s="222"/>
      <c r="B114" s="223" t="s">
        <v>926</v>
      </c>
      <c r="C114" s="230"/>
      <c r="D114" s="225" t="s">
        <v>927</v>
      </c>
      <c r="E114" s="226">
        <f>SUM(E115)</f>
        <v>0</v>
      </c>
      <c r="F114" s="226">
        <f>SUM(F115)</f>
        <v>0</v>
      </c>
      <c r="G114" s="185" t="e">
        <f aca="true" t="shared" si="4" ref="G114:G127">F114/E114*100</f>
        <v>#DIV/0!</v>
      </c>
    </row>
    <row r="115" spans="1:7" s="205" customFormat="1" ht="21.75" customHeight="1" hidden="1">
      <c r="A115" s="1311"/>
      <c r="B115" s="1312"/>
      <c r="C115" s="215" t="s">
        <v>612</v>
      </c>
      <c r="D115" s="190" t="s">
        <v>266</v>
      </c>
      <c r="E115" s="217"/>
      <c r="F115" s="217"/>
      <c r="G115" s="192" t="e">
        <f t="shared" si="4"/>
        <v>#DIV/0!</v>
      </c>
    </row>
    <row r="116" spans="1:7" ht="17.25" customHeight="1">
      <c r="A116" s="222"/>
      <c r="B116" s="223" t="s">
        <v>107</v>
      </c>
      <c r="C116" s="230"/>
      <c r="D116" s="233" t="s">
        <v>108</v>
      </c>
      <c r="E116" s="226">
        <f>SUM(E117)</f>
        <v>10000</v>
      </c>
      <c r="F116" s="226">
        <f>SUM(F117)</f>
        <v>9973.51</v>
      </c>
      <c r="G116" s="185">
        <f t="shared" si="4"/>
        <v>99.7351</v>
      </c>
    </row>
    <row r="117" spans="1:7" s="205" customFormat="1" ht="57.75" customHeight="1">
      <c r="A117" s="214"/>
      <c r="B117" s="215"/>
      <c r="C117" s="189">
        <v>2010</v>
      </c>
      <c r="D117" s="190" t="s">
        <v>400</v>
      </c>
      <c r="E117" s="217">
        <v>10000</v>
      </c>
      <c r="F117" s="217">
        <v>9973.51</v>
      </c>
      <c r="G117" s="192">
        <f t="shared" si="4"/>
        <v>99.7351</v>
      </c>
    </row>
    <row r="118" spans="1:7" ht="18" customHeight="1">
      <c r="A118" s="222"/>
      <c r="B118" s="223" t="s">
        <v>417</v>
      </c>
      <c r="C118" s="224"/>
      <c r="D118" s="225" t="s">
        <v>418</v>
      </c>
      <c r="E118" s="226">
        <f>E119</f>
        <v>300000</v>
      </c>
      <c r="F118" s="226">
        <f>F119</f>
        <v>277144.85</v>
      </c>
      <c r="G118" s="185">
        <f t="shared" si="4"/>
        <v>92.38161666666666</v>
      </c>
    </row>
    <row r="119" spans="1:7" s="205" customFormat="1" ht="27" customHeight="1">
      <c r="A119" s="214"/>
      <c r="B119" s="215"/>
      <c r="C119" s="216" t="s">
        <v>613</v>
      </c>
      <c r="D119" s="190" t="s">
        <v>1348</v>
      </c>
      <c r="E119" s="217">
        <v>300000</v>
      </c>
      <c r="F119" s="217">
        <v>277144.85</v>
      </c>
      <c r="G119" s="192">
        <f t="shared" si="4"/>
        <v>92.38161666666666</v>
      </c>
    </row>
    <row r="120" spans="1:8" s="205" customFormat="1" ht="21" customHeight="1" hidden="1">
      <c r="A120" s="222"/>
      <c r="B120" s="223" t="s">
        <v>928</v>
      </c>
      <c r="C120" s="224"/>
      <c r="D120" s="225" t="s">
        <v>1433</v>
      </c>
      <c r="E120" s="226">
        <f>SUM(E121,E122,E123)</f>
        <v>0</v>
      </c>
      <c r="F120" s="226">
        <f>SUM(F121,F122,F123)</f>
        <v>0</v>
      </c>
      <c r="G120" s="185" t="e">
        <f>F120/E120*100</f>
        <v>#DIV/0!</v>
      </c>
      <c r="H120" s="201"/>
    </row>
    <row r="121" spans="1:7" s="205" customFormat="1" ht="22.5" customHeight="1" hidden="1">
      <c r="A121" s="214"/>
      <c r="B121" s="215"/>
      <c r="C121" s="216" t="s">
        <v>612</v>
      </c>
      <c r="D121" s="190" t="s">
        <v>266</v>
      </c>
      <c r="E121" s="217">
        <v>0</v>
      </c>
      <c r="F121" s="217">
        <v>0</v>
      </c>
      <c r="G121" s="192" t="e">
        <f>F121/E121*100</f>
        <v>#DIV/0!</v>
      </c>
    </row>
    <row r="122" spans="1:7" s="205" customFormat="1" ht="51.75" customHeight="1" hidden="1">
      <c r="A122" s="214"/>
      <c r="B122" s="215"/>
      <c r="C122" s="216" t="s">
        <v>751</v>
      </c>
      <c r="D122" s="190" t="s">
        <v>235</v>
      </c>
      <c r="E122" s="217">
        <v>0</v>
      </c>
      <c r="F122" s="217">
        <v>0</v>
      </c>
      <c r="G122" s="192" t="e">
        <f>F122/E122*100</f>
        <v>#DIV/0!</v>
      </c>
    </row>
    <row r="123" spans="1:7" s="205" customFormat="1" ht="54" customHeight="1" hidden="1">
      <c r="A123" s="214"/>
      <c r="B123" s="215"/>
      <c r="C123" s="216" t="s">
        <v>752</v>
      </c>
      <c r="D123" s="190" t="s">
        <v>236</v>
      </c>
      <c r="E123" s="217">
        <v>0</v>
      </c>
      <c r="F123" s="217">
        <v>0</v>
      </c>
      <c r="G123" s="192" t="e">
        <f>F123/E123*100</f>
        <v>#DIV/0!</v>
      </c>
    </row>
    <row r="124" spans="1:7" s="197" customFormat="1" ht="69" customHeight="1">
      <c r="A124" s="242" t="s">
        <v>377</v>
      </c>
      <c r="B124" s="229"/>
      <c r="C124" s="229"/>
      <c r="D124" s="244" t="s">
        <v>882</v>
      </c>
      <c r="E124" s="209">
        <f>SUM(E125,E128,E137,E150,E159)</f>
        <v>56099913</v>
      </c>
      <c r="F124" s="209">
        <f>SUM(F125,F128,F137,F150,F159)</f>
        <v>57396748.98</v>
      </c>
      <c r="G124" s="179">
        <f t="shared" si="4"/>
        <v>102.31165417315353</v>
      </c>
    </row>
    <row r="125" spans="1:7" ht="19.5" customHeight="1">
      <c r="A125" s="222"/>
      <c r="B125" s="223" t="s">
        <v>278</v>
      </c>
      <c r="C125" s="223"/>
      <c r="D125" s="233" t="s">
        <v>279</v>
      </c>
      <c r="E125" s="226">
        <f>E126+E127</f>
        <v>455000</v>
      </c>
      <c r="F125" s="226">
        <f>F126+F127</f>
        <v>388176.33</v>
      </c>
      <c r="G125" s="185">
        <f t="shared" si="4"/>
        <v>85.31347912087912</v>
      </c>
    </row>
    <row r="126" spans="1:7" s="205" customFormat="1" ht="29.25" customHeight="1">
      <c r="A126" s="214"/>
      <c r="B126" s="215"/>
      <c r="C126" s="215" t="s">
        <v>623</v>
      </c>
      <c r="D126" s="190" t="s">
        <v>542</v>
      </c>
      <c r="E126" s="217">
        <v>450000</v>
      </c>
      <c r="F126" s="204">
        <v>384129.37</v>
      </c>
      <c r="G126" s="192">
        <f t="shared" si="4"/>
        <v>85.36208222222223</v>
      </c>
    </row>
    <row r="127" spans="1:7" s="205" customFormat="1" ht="29.25" customHeight="1">
      <c r="A127" s="214"/>
      <c r="B127" s="215"/>
      <c r="C127" s="216" t="s">
        <v>624</v>
      </c>
      <c r="D127" s="190" t="s">
        <v>534</v>
      </c>
      <c r="E127" s="217">
        <v>5000</v>
      </c>
      <c r="F127" s="204">
        <v>4046.96</v>
      </c>
      <c r="G127" s="192">
        <f t="shared" si="4"/>
        <v>80.9392</v>
      </c>
    </row>
    <row r="128" spans="1:7" ht="57.75" customHeight="1">
      <c r="A128" s="222"/>
      <c r="B128" s="241" t="s">
        <v>429</v>
      </c>
      <c r="C128" s="223"/>
      <c r="D128" s="225" t="s">
        <v>879</v>
      </c>
      <c r="E128" s="226">
        <f>SUM(E129,E130,E131,E132,E133,E134,E135,E136)</f>
        <v>19351903</v>
      </c>
      <c r="F128" s="226">
        <f>SUM(F129,F130,F131,F132,F133,F134,F135,F136)</f>
        <v>18206135.32</v>
      </c>
      <c r="G128" s="185">
        <f aca="true" t="shared" si="5" ref="G128:G133">F128/E128*100</f>
        <v>94.07930227843742</v>
      </c>
    </row>
    <row r="129" spans="1:7" s="205" customFormat="1" ht="19.5" customHeight="1">
      <c r="A129" s="214"/>
      <c r="B129" s="215"/>
      <c r="C129" s="215" t="s">
        <v>625</v>
      </c>
      <c r="D129" s="232" t="s">
        <v>286</v>
      </c>
      <c r="E129" s="217">
        <v>18800000</v>
      </c>
      <c r="F129" s="217">
        <v>17409881.17</v>
      </c>
      <c r="G129" s="192">
        <f t="shared" si="5"/>
        <v>92.60575090425533</v>
      </c>
    </row>
    <row r="130" spans="1:7" s="205" customFormat="1" ht="19.5" customHeight="1">
      <c r="A130" s="214"/>
      <c r="B130" s="215"/>
      <c r="C130" s="215" t="s">
        <v>626</v>
      </c>
      <c r="D130" s="232" t="s">
        <v>287</v>
      </c>
      <c r="E130" s="217">
        <v>9000</v>
      </c>
      <c r="F130" s="217">
        <v>8205.92</v>
      </c>
      <c r="G130" s="192">
        <f t="shared" si="5"/>
        <v>91.17688888888888</v>
      </c>
    </row>
    <row r="131" spans="1:7" s="205" customFormat="1" ht="19.5" customHeight="1">
      <c r="A131" s="214"/>
      <c r="B131" s="215"/>
      <c r="C131" s="215" t="s">
        <v>627</v>
      </c>
      <c r="D131" s="232" t="s">
        <v>288</v>
      </c>
      <c r="E131" s="217">
        <v>60000</v>
      </c>
      <c r="F131" s="217">
        <v>54873.33</v>
      </c>
      <c r="G131" s="192">
        <f t="shared" si="5"/>
        <v>91.45555</v>
      </c>
    </row>
    <row r="132" spans="1:7" s="205" customFormat="1" ht="19.5" customHeight="1">
      <c r="A132" s="214"/>
      <c r="B132" s="215"/>
      <c r="C132" s="215" t="s">
        <v>628</v>
      </c>
      <c r="D132" s="232" t="s">
        <v>289</v>
      </c>
      <c r="E132" s="217">
        <v>200000</v>
      </c>
      <c r="F132" s="217">
        <v>209447.29</v>
      </c>
      <c r="G132" s="192">
        <f t="shared" si="5"/>
        <v>104.723645</v>
      </c>
    </row>
    <row r="133" spans="1:7" s="205" customFormat="1" ht="19.5" customHeight="1">
      <c r="A133" s="214"/>
      <c r="B133" s="215"/>
      <c r="C133" s="215" t="s">
        <v>629</v>
      </c>
      <c r="D133" s="232" t="s">
        <v>290</v>
      </c>
      <c r="E133" s="217">
        <v>180000</v>
      </c>
      <c r="F133" s="217">
        <v>184811</v>
      </c>
      <c r="G133" s="192">
        <f t="shared" si="5"/>
        <v>102.67277777777777</v>
      </c>
    </row>
    <row r="134" spans="1:7" s="205" customFormat="1" ht="19.5" customHeight="1">
      <c r="A134" s="214"/>
      <c r="B134" s="215"/>
      <c r="C134" s="215" t="s">
        <v>1244</v>
      </c>
      <c r="D134" s="232" t="s">
        <v>224</v>
      </c>
      <c r="E134" s="217">
        <v>0</v>
      </c>
      <c r="F134" s="217">
        <v>125066.4</v>
      </c>
      <c r="G134" s="192" t="s">
        <v>313</v>
      </c>
    </row>
    <row r="135" spans="1:7" s="205" customFormat="1" ht="28.5" customHeight="1">
      <c r="A135" s="214"/>
      <c r="B135" s="215"/>
      <c r="C135" s="215" t="s">
        <v>624</v>
      </c>
      <c r="D135" s="190" t="s">
        <v>534</v>
      </c>
      <c r="E135" s="217">
        <v>100000</v>
      </c>
      <c r="F135" s="217">
        <v>120391.01</v>
      </c>
      <c r="G135" s="192">
        <f aca="true" t="shared" si="6" ref="G135:G146">F135/E135*100</f>
        <v>120.39101</v>
      </c>
    </row>
    <row r="136" spans="1:7" s="205" customFormat="1" ht="28.5" customHeight="1">
      <c r="A136" s="214"/>
      <c r="B136" s="215"/>
      <c r="C136" s="215" t="s">
        <v>1030</v>
      </c>
      <c r="D136" s="190" t="s">
        <v>1031</v>
      </c>
      <c r="E136" s="217">
        <v>2903</v>
      </c>
      <c r="F136" s="217">
        <v>93459.2</v>
      </c>
      <c r="G136" s="192">
        <f t="shared" si="6"/>
        <v>3219.400620048226</v>
      </c>
    </row>
    <row r="137" spans="1:7" ht="56.25" customHeight="1">
      <c r="A137" s="222"/>
      <c r="B137" s="223" t="s">
        <v>586</v>
      </c>
      <c r="C137" s="223"/>
      <c r="D137" s="225" t="s">
        <v>587</v>
      </c>
      <c r="E137" s="226">
        <f>SUM(E138,E139,E140,E141,E142,E143,E144,E145,E146,E147,E149)</f>
        <v>11150309</v>
      </c>
      <c r="F137" s="226">
        <f>SUM(F138,F139,F140,F141,F142,F143,F144,F145,F146,F147,F149)</f>
        <v>13982913.15</v>
      </c>
      <c r="G137" s="185">
        <f t="shared" si="6"/>
        <v>125.40381750855514</v>
      </c>
    </row>
    <row r="138" spans="1:7" s="205" customFormat="1" ht="21" customHeight="1">
      <c r="A138" s="214"/>
      <c r="B138" s="215"/>
      <c r="C138" s="215" t="s">
        <v>625</v>
      </c>
      <c r="D138" s="232" t="s">
        <v>286</v>
      </c>
      <c r="E138" s="217">
        <v>4350000</v>
      </c>
      <c r="F138" s="217">
        <v>4533250.57</v>
      </c>
      <c r="G138" s="192">
        <f t="shared" si="6"/>
        <v>104.2126567816092</v>
      </c>
    </row>
    <row r="139" spans="1:7" s="205" customFormat="1" ht="21" customHeight="1">
      <c r="A139" s="214"/>
      <c r="B139" s="215"/>
      <c r="C139" s="215" t="s">
        <v>626</v>
      </c>
      <c r="D139" s="232" t="s">
        <v>287</v>
      </c>
      <c r="E139" s="217">
        <v>25200</v>
      </c>
      <c r="F139" s="217">
        <v>24800.54</v>
      </c>
      <c r="G139" s="192">
        <f t="shared" si="6"/>
        <v>98.41484126984128</v>
      </c>
    </row>
    <row r="140" spans="1:7" s="205" customFormat="1" ht="21" customHeight="1">
      <c r="A140" s="214"/>
      <c r="B140" s="215"/>
      <c r="C140" s="215" t="s">
        <v>627</v>
      </c>
      <c r="D140" s="232" t="s">
        <v>288</v>
      </c>
      <c r="E140" s="217">
        <v>600</v>
      </c>
      <c r="F140" s="217">
        <v>411.49</v>
      </c>
      <c r="G140" s="192">
        <f t="shared" si="6"/>
        <v>68.58166666666666</v>
      </c>
    </row>
    <row r="141" spans="1:7" s="205" customFormat="1" ht="21" customHeight="1">
      <c r="A141" s="214"/>
      <c r="B141" s="215"/>
      <c r="C141" s="215" t="s">
        <v>628</v>
      </c>
      <c r="D141" s="232" t="s">
        <v>289</v>
      </c>
      <c r="E141" s="217">
        <v>145000</v>
      </c>
      <c r="F141" s="217">
        <v>152002.55</v>
      </c>
      <c r="G141" s="192">
        <f t="shared" si="6"/>
        <v>104.8293448275862</v>
      </c>
    </row>
    <row r="142" spans="1:7" s="205" customFormat="1" ht="21" customHeight="1">
      <c r="A142" s="214"/>
      <c r="B142" s="215"/>
      <c r="C142" s="215" t="s">
        <v>630</v>
      </c>
      <c r="D142" s="232" t="s">
        <v>291</v>
      </c>
      <c r="E142" s="217">
        <v>220000</v>
      </c>
      <c r="F142" s="204">
        <v>231027.71</v>
      </c>
      <c r="G142" s="192">
        <f t="shared" si="6"/>
        <v>105.01259545454545</v>
      </c>
    </row>
    <row r="143" spans="1:7" s="205" customFormat="1" ht="21" customHeight="1">
      <c r="A143" s="214"/>
      <c r="B143" s="215"/>
      <c r="C143" s="215" t="s">
        <v>636</v>
      </c>
      <c r="D143" s="232" t="s">
        <v>637</v>
      </c>
      <c r="E143" s="217">
        <v>100000</v>
      </c>
      <c r="F143" s="204">
        <v>74544</v>
      </c>
      <c r="G143" s="192">
        <f t="shared" si="6"/>
        <v>74.544</v>
      </c>
    </row>
    <row r="144" spans="1:7" s="205" customFormat="1" ht="36" customHeight="1">
      <c r="A144" s="214"/>
      <c r="B144" s="215"/>
      <c r="C144" s="215" t="s">
        <v>1354</v>
      </c>
      <c r="D144" s="190" t="s">
        <v>540</v>
      </c>
      <c r="E144" s="217">
        <v>3500000</v>
      </c>
      <c r="F144" s="217">
        <v>3356291.21</v>
      </c>
      <c r="G144" s="192">
        <f t="shared" si="6"/>
        <v>95.89403457142856</v>
      </c>
    </row>
    <row r="145" spans="1:7" s="205" customFormat="1" ht="21" customHeight="1">
      <c r="A145" s="214"/>
      <c r="B145" s="215"/>
      <c r="C145" s="215" t="s">
        <v>655</v>
      </c>
      <c r="D145" s="232" t="s">
        <v>292</v>
      </c>
      <c r="E145" s="217">
        <v>570000</v>
      </c>
      <c r="F145" s="217">
        <v>560564</v>
      </c>
      <c r="G145" s="192">
        <f t="shared" si="6"/>
        <v>98.34456140350876</v>
      </c>
    </row>
    <row r="146" spans="1:7" s="205" customFormat="1" ht="21" customHeight="1">
      <c r="A146" s="214"/>
      <c r="B146" s="215"/>
      <c r="C146" s="215" t="s">
        <v>629</v>
      </c>
      <c r="D146" s="232" t="s">
        <v>290</v>
      </c>
      <c r="E146" s="217">
        <v>2200000</v>
      </c>
      <c r="F146" s="204">
        <v>4978673.09</v>
      </c>
      <c r="G146" s="192">
        <f t="shared" si="6"/>
        <v>226.30332227272726</v>
      </c>
    </row>
    <row r="147" spans="1:8" s="205" customFormat="1" ht="21" customHeight="1">
      <c r="A147" s="214"/>
      <c r="B147" s="215"/>
      <c r="C147" s="248" t="s">
        <v>1244</v>
      </c>
      <c r="D147" s="232" t="s">
        <v>224</v>
      </c>
      <c r="E147" s="217">
        <v>0</v>
      </c>
      <c r="F147" s="217">
        <v>-18</v>
      </c>
      <c r="G147" s="192" t="s">
        <v>313</v>
      </c>
      <c r="H147" s="249"/>
    </row>
    <row r="148" spans="1:7" s="205" customFormat="1" ht="27.75" customHeight="1" hidden="1">
      <c r="A148" s="214"/>
      <c r="B148" s="215"/>
      <c r="C148" s="215" t="s">
        <v>261</v>
      </c>
      <c r="D148" s="190" t="s">
        <v>1195</v>
      </c>
      <c r="E148" s="217">
        <v>0</v>
      </c>
      <c r="F148" s="204"/>
      <c r="G148" s="192" t="s">
        <v>313</v>
      </c>
    </row>
    <row r="149" spans="1:7" s="205" customFormat="1" ht="28.5" customHeight="1">
      <c r="A149" s="214"/>
      <c r="B149" s="215"/>
      <c r="C149" s="215" t="s">
        <v>624</v>
      </c>
      <c r="D149" s="190" t="s">
        <v>534</v>
      </c>
      <c r="E149" s="217">
        <v>39509</v>
      </c>
      <c r="F149" s="217">
        <v>71365.99</v>
      </c>
      <c r="G149" s="192">
        <f aca="true" t="shared" si="7" ref="G149:G156">F149/E149*100</f>
        <v>180.63223569313323</v>
      </c>
    </row>
    <row r="150" spans="1:7" ht="41.25" customHeight="1">
      <c r="A150" s="222"/>
      <c r="B150" s="223" t="s">
        <v>293</v>
      </c>
      <c r="C150" s="223"/>
      <c r="D150" s="225" t="s">
        <v>409</v>
      </c>
      <c r="E150" s="226">
        <f>SUM(E151,E152,E153,E154,E155,E156,E157,E158)</f>
        <v>1972000</v>
      </c>
      <c r="F150" s="226">
        <f>SUM(F151,F152,F153,F154,F155,F156,F157,F158)</f>
        <v>2123110.53</v>
      </c>
      <c r="G150" s="185">
        <f t="shared" si="7"/>
        <v>107.66280578093306</v>
      </c>
    </row>
    <row r="151" spans="1:7" s="205" customFormat="1" ht="19.5" customHeight="1">
      <c r="A151" s="214"/>
      <c r="B151" s="215"/>
      <c r="C151" s="215" t="s">
        <v>656</v>
      </c>
      <c r="D151" s="232" t="s">
        <v>303</v>
      </c>
      <c r="E151" s="217">
        <v>500000</v>
      </c>
      <c r="F151" s="217">
        <v>482803.42</v>
      </c>
      <c r="G151" s="192">
        <f t="shared" si="7"/>
        <v>96.560684</v>
      </c>
    </row>
    <row r="152" spans="1:7" s="205" customFormat="1" ht="19.5" customHeight="1">
      <c r="A152" s="214"/>
      <c r="B152" s="215"/>
      <c r="C152" s="215" t="s">
        <v>658</v>
      </c>
      <c r="D152" s="232" t="s">
        <v>407</v>
      </c>
      <c r="E152" s="217">
        <v>5000</v>
      </c>
      <c r="F152" s="217">
        <v>8821.5</v>
      </c>
      <c r="G152" s="192">
        <f t="shared" si="7"/>
        <v>176.43</v>
      </c>
    </row>
    <row r="153" spans="1:7" s="205" customFormat="1" ht="27" customHeight="1">
      <c r="A153" s="214"/>
      <c r="B153" s="215"/>
      <c r="C153" s="215" t="s">
        <v>659</v>
      </c>
      <c r="D153" s="190" t="s">
        <v>225</v>
      </c>
      <c r="E153" s="217">
        <v>1400000</v>
      </c>
      <c r="F153" s="217">
        <v>1535590.15</v>
      </c>
      <c r="G153" s="192">
        <f t="shared" si="7"/>
        <v>109.68501071428571</v>
      </c>
    </row>
    <row r="154" spans="1:7" s="205" customFormat="1" ht="46.5" customHeight="1">
      <c r="A154" s="214"/>
      <c r="B154" s="215"/>
      <c r="C154" s="215" t="s">
        <v>620</v>
      </c>
      <c r="D154" s="190" t="s">
        <v>436</v>
      </c>
      <c r="E154" s="217">
        <v>50000</v>
      </c>
      <c r="F154" s="217">
        <v>73557.39</v>
      </c>
      <c r="G154" s="192">
        <f t="shared" si="7"/>
        <v>147.11478</v>
      </c>
    </row>
    <row r="155" spans="1:7" s="205" customFormat="1" ht="19.5" customHeight="1">
      <c r="A155" s="214"/>
      <c r="B155" s="215"/>
      <c r="C155" s="216" t="s">
        <v>660</v>
      </c>
      <c r="D155" s="190" t="s">
        <v>402</v>
      </c>
      <c r="E155" s="217">
        <v>17000</v>
      </c>
      <c r="F155" s="217">
        <v>20257.82</v>
      </c>
      <c r="G155" s="192">
        <f t="shared" si="7"/>
        <v>119.16364705882351</v>
      </c>
    </row>
    <row r="156" spans="1:7" s="205" customFormat="1" ht="19.5" customHeight="1" hidden="1">
      <c r="A156" s="214"/>
      <c r="B156" s="215"/>
      <c r="C156" s="216" t="s">
        <v>614</v>
      </c>
      <c r="D156" s="190" t="s">
        <v>263</v>
      </c>
      <c r="E156" s="217">
        <v>0</v>
      </c>
      <c r="F156" s="217">
        <v>0</v>
      </c>
      <c r="G156" s="192" t="e">
        <f t="shared" si="7"/>
        <v>#DIV/0!</v>
      </c>
    </row>
    <row r="157" spans="1:7" s="205" customFormat="1" ht="27.75" customHeight="1" hidden="1">
      <c r="A157" s="214"/>
      <c r="B157" s="215"/>
      <c r="C157" s="216" t="s">
        <v>624</v>
      </c>
      <c r="D157" s="190" t="s">
        <v>534</v>
      </c>
      <c r="E157" s="217">
        <v>0</v>
      </c>
      <c r="F157" s="217">
        <v>0</v>
      </c>
      <c r="G157" s="185" t="s">
        <v>313</v>
      </c>
    </row>
    <row r="158" spans="1:7" s="252" customFormat="1" ht="19.5" customHeight="1">
      <c r="A158" s="237"/>
      <c r="B158" s="238"/>
      <c r="C158" s="250" t="s">
        <v>611</v>
      </c>
      <c r="D158" s="251" t="s">
        <v>268</v>
      </c>
      <c r="E158" s="240">
        <v>0</v>
      </c>
      <c r="F158" s="240">
        <v>2080.25</v>
      </c>
      <c r="G158" s="211" t="s">
        <v>313</v>
      </c>
    </row>
    <row r="159" spans="1:7" ht="30" customHeight="1">
      <c r="A159" s="222"/>
      <c r="B159" s="223" t="s">
        <v>304</v>
      </c>
      <c r="C159" s="223"/>
      <c r="D159" s="225" t="s">
        <v>305</v>
      </c>
      <c r="E159" s="226">
        <f>E160+E161</f>
        <v>23170701</v>
      </c>
      <c r="F159" s="226">
        <f>F160+F161</f>
        <v>22696413.65</v>
      </c>
      <c r="G159" s="185">
        <f aca="true" t="shared" si="8" ref="G159:G168">F159/E159*100</f>
        <v>97.95307293465139</v>
      </c>
    </row>
    <row r="160" spans="1:7" s="205" customFormat="1" ht="19.5" customHeight="1">
      <c r="A160" s="214"/>
      <c r="B160" s="215"/>
      <c r="C160" s="215" t="s">
        <v>666</v>
      </c>
      <c r="D160" s="232" t="s">
        <v>310</v>
      </c>
      <c r="E160" s="217">
        <v>22070701</v>
      </c>
      <c r="F160" s="204">
        <v>21593097</v>
      </c>
      <c r="G160" s="192">
        <f t="shared" si="8"/>
        <v>97.83602704780424</v>
      </c>
    </row>
    <row r="161" spans="1:7" s="205" customFormat="1" ht="19.5" customHeight="1">
      <c r="A161" s="214"/>
      <c r="B161" s="215"/>
      <c r="C161" s="215" t="s">
        <v>667</v>
      </c>
      <c r="D161" s="232" t="s">
        <v>314</v>
      </c>
      <c r="E161" s="217">
        <v>1100000</v>
      </c>
      <c r="F161" s="204">
        <v>1103316.65</v>
      </c>
      <c r="G161" s="192">
        <f t="shared" si="8"/>
        <v>100.30151363636364</v>
      </c>
    </row>
    <row r="162" spans="1:7" s="197" customFormat="1" ht="19.5" customHeight="1">
      <c r="A162" s="228" t="s">
        <v>110</v>
      </c>
      <c r="B162" s="229"/>
      <c r="C162" s="229"/>
      <c r="D162" s="231" t="s">
        <v>111</v>
      </c>
      <c r="E162" s="209">
        <f>SUM(E163,E165,E167)</f>
        <v>17169999</v>
      </c>
      <c r="F162" s="209">
        <f>SUM(F163,F165,F167)</f>
        <v>18305920.58</v>
      </c>
      <c r="G162" s="179">
        <f t="shared" si="8"/>
        <v>106.61573468932642</v>
      </c>
    </row>
    <row r="163" spans="1:7" ht="30.75" customHeight="1">
      <c r="A163" s="222"/>
      <c r="B163" s="223" t="s">
        <v>316</v>
      </c>
      <c r="C163" s="223"/>
      <c r="D163" s="225" t="s">
        <v>318</v>
      </c>
      <c r="E163" s="226">
        <f>E164</f>
        <v>14815999</v>
      </c>
      <c r="F163" s="226">
        <f>F164</f>
        <v>14838571</v>
      </c>
      <c r="G163" s="185">
        <f t="shared" si="8"/>
        <v>100.15234882237776</v>
      </c>
    </row>
    <row r="164" spans="1:7" s="197" customFormat="1" ht="19.5" customHeight="1">
      <c r="A164" s="228"/>
      <c r="B164" s="229"/>
      <c r="C164" s="215" t="s">
        <v>668</v>
      </c>
      <c r="D164" s="190" t="s">
        <v>404</v>
      </c>
      <c r="E164" s="217">
        <v>14815999</v>
      </c>
      <c r="F164" s="217">
        <v>14838571</v>
      </c>
      <c r="G164" s="192">
        <f t="shared" si="8"/>
        <v>100.15234882237776</v>
      </c>
    </row>
    <row r="165" spans="1:7" ht="30.75" customHeight="1" hidden="1">
      <c r="A165" s="222"/>
      <c r="B165" s="223" t="s">
        <v>320</v>
      </c>
      <c r="C165" s="223"/>
      <c r="D165" s="225" t="s">
        <v>1211</v>
      </c>
      <c r="E165" s="226">
        <f>E166</f>
        <v>0</v>
      </c>
      <c r="F165" s="226">
        <f>F166</f>
        <v>0</v>
      </c>
      <c r="G165" s="185" t="e">
        <f t="shared" si="8"/>
        <v>#DIV/0!</v>
      </c>
    </row>
    <row r="166" spans="1:7" s="197" customFormat="1" ht="19.5" customHeight="1" hidden="1">
      <c r="A166" s="228"/>
      <c r="B166" s="229"/>
      <c r="C166" s="215" t="s">
        <v>1212</v>
      </c>
      <c r="D166" s="190" t="s">
        <v>1213</v>
      </c>
      <c r="E166" s="217">
        <v>0</v>
      </c>
      <c r="F166" s="217">
        <v>0</v>
      </c>
      <c r="G166" s="192" t="e">
        <f t="shared" si="8"/>
        <v>#DIV/0!</v>
      </c>
    </row>
    <row r="167" spans="1:7" ht="19.5" customHeight="1">
      <c r="A167" s="222"/>
      <c r="B167" s="223" t="s">
        <v>321</v>
      </c>
      <c r="C167" s="223"/>
      <c r="D167" s="233" t="s">
        <v>322</v>
      </c>
      <c r="E167" s="226">
        <f>SUM(E169,E170,E171,E172,E173,E174,E175)</f>
        <v>2354000</v>
      </c>
      <c r="F167" s="226">
        <f>SUM(F169,F170,F171,F172,F173,F174,F175)</f>
        <v>3467349.58</v>
      </c>
      <c r="G167" s="185">
        <f t="shared" si="8"/>
        <v>147.29607391673747</v>
      </c>
    </row>
    <row r="168" spans="1:7" s="205" customFormat="1" ht="30" customHeight="1" hidden="1">
      <c r="A168" s="214"/>
      <c r="B168" s="215"/>
      <c r="C168" s="215" t="s">
        <v>1347</v>
      </c>
      <c r="D168" s="190" t="s">
        <v>1346</v>
      </c>
      <c r="E168" s="217">
        <v>0</v>
      </c>
      <c r="F168" s="217">
        <v>0</v>
      </c>
      <c r="G168" s="185" t="e">
        <f t="shared" si="8"/>
        <v>#DIV/0!</v>
      </c>
    </row>
    <row r="169" spans="1:7" s="205" customFormat="1" ht="18.75" customHeight="1">
      <c r="A169" s="214"/>
      <c r="B169" s="215"/>
      <c r="C169" s="215" t="s">
        <v>614</v>
      </c>
      <c r="D169" s="190" t="s">
        <v>263</v>
      </c>
      <c r="E169" s="217">
        <v>0</v>
      </c>
      <c r="F169" s="217">
        <v>2647</v>
      </c>
      <c r="G169" s="192" t="s">
        <v>313</v>
      </c>
    </row>
    <row r="170" spans="1:7" s="205" customFormat="1" ht="18.75" customHeight="1" hidden="1">
      <c r="A170" s="214"/>
      <c r="B170" s="215"/>
      <c r="C170" s="215" t="s">
        <v>570</v>
      </c>
      <c r="D170" s="206" t="s">
        <v>569</v>
      </c>
      <c r="E170" s="217">
        <v>0</v>
      </c>
      <c r="F170" s="217">
        <v>0</v>
      </c>
      <c r="G170" s="192" t="s">
        <v>313</v>
      </c>
    </row>
    <row r="171" spans="1:7" s="205" customFormat="1" ht="18.75" customHeight="1">
      <c r="A171" s="214"/>
      <c r="B171" s="215"/>
      <c r="C171" s="215" t="s">
        <v>611</v>
      </c>
      <c r="D171" s="232" t="s">
        <v>323</v>
      </c>
      <c r="E171" s="217">
        <v>300000</v>
      </c>
      <c r="F171" s="217">
        <v>617183.91</v>
      </c>
      <c r="G171" s="192">
        <f>F171/E171*100</f>
        <v>205.72797</v>
      </c>
    </row>
    <row r="172" spans="1:7" s="205" customFormat="1" ht="18" customHeight="1">
      <c r="A172" s="214"/>
      <c r="B172" s="215"/>
      <c r="C172" s="216" t="s">
        <v>612</v>
      </c>
      <c r="D172" s="190" t="s">
        <v>266</v>
      </c>
      <c r="E172" s="217">
        <v>0</v>
      </c>
      <c r="F172" s="217">
        <v>787192.12</v>
      </c>
      <c r="G172" s="192" t="s">
        <v>313</v>
      </c>
    </row>
    <row r="173" spans="1:7" s="205" customFormat="1" ht="41.25" customHeight="1" hidden="1">
      <c r="A173" s="214"/>
      <c r="B173" s="215"/>
      <c r="C173" s="216" t="s">
        <v>672</v>
      </c>
      <c r="D173" s="190" t="s">
        <v>406</v>
      </c>
      <c r="E173" s="217">
        <v>0</v>
      </c>
      <c r="F173" s="217">
        <v>0</v>
      </c>
      <c r="G173" s="192" t="s">
        <v>313</v>
      </c>
    </row>
    <row r="174" spans="1:7" s="205" customFormat="1" ht="41.25" customHeight="1">
      <c r="A174" s="214"/>
      <c r="B174" s="215"/>
      <c r="C174" s="216" t="s">
        <v>57</v>
      </c>
      <c r="D174" s="206" t="s">
        <v>932</v>
      </c>
      <c r="E174" s="217">
        <v>0</v>
      </c>
      <c r="F174" s="217">
        <v>6521.55</v>
      </c>
      <c r="G174" s="192" t="s">
        <v>313</v>
      </c>
    </row>
    <row r="175" spans="1:7" s="205" customFormat="1" ht="27" customHeight="1">
      <c r="A175" s="214"/>
      <c r="B175" s="215"/>
      <c r="C175" s="216" t="s">
        <v>638</v>
      </c>
      <c r="D175" s="190" t="s">
        <v>639</v>
      </c>
      <c r="E175" s="217">
        <v>2054000</v>
      </c>
      <c r="F175" s="217">
        <v>2053805</v>
      </c>
      <c r="G175" s="192">
        <f>F175/E175*100</f>
        <v>99.99050632911393</v>
      </c>
    </row>
    <row r="176" spans="1:7" s="197" customFormat="1" ht="18.75" customHeight="1">
      <c r="A176" s="228" t="s">
        <v>112</v>
      </c>
      <c r="B176" s="229"/>
      <c r="C176" s="229"/>
      <c r="D176" s="231" t="s">
        <v>113</v>
      </c>
      <c r="E176" s="209">
        <f>SUM(E177,E182,E190)</f>
        <v>6000</v>
      </c>
      <c r="F176" s="209">
        <f>SUM(F177,F182,F190)</f>
        <v>5948.51</v>
      </c>
      <c r="G176" s="179">
        <f aca="true" t="shared" si="9" ref="G176:G183">F176/E176*100</f>
        <v>99.14183333333334</v>
      </c>
    </row>
    <row r="177" spans="1:7" ht="18.75" customHeight="1" hidden="1">
      <c r="A177" s="222"/>
      <c r="B177" s="223" t="s">
        <v>114</v>
      </c>
      <c r="C177" s="223"/>
      <c r="D177" s="233" t="s">
        <v>115</v>
      </c>
      <c r="E177" s="226">
        <f>SUM(E178)</f>
        <v>0</v>
      </c>
      <c r="F177" s="226">
        <f>SUM(F178)</f>
        <v>0</v>
      </c>
      <c r="G177" s="192" t="e">
        <f t="shared" si="9"/>
        <v>#DIV/0!</v>
      </c>
    </row>
    <row r="178" spans="1:7" s="205" customFormat="1" ht="47.25" customHeight="1" hidden="1">
      <c r="A178" s="214"/>
      <c r="B178" s="215"/>
      <c r="C178" s="216" t="s">
        <v>672</v>
      </c>
      <c r="D178" s="190" t="s">
        <v>406</v>
      </c>
      <c r="E178" s="217">
        <v>0</v>
      </c>
      <c r="F178" s="217">
        <v>0</v>
      </c>
      <c r="G178" s="192" t="e">
        <f t="shared" si="9"/>
        <v>#DIV/0!</v>
      </c>
    </row>
    <row r="179" spans="1:7" ht="20.25" customHeight="1" hidden="1">
      <c r="A179" s="222"/>
      <c r="B179" s="223" t="s">
        <v>958</v>
      </c>
      <c r="C179" s="241"/>
      <c r="D179" s="225" t="s">
        <v>959</v>
      </c>
      <c r="E179" s="226">
        <f>SUM(E180,E181)</f>
        <v>0</v>
      </c>
      <c r="F179" s="226">
        <f>SUM(F180,F181)</f>
        <v>0</v>
      </c>
      <c r="G179" s="192" t="e">
        <f t="shared" si="9"/>
        <v>#DIV/0!</v>
      </c>
    </row>
    <row r="180" spans="1:7" s="205" customFormat="1" ht="29.25" customHeight="1" hidden="1">
      <c r="A180" s="214"/>
      <c r="B180" s="215"/>
      <c r="C180" s="216" t="s">
        <v>613</v>
      </c>
      <c r="D180" s="190" t="s">
        <v>1348</v>
      </c>
      <c r="E180" s="217">
        <v>0</v>
      </c>
      <c r="F180" s="217">
        <v>0</v>
      </c>
      <c r="G180" s="192" t="e">
        <f t="shared" si="9"/>
        <v>#DIV/0!</v>
      </c>
    </row>
    <row r="181" spans="1:7" s="205" customFormat="1" ht="39.75" customHeight="1" hidden="1">
      <c r="A181" s="214"/>
      <c r="B181" s="215"/>
      <c r="C181" s="216" t="s">
        <v>452</v>
      </c>
      <c r="D181" s="190" t="s">
        <v>453</v>
      </c>
      <c r="E181" s="217">
        <v>0</v>
      </c>
      <c r="F181" s="217">
        <v>0</v>
      </c>
      <c r="G181" s="192" t="e">
        <f t="shared" si="9"/>
        <v>#DIV/0!</v>
      </c>
    </row>
    <row r="182" spans="1:7" s="205" customFormat="1" ht="16.5" customHeight="1">
      <c r="A182" s="222"/>
      <c r="B182" s="223" t="s">
        <v>116</v>
      </c>
      <c r="C182" s="241"/>
      <c r="D182" s="225" t="s">
        <v>117</v>
      </c>
      <c r="E182" s="226">
        <f>SUM(E183)</f>
        <v>2000</v>
      </c>
      <c r="F182" s="226">
        <f>SUM(F183)</f>
        <v>2500</v>
      </c>
      <c r="G182" s="185">
        <f t="shared" si="9"/>
        <v>125</v>
      </c>
    </row>
    <row r="183" spans="1:7" s="205" customFormat="1" ht="29.25" customHeight="1">
      <c r="A183" s="214"/>
      <c r="B183" s="215"/>
      <c r="C183" s="216" t="s">
        <v>1347</v>
      </c>
      <c r="D183" s="190" t="s">
        <v>1346</v>
      </c>
      <c r="E183" s="217">
        <v>2000</v>
      </c>
      <c r="F183" s="217">
        <v>2500</v>
      </c>
      <c r="G183" s="192">
        <f t="shared" si="9"/>
        <v>125</v>
      </c>
    </row>
    <row r="184" spans="1:7" s="205" customFormat="1" ht="18.75" customHeight="1" hidden="1">
      <c r="A184" s="214"/>
      <c r="B184" s="215"/>
      <c r="C184" s="215" t="s">
        <v>614</v>
      </c>
      <c r="D184" s="190" t="s">
        <v>263</v>
      </c>
      <c r="E184" s="217">
        <v>0</v>
      </c>
      <c r="F184" s="217">
        <v>0</v>
      </c>
      <c r="G184" s="192" t="s">
        <v>313</v>
      </c>
    </row>
    <row r="185" spans="1:7" s="205" customFormat="1" ht="16.5" customHeight="1" hidden="1">
      <c r="A185" s="214"/>
      <c r="B185" s="215"/>
      <c r="C185" s="216" t="s">
        <v>612</v>
      </c>
      <c r="D185" s="190" t="s">
        <v>266</v>
      </c>
      <c r="E185" s="217">
        <v>0</v>
      </c>
      <c r="F185" s="217">
        <v>0</v>
      </c>
      <c r="G185" s="247" t="s">
        <v>313</v>
      </c>
    </row>
    <row r="186" spans="1:7" s="205" customFormat="1" ht="82.5" customHeight="1" hidden="1">
      <c r="A186" s="214"/>
      <c r="B186" s="215"/>
      <c r="C186" s="215" t="s">
        <v>1405</v>
      </c>
      <c r="D186" s="190" t="s">
        <v>1425</v>
      </c>
      <c r="E186" s="217">
        <v>0</v>
      </c>
      <c r="F186" s="217">
        <v>0</v>
      </c>
      <c r="G186" s="247" t="s">
        <v>313</v>
      </c>
    </row>
    <row r="187" spans="1:7" s="205" customFormat="1" ht="16.5" customHeight="1" hidden="1">
      <c r="A187" s="222"/>
      <c r="B187" s="223" t="s">
        <v>118</v>
      </c>
      <c r="C187" s="241"/>
      <c r="D187" s="225" t="s">
        <v>521</v>
      </c>
      <c r="E187" s="226">
        <f>SUM(E188,E189)</f>
        <v>0</v>
      </c>
      <c r="F187" s="226">
        <f>SUM(F188,F189)</f>
        <v>0</v>
      </c>
      <c r="G187" s="246" t="s">
        <v>313</v>
      </c>
    </row>
    <row r="188" spans="1:7" s="205" customFormat="1" ht="18.75" customHeight="1" hidden="1">
      <c r="A188" s="214"/>
      <c r="B188" s="215"/>
      <c r="C188" s="215" t="s">
        <v>614</v>
      </c>
      <c r="D188" s="190" t="s">
        <v>263</v>
      </c>
      <c r="E188" s="217">
        <v>0</v>
      </c>
      <c r="F188" s="217">
        <v>0</v>
      </c>
      <c r="G188" s="246" t="s">
        <v>313</v>
      </c>
    </row>
    <row r="189" spans="1:7" s="205" customFormat="1" ht="16.5" customHeight="1" hidden="1">
      <c r="A189" s="214"/>
      <c r="B189" s="215"/>
      <c r="C189" s="216" t="s">
        <v>612</v>
      </c>
      <c r="D189" s="190" t="s">
        <v>266</v>
      </c>
      <c r="E189" s="217">
        <v>0</v>
      </c>
      <c r="F189" s="217">
        <v>0</v>
      </c>
      <c r="G189" s="247" t="s">
        <v>313</v>
      </c>
    </row>
    <row r="190" spans="1:7" s="205" customFormat="1" ht="17.25" customHeight="1">
      <c r="A190" s="222"/>
      <c r="B190" s="223" t="s">
        <v>980</v>
      </c>
      <c r="C190" s="241"/>
      <c r="D190" s="225" t="s">
        <v>1433</v>
      </c>
      <c r="E190" s="226">
        <f>SUM(E192,E193,E194,E195)</f>
        <v>4000</v>
      </c>
      <c r="F190" s="226">
        <f>SUM(F192,F193,F194,F195)</f>
        <v>3448.51</v>
      </c>
      <c r="G190" s="246">
        <f aca="true" t="shared" si="10" ref="G190:G195">F190/E190*100</f>
        <v>86.21275</v>
      </c>
    </row>
    <row r="191" spans="1:7" s="205" customFormat="1" ht="56.25" customHeight="1" hidden="1">
      <c r="A191" s="214"/>
      <c r="B191" s="215"/>
      <c r="C191" s="216" t="s">
        <v>688</v>
      </c>
      <c r="D191" s="190" t="s">
        <v>400</v>
      </c>
      <c r="E191" s="217">
        <v>0</v>
      </c>
      <c r="F191" s="217">
        <v>0</v>
      </c>
      <c r="G191" s="247" t="e">
        <f t="shared" si="10"/>
        <v>#DIV/0!</v>
      </c>
    </row>
    <row r="192" spans="1:7" s="205" customFormat="1" ht="58.5" customHeight="1">
      <c r="A192" s="214"/>
      <c r="B192" s="215"/>
      <c r="C192" s="216" t="s">
        <v>671</v>
      </c>
      <c r="D192" s="190" t="s">
        <v>414</v>
      </c>
      <c r="E192" s="217">
        <v>4000</v>
      </c>
      <c r="F192" s="217">
        <v>3448.51</v>
      </c>
      <c r="G192" s="247">
        <f t="shared" si="10"/>
        <v>86.21275</v>
      </c>
    </row>
    <row r="193" spans="1:7" s="205" customFormat="1" ht="41.25" customHeight="1" hidden="1">
      <c r="A193" s="214"/>
      <c r="B193" s="215"/>
      <c r="C193" s="216" t="s">
        <v>672</v>
      </c>
      <c r="D193" s="190" t="s">
        <v>406</v>
      </c>
      <c r="E193" s="217">
        <v>0</v>
      </c>
      <c r="F193" s="217">
        <v>0</v>
      </c>
      <c r="G193" s="247" t="e">
        <f t="shared" si="10"/>
        <v>#DIV/0!</v>
      </c>
    </row>
    <row r="194" spans="1:7" s="205" customFormat="1" ht="55.5" customHeight="1" hidden="1">
      <c r="A194" s="214"/>
      <c r="B194" s="215"/>
      <c r="C194" s="216" t="s">
        <v>752</v>
      </c>
      <c r="D194" s="206" t="s">
        <v>311</v>
      </c>
      <c r="E194" s="217">
        <v>0</v>
      </c>
      <c r="F194" s="217">
        <v>0</v>
      </c>
      <c r="G194" s="247" t="s">
        <v>313</v>
      </c>
    </row>
    <row r="195" spans="1:7" s="205" customFormat="1" ht="44.25" customHeight="1" hidden="1">
      <c r="A195" s="214"/>
      <c r="B195" s="215"/>
      <c r="C195" s="216" t="s">
        <v>669</v>
      </c>
      <c r="D195" s="190" t="s">
        <v>427</v>
      </c>
      <c r="E195" s="217">
        <v>0</v>
      </c>
      <c r="F195" s="217">
        <v>0</v>
      </c>
      <c r="G195" s="247" t="e">
        <f t="shared" si="10"/>
        <v>#DIV/0!</v>
      </c>
    </row>
    <row r="196" spans="1:7" ht="19.5" customHeight="1">
      <c r="A196" s="228" t="s">
        <v>121</v>
      </c>
      <c r="B196" s="229"/>
      <c r="C196" s="230"/>
      <c r="D196" s="231" t="s">
        <v>122</v>
      </c>
      <c r="E196" s="209">
        <f>SUM(E197,E199,E203,E205)</f>
        <v>14000</v>
      </c>
      <c r="F196" s="209">
        <f>SUM(F197,F199,F203,F205)</f>
        <v>9571.57</v>
      </c>
      <c r="G196" s="179">
        <f>F196/E196*100</f>
        <v>68.36835714285714</v>
      </c>
    </row>
    <row r="197" spans="1:7" ht="18" customHeight="1" hidden="1">
      <c r="A197" s="222"/>
      <c r="B197" s="234" t="s">
        <v>1001</v>
      </c>
      <c r="C197" s="234"/>
      <c r="D197" s="253" t="s">
        <v>909</v>
      </c>
      <c r="E197" s="236">
        <f>SUM(E198)</f>
        <v>0</v>
      </c>
      <c r="F197" s="236">
        <f>SUM(F198)</f>
        <v>0</v>
      </c>
      <c r="G197" s="185" t="s">
        <v>313</v>
      </c>
    </row>
    <row r="198" spans="1:7" ht="20.25" customHeight="1" hidden="1">
      <c r="A198" s="214"/>
      <c r="B198" s="248"/>
      <c r="C198" s="248" t="s">
        <v>612</v>
      </c>
      <c r="D198" s="232" t="s">
        <v>266</v>
      </c>
      <c r="E198" s="254">
        <v>0</v>
      </c>
      <c r="F198" s="254">
        <v>0</v>
      </c>
      <c r="G198" s="192" t="s">
        <v>313</v>
      </c>
    </row>
    <row r="199" spans="1:7" ht="19.5" customHeight="1">
      <c r="A199" s="222"/>
      <c r="B199" s="234" t="s">
        <v>1005</v>
      </c>
      <c r="C199" s="256"/>
      <c r="D199" s="235" t="s">
        <v>1006</v>
      </c>
      <c r="E199" s="236">
        <f>SUM(E200,E201,E202)</f>
        <v>0</v>
      </c>
      <c r="F199" s="236">
        <f>SUM(F200,F201,F202)</f>
        <v>478.15000000000003</v>
      </c>
      <c r="G199" s="185" t="s">
        <v>313</v>
      </c>
    </row>
    <row r="200" spans="1:7" s="205" customFormat="1" ht="65.25" customHeight="1">
      <c r="A200" s="214"/>
      <c r="B200" s="248"/>
      <c r="C200" s="248" t="s">
        <v>640</v>
      </c>
      <c r="D200" s="255" t="s">
        <v>641</v>
      </c>
      <c r="E200" s="254">
        <v>0</v>
      </c>
      <c r="F200" s="254">
        <v>111.73</v>
      </c>
      <c r="G200" s="185" t="s">
        <v>313</v>
      </c>
    </row>
    <row r="201" spans="1:7" ht="19.5" customHeight="1" hidden="1">
      <c r="A201" s="222"/>
      <c r="B201" s="234"/>
      <c r="C201" s="215" t="s">
        <v>612</v>
      </c>
      <c r="D201" s="232" t="s">
        <v>266</v>
      </c>
      <c r="E201" s="254">
        <v>0</v>
      </c>
      <c r="F201" s="254">
        <v>0</v>
      </c>
      <c r="G201" s="185" t="s">
        <v>313</v>
      </c>
    </row>
    <row r="202" spans="1:7" ht="67.5" customHeight="1">
      <c r="A202" s="222"/>
      <c r="B202" s="234"/>
      <c r="C202" s="248" t="s">
        <v>452</v>
      </c>
      <c r="D202" s="206" t="s">
        <v>734</v>
      </c>
      <c r="E202" s="254">
        <v>0</v>
      </c>
      <c r="F202" s="254">
        <v>366.42</v>
      </c>
      <c r="G202" s="185" t="s">
        <v>313</v>
      </c>
    </row>
    <row r="203" spans="1:7" ht="19.5" customHeight="1" hidden="1">
      <c r="A203" s="222"/>
      <c r="B203" s="234" t="s">
        <v>123</v>
      </c>
      <c r="C203" s="256"/>
      <c r="D203" s="235" t="s">
        <v>124</v>
      </c>
      <c r="E203" s="236">
        <f>SUM(E204)</f>
        <v>0</v>
      </c>
      <c r="F203" s="236">
        <f>SUM(F204)</f>
        <v>0</v>
      </c>
      <c r="G203" s="185" t="s">
        <v>313</v>
      </c>
    </row>
    <row r="204" spans="1:7" ht="19.5" customHeight="1" hidden="1">
      <c r="A204" s="222"/>
      <c r="B204" s="234"/>
      <c r="C204" s="215" t="s">
        <v>612</v>
      </c>
      <c r="D204" s="232" t="s">
        <v>266</v>
      </c>
      <c r="E204" s="254">
        <v>0</v>
      </c>
      <c r="F204" s="254">
        <v>0</v>
      </c>
      <c r="G204" s="185" t="s">
        <v>313</v>
      </c>
    </row>
    <row r="205" spans="1:7" ht="19.5" customHeight="1">
      <c r="A205" s="222"/>
      <c r="B205" s="257" t="s">
        <v>1007</v>
      </c>
      <c r="C205" s="258"/>
      <c r="D205" s="259" t="s">
        <v>1433</v>
      </c>
      <c r="E205" s="260">
        <f>SUM(E206,E207)</f>
        <v>14000</v>
      </c>
      <c r="F205" s="260">
        <f>SUM(F206,F207)</f>
        <v>9093.42</v>
      </c>
      <c r="G205" s="211">
        <f>F205/E205*100</f>
        <v>64.953</v>
      </c>
    </row>
    <row r="206" spans="1:7" s="205" customFormat="1" ht="54" customHeight="1">
      <c r="A206" s="214"/>
      <c r="B206" s="215"/>
      <c r="C206" s="189">
        <v>2010</v>
      </c>
      <c r="D206" s="190" t="s">
        <v>400</v>
      </c>
      <c r="E206" s="217">
        <v>14000</v>
      </c>
      <c r="F206" s="217">
        <v>9093.42</v>
      </c>
      <c r="G206" s="192">
        <f>F206/E206*100</f>
        <v>64.953</v>
      </c>
    </row>
    <row r="207" spans="1:7" s="205" customFormat="1" ht="55.5" customHeight="1" hidden="1">
      <c r="A207" s="214"/>
      <c r="B207" s="215"/>
      <c r="C207" s="189">
        <v>2020</v>
      </c>
      <c r="D207" s="190" t="s">
        <v>414</v>
      </c>
      <c r="E207" s="217">
        <v>0</v>
      </c>
      <c r="F207" s="217"/>
      <c r="G207" s="192" t="e">
        <f>F207/E207*100</f>
        <v>#DIV/0!</v>
      </c>
    </row>
    <row r="208" spans="1:7" s="197" customFormat="1" ht="21.75" customHeight="1">
      <c r="A208" s="228" t="s">
        <v>679</v>
      </c>
      <c r="B208" s="229"/>
      <c r="C208" s="243"/>
      <c r="D208" s="207" t="s">
        <v>690</v>
      </c>
      <c r="E208" s="209">
        <f>SUM(E209,E212,E214,E218,E220,E227,E232,E239,E241,E245,E249)</f>
        <v>8524020</v>
      </c>
      <c r="F208" s="209">
        <f>SUM(F209,F212,F214,F218,F220,F227,F232,F239,F241,F245,F249)</f>
        <v>8446042.290000001</v>
      </c>
      <c r="G208" s="179">
        <f>F208/E208*100</f>
        <v>99.0852002928196</v>
      </c>
    </row>
    <row r="209" spans="1:7" s="197" customFormat="1" ht="21.75" customHeight="1">
      <c r="A209" s="222"/>
      <c r="B209" s="223" t="s">
        <v>680</v>
      </c>
      <c r="C209" s="224"/>
      <c r="D209" s="253" t="s">
        <v>1355</v>
      </c>
      <c r="E209" s="226">
        <f>SUM(E210,E211)</f>
        <v>0</v>
      </c>
      <c r="F209" s="226">
        <f>SUM(F210,F211)</f>
        <v>3300</v>
      </c>
      <c r="G209" s="185" t="s">
        <v>313</v>
      </c>
    </row>
    <row r="210" spans="1:7" s="261" customFormat="1" ht="27.75" customHeight="1">
      <c r="A210" s="214"/>
      <c r="B210" s="215"/>
      <c r="C210" s="216" t="s">
        <v>613</v>
      </c>
      <c r="D210" s="206" t="s">
        <v>1348</v>
      </c>
      <c r="E210" s="254">
        <v>0</v>
      </c>
      <c r="F210" s="217">
        <v>3300</v>
      </c>
      <c r="G210" s="192" t="s">
        <v>313</v>
      </c>
    </row>
    <row r="211" spans="1:8" s="197" customFormat="1" ht="21.75" customHeight="1" hidden="1">
      <c r="A211" s="214"/>
      <c r="B211" s="215"/>
      <c r="C211" s="216" t="s">
        <v>612</v>
      </c>
      <c r="D211" s="255" t="s">
        <v>266</v>
      </c>
      <c r="E211" s="254">
        <v>0</v>
      </c>
      <c r="F211" s="217">
        <v>0</v>
      </c>
      <c r="G211" s="192" t="s">
        <v>313</v>
      </c>
      <c r="H211" s="197" t="s">
        <v>1203</v>
      </c>
    </row>
    <row r="212" spans="1:7" s="197" customFormat="1" ht="21.75" customHeight="1">
      <c r="A212" s="222"/>
      <c r="B212" s="223" t="s">
        <v>1010</v>
      </c>
      <c r="C212" s="224"/>
      <c r="D212" s="253" t="s">
        <v>1011</v>
      </c>
      <c r="E212" s="226">
        <f>SUM(E213)</f>
        <v>0</v>
      </c>
      <c r="F212" s="226">
        <f>SUM(F213)</f>
        <v>6970.13</v>
      </c>
      <c r="G212" s="185" t="s">
        <v>313</v>
      </c>
    </row>
    <row r="213" spans="1:7" s="197" customFormat="1" ht="21.75" customHeight="1">
      <c r="A213" s="214"/>
      <c r="B213" s="215"/>
      <c r="C213" s="216" t="s">
        <v>612</v>
      </c>
      <c r="D213" s="255" t="s">
        <v>266</v>
      </c>
      <c r="E213" s="254">
        <v>0</v>
      </c>
      <c r="F213" s="217">
        <v>6970.13</v>
      </c>
      <c r="G213" s="192" t="s">
        <v>313</v>
      </c>
    </row>
    <row r="214" spans="1:7" ht="21.75" customHeight="1">
      <c r="A214" s="222"/>
      <c r="B214" s="223" t="s">
        <v>691</v>
      </c>
      <c r="C214" s="224"/>
      <c r="D214" s="253" t="s">
        <v>405</v>
      </c>
      <c r="E214" s="226">
        <f>SUM(E215,E216,E217)</f>
        <v>144007</v>
      </c>
      <c r="F214" s="226">
        <f>SUM(F215,F216,F217)</f>
        <v>144299.58000000002</v>
      </c>
      <c r="G214" s="185">
        <f>F214/E214*100</f>
        <v>100.2031706792031</v>
      </c>
    </row>
    <row r="215" spans="1:7" ht="21" customHeight="1">
      <c r="A215" s="222"/>
      <c r="B215" s="223"/>
      <c r="C215" s="216" t="s">
        <v>610</v>
      </c>
      <c r="D215" s="190" t="s">
        <v>325</v>
      </c>
      <c r="E215" s="254">
        <v>15000</v>
      </c>
      <c r="F215" s="217">
        <v>19026.58</v>
      </c>
      <c r="G215" s="192">
        <f>F215/E215*100</f>
        <v>126.84386666666667</v>
      </c>
    </row>
    <row r="216" spans="1:7" s="197" customFormat="1" ht="21.75" customHeight="1" hidden="1">
      <c r="A216" s="214"/>
      <c r="B216" s="215"/>
      <c r="C216" s="216" t="s">
        <v>612</v>
      </c>
      <c r="D216" s="255" t="s">
        <v>266</v>
      </c>
      <c r="E216" s="254">
        <v>0</v>
      </c>
      <c r="F216" s="217">
        <v>0</v>
      </c>
      <c r="G216" s="192" t="s">
        <v>313</v>
      </c>
    </row>
    <row r="217" spans="1:7" s="205" customFormat="1" ht="54.75" customHeight="1">
      <c r="A217" s="214"/>
      <c r="B217" s="215"/>
      <c r="C217" s="189">
        <v>2010</v>
      </c>
      <c r="D217" s="190" t="s">
        <v>400</v>
      </c>
      <c r="E217" s="254">
        <v>129007</v>
      </c>
      <c r="F217" s="217">
        <v>125273</v>
      </c>
      <c r="G217" s="192">
        <f>F217/E217*100</f>
        <v>97.10558341795407</v>
      </c>
    </row>
    <row r="218" spans="1:7" s="197" customFormat="1" ht="21.75" customHeight="1" hidden="1">
      <c r="A218" s="222"/>
      <c r="B218" s="223" t="s">
        <v>1012</v>
      </c>
      <c r="C218" s="224"/>
      <c r="D218" s="253" t="s">
        <v>1013</v>
      </c>
      <c r="E218" s="226">
        <f>SUM(E219)</f>
        <v>0</v>
      </c>
      <c r="F218" s="226">
        <f>SUM(F219)</f>
        <v>0</v>
      </c>
      <c r="G218" s="185" t="s">
        <v>313</v>
      </c>
    </row>
    <row r="219" spans="1:8" s="197" customFormat="1" ht="21.75" customHeight="1" hidden="1">
      <c r="A219" s="214"/>
      <c r="B219" s="215"/>
      <c r="C219" s="216" t="s">
        <v>612</v>
      </c>
      <c r="D219" s="255" t="s">
        <v>266</v>
      </c>
      <c r="E219" s="254">
        <v>0</v>
      </c>
      <c r="F219" s="217">
        <v>0</v>
      </c>
      <c r="G219" s="192" t="s">
        <v>313</v>
      </c>
      <c r="H219" s="197" t="s">
        <v>1203</v>
      </c>
    </row>
    <row r="220" spans="1:7" ht="43.5" customHeight="1">
      <c r="A220" s="222"/>
      <c r="B220" s="223" t="s">
        <v>681</v>
      </c>
      <c r="C220" s="224"/>
      <c r="D220" s="263" t="s">
        <v>1056</v>
      </c>
      <c r="E220" s="236">
        <f>SUM(E221,E224,E225,E226)</f>
        <v>5841405</v>
      </c>
      <c r="F220" s="236">
        <f>SUM(F221,F224,F225,F226)</f>
        <v>5771821.06</v>
      </c>
      <c r="G220" s="185">
        <f aca="true" t="shared" si="11" ref="G220:G232">F220/E220*100</f>
        <v>98.80878076421682</v>
      </c>
    </row>
    <row r="221" spans="1:7" s="205" customFormat="1" ht="18.75" customHeight="1">
      <c r="A221" s="214"/>
      <c r="B221" s="215"/>
      <c r="C221" s="215" t="s">
        <v>611</v>
      </c>
      <c r="D221" s="232" t="s">
        <v>323</v>
      </c>
      <c r="E221" s="217">
        <v>11000</v>
      </c>
      <c r="F221" s="217">
        <v>7479.52</v>
      </c>
      <c r="G221" s="192">
        <f>F221/E221*100</f>
        <v>67.99563636363636</v>
      </c>
    </row>
    <row r="222" spans="1:7" ht="18" customHeight="1" hidden="1">
      <c r="A222" s="222"/>
      <c r="B222" s="223"/>
      <c r="C222" s="216" t="s">
        <v>612</v>
      </c>
      <c r="D222" s="190" t="s">
        <v>266</v>
      </c>
      <c r="E222" s="217">
        <v>0</v>
      </c>
      <c r="F222" s="217">
        <v>0</v>
      </c>
      <c r="G222" s="192" t="s">
        <v>313</v>
      </c>
    </row>
    <row r="223" spans="1:7" ht="29.25" customHeight="1" hidden="1">
      <c r="A223" s="222"/>
      <c r="B223" s="223"/>
      <c r="C223" s="216" t="s">
        <v>642</v>
      </c>
      <c r="D223" s="190" t="s">
        <v>643</v>
      </c>
      <c r="E223" s="217">
        <v>0</v>
      </c>
      <c r="F223" s="217">
        <v>0</v>
      </c>
      <c r="G223" s="192" t="e">
        <f t="shared" si="11"/>
        <v>#DIV/0!</v>
      </c>
    </row>
    <row r="224" spans="1:7" s="262" customFormat="1" ht="58.5" customHeight="1">
      <c r="A224" s="214"/>
      <c r="B224" s="215"/>
      <c r="C224" s="189">
        <v>2010</v>
      </c>
      <c r="D224" s="190" t="s">
        <v>400</v>
      </c>
      <c r="E224" s="217">
        <v>5736806</v>
      </c>
      <c r="F224" s="217">
        <v>5725854.35</v>
      </c>
      <c r="G224" s="192">
        <f t="shared" si="11"/>
        <v>99.80909847744546</v>
      </c>
    </row>
    <row r="225" spans="1:7" s="262" customFormat="1" ht="58.5" customHeight="1">
      <c r="A225" s="214"/>
      <c r="B225" s="215"/>
      <c r="C225" s="189">
        <v>2360</v>
      </c>
      <c r="D225" s="190" t="s">
        <v>696</v>
      </c>
      <c r="E225" s="217">
        <v>58599</v>
      </c>
      <c r="F225" s="217">
        <v>13542.19</v>
      </c>
      <c r="G225" s="192">
        <f t="shared" si="11"/>
        <v>23.10993361661462</v>
      </c>
    </row>
    <row r="226" spans="1:7" s="262" customFormat="1" ht="68.25" customHeight="1">
      <c r="A226" s="214"/>
      <c r="B226" s="215"/>
      <c r="C226" s="189">
        <v>2910</v>
      </c>
      <c r="D226" s="190" t="s">
        <v>734</v>
      </c>
      <c r="E226" s="217">
        <v>35000</v>
      </c>
      <c r="F226" s="217">
        <v>24945</v>
      </c>
      <c r="G226" s="192">
        <f t="shared" si="11"/>
        <v>71.27142857142857</v>
      </c>
    </row>
    <row r="227" spans="1:7" ht="69" customHeight="1">
      <c r="A227" s="222"/>
      <c r="B227" s="223" t="s">
        <v>682</v>
      </c>
      <c r="C227" s="224"/>
      <c r="D227" s="183" t="s">
        <v>799</v>
      </c>
      <c r="E227" s="226">
        <f>SUM(E228,E229,E230,E231)</f>
        <v>92930</v>
      </c>
      <c r="F227" s="226">
        <f>SUM(F228,F229,F230,F231)</f>
        <v>89348.5</v>
      </c>
      <c r="G227" s="185">
        <f t="shared" si="11"/>
        <v>96.14602388894868</v>
      </c>
    </row>
    <row r="228" spans="1:7" s="205" customFormat="1" ht="21" customHeight="1" hidden="1">
      <c r="A228" s="214"/>
      <c r="B228" s="215"/>
      <c r="C228" s="216" t="s">
        <v>612</v>
      </c>
      <c r="D228" s="190" t="s">
        <v>266</v>
      </c>
      <c r="E228" s="217">
        <v>0</v>
      </c>
      <c r="F228" s="217">
        <v>0</v>
      </c>
      <c r="G228" s="192" t="s">
        <v>313</v>
      </c>
    </row>
    <row r="229" spans="1:7" s="205" customFormat="1" ht="56.25" customHeight="1">
      <c r="A229" s="214"/>
      <c r="B229" s="215"/>
      <c r="C229" s="189">
        <v>2010</v>
      </c>
      <c r="D229" s="190" t="s">
        <v>400</v>
      </c>
      <c r="E229" s="217">
        <v>21930</v>
      </c>
      <c r="F229" s="217">
        <v>21813.5</v>
      </c>
      <c r="G229" s="192">
        <f t="shared" si="11"/>
        <v>99.468764249886</v>
      </c>
    </row>
    <row r="230" spans="1:7" s="205" customFormat="1" ht="40.5" customHeight="1">
      <c r="A230" s="214"/>
      <c r="B230" s="215"/>
      <c r="C230" s="189">
        <v>2030</v>
      </c>
      <c r="D230" s="190" t="s">
        <v>406</v>
      </c>
      <c r="E230" s="217">
        <v>70000</v>
      </c>
      <c r="F230" s="217">
        <v>67065.92</v>
      </c>
      <c r="G230" s="192">
        <f t="shared" si="11"/>
        <v>95.80845714285714</v>
      </c>
    </row>
    <row r="231" spans="1:7" s="262" customFormat="1" ht="65.25" customHeight="1">
      <c r="A231" s="214"/>
      <c r="B231" s="215"/>
      <c r="C231" s="189">
        <v>2910</v>
      </c>
      <c r="D231" s="190" t="s">
        <v>734</v>
      </c>
      <c r="E231" s="217">
        <v>1000</v>
      </c>
      <c r="F231" s="217">
        <v>469.08</v>
      </c>
      <c r="G231" s="192">
        <f>F231/E231*100</f>
        <v>46.908</v>
      </c>
    </row>
    <row r="232" spans="1:7" ht="32.25" customHeight="1">
      <c r="A232" s="214"/>
      <c r="B232" s="223" t="s">
        <v>683</v>
      </c>
      <c r="C232" s="189"/>
      <c r="D232" s="183" t="s">
        <v>880</v>
      </c>
      <c r="E232" s="226">
        <f>SUM(E233,E234,E235,E236)</f>
        <v>323000</v>
      </c>
      <c r="F232" s="226">
        <f>SUM(F233,F234,F235,F236)</f>
        <v>303119.49</v>
      </c>
      <c r="G232" s="185">
        <f t="shared" si="11"/>
        <v>93.84504334365324</v>
      </c>
    </row>
    <row r="233" spans="1:7" s="205" customFormat="1" ht="21" customHeight="1">
      <c r="A233" s="214"/>
      <c r="B233" s="215"/>
      <c r="C233" s="216" t="s">
        <v>612</v>
      </c>
      <c r="D233" s="190" t="s">
        <v>266</v>
      </c>
      <c r="E233" s="217">
        <v>0</v>
      </c>
      <c r="F233" s="217">
        <v>2940</v>
      </c>
      <c r="G233" s="192" t="s">
        <v>313</v>
      </c>
    </row>
    <row r="234" spans="1:7" s="205" customFormat="1" ht="57" customHeight="1" hidden="1">
      <c r="A234" s="214"/>
      <c r="B234" s="215"/>
      <c r="C234" s="189">
        <v>2010</v>
      </c>
      <c r="D234" s="190" t="s">
        <v>400</v>
      </c>
      <c r="E234" s="217">
        <v>0</v>
      </c>
      <c r="F234" s="217">
        <v>0</v>
      </c>
      <c r="G234" s="192" t="e">
        <f aca="true" t="shared" si="12" ref="G234:G241">F234/E234*100</f>
        <v>#DIV/0!</v>
      </c>
    </row>
    <row r="235" spans="1:7" s="205" customFormat="1" ht="44.25" customHeight="1">
      <c r="A235" s="214"/>
      <c r="B235" s="215"/>
      <c r="C235" s="189">
        <v>2030</v>
      </c>
      <c r="D235" s="190" t="s">
        <v>406</v>
      </c>
      <c r="E235" s="217">
        <v>305000</v>
      </c>
      <c r="F235" s="217">
        <v>293591.68</v>
      </c>
      <c r="G235" s="192">
        <f t="shared" si="12"/>
        <v>96.25956721311475</v>
      </c>
    </row>
    <row r="236" spans="1:7" s="205" customFormat="1" ht="63.75" customHeight="1">
      <c r="A236" s="214"/>
      <c r="B236" s="215"/>
      <c r="C236" s="189">
        <v>2910</v>
      </c>
      <c r="D236" s="190" t="s">
        <v>734</v>
      </c>
      <c r="E236" s="217">
        <v>18000</v>
      </c>
      <c r="F236" s="217">
        <v>6587.81</v>
      </c>
      <c r="G236" s="192">
        <f t="shared" si="12"/>
        <v>36.59894444444445</v>
      </c>
    </row>
    <row r="237" spans="1:7" ht="20.25" customHeight="1" hidden="1">
      <c r="A237" s="214"/>
      <c r="B237" s="223" t="s">
        <v>684</v>
      </c>
      <c r="C237" s="189"/>
      <c r="D237" s="183" t="s">
        <v>130</v>
      </c>
      <c r="E237" s="226">
        <f>SUM(E238)</f>
        <v>0</v>
      </c>
      <c r="F237" s="226">
        <f>SUM(F238)</f>
        <v>0</v>
      </c>
      <c r="G237" s="192" t="e">
        <f t="shared" si="12"/>
        <v>#DIV/0!</v>
      </c>
    </row>
    <row r="238" spans="1:7" s="205" customFormat="1" ht="21" customHeight="1" hidden="1">
      <c r="A238" s="214"/>
      <c r="B238" s="215"/>
      <c r="C238" s="216" t="s">
        <v>612</v>
      </c>
      <c r="D238" s="190" t="s">
        <v>266</v>
      </c>
      <c r="E238" s="217">
        <v>0</v>
      </c>
      <c r="F238" s="217">
        <v>0</v>
      </c>
      <c r="G238" s="192" t="e">
        <f t="shared" si="12"/>
        <v>#DIV/0!</v>
      </c>
    </row>
    <row r="239" spans="1:7" ht="20.25" customHeight="1">
      <c r="A239" s="214"/>
      <c r="B239" s="223" t="s">
        <v>644</v>
      </c>
      <c r="C239" s="189"/>
      <c r="D239" s="183" t="s">
        <v>937</v>
      </c>
      <c r="E239" s="226">
        <f>SUM(E240)</f>
        <v>773000</v>
      </c>
      <c r="F239" s="226">
        <f>SUM(F240)</f>
        <v>772958.98</v>
      </c>
      <c r="G239" s="185">
        <f t="shared" si="12"/>
        <v>99.99469340232858</v>
      </c>
    </row>
    <row r="240" spans="1:7" s="205" customFormat="1" ht="39.75" customHeight="1">
      <c r="A240" s="214"/>
      <c r="B240" s="215"/>
      <c r="C240" s="216" t="s">
        <v>672</v>
      </c>
      <c r="D240" s="190" t="s">
        <v>406</v>
      </c>
      <c r="E240" s="217">
        <v>773000</v>
      </c>
      <c r="F240" s="217">
        <v>772958.98</v>
      </c>
      <c r="G240" s="192">
        <f t="shared" si="12"/>
        <v>99.99469340232858</v>
      </c>
    </row>
    <row r="241" spans="1:7" ht="21.75" customHeight="1">
      <c r="A241" s="222"/>
      <c r="B241" s="223" t="s">
        <v>685</v>
      </c>
      <c r="C241" s="224"/>
      <c r="D241" s="183" t="s">
        <v>131</v>
      </c>
      <c r="E241" s="226">
        <f>SUM(E242,E243,E244)</f>
        <v>615748</v>
      </c>
      <c r="F241" s="226">
        <f>SUM(F242,F243,F244)</f>
        <v>615815.56</v>
      </c>
      <c r="G241" s="185">
        <f t="shared" si="12"/>
        <v>100.0109720210216</v>
      </c>
    </row>
    <row r="242" spans="1:7" s="205" customFormat="1" ht="21.75" customHeight="1" hidden="1">
      <c r="A242" s="214"/>
      <c r="B242" s="215"/>
      <c r="C242" s="216" t="s">
        <v>611</v>
      </c>
      <c r="D242" s="232" t="s">
        <v>323</v>
      </c>
      <c r="E242" s="217">
        <v>0</v>
      </c>
      <c r="F242" s="217"/>
      <c r="G242" s="192" t="s">
        <v>313</v>
      </c>
    </row>
    <row r="243" spans="1:7" ht="21.75" customHeight="1">
      <c r="A243" s="222"/>
      <c r="B243" s="223"/>
      <c r="C243" s="216" t="s">
        <v>612</v>
      </c>
      <c r="D243" s="190" t="s">
        <v>266</v>
      </c>
      <c r="E243" s="217">
        <v>0</v>
      </c>
      <c r="F243" s="217">
        <v>67.91</v>
      </c>
      <c r="G243" s="192" t="s">
        <v>313</v>
      </c>
    </row>
    <row r="244" spans="1:7" s="205" customFormat="1" ht="43.5" customHeight="1">
      <c r="A244" s="214"/>
      <c r="B244" s="215"/>
      <c r="C244" s="216" t="s">
        <v>672</v>
      </c>
      <c r="D244" s="190" t="s">
        <v>406</v>
      </c>
      <c r="E244" s="217">
        <v>615748</v>
      </c>
      <c r="F244" s="217">
        <v>615747.65</v>
      </c>
      <c r="G244" s="192">
        <f>F244/E244*100</f>
        <v>99.99994315856488</v>
      </c>
    </row>
    <row r="245" spans="1:7" ht="27.75" customHeight="1">
      <c r="A245" s="222"/>
      <c r="B245" s="223" t="s">
        <v>687</v>
      </c>
      <c r="C245" s="224"/>
      <c r="D245" s="183" t="s">
        <v>134</v>
      </c>
      <c r="E245" s="226">
        <f>SUM(E246,E247,E248)</f>
        <v>138010</v>
      </c>
      <c r="F245" s="226">
        <f>SUM(F246,F247,F248)</f>
        <v>142490.15</v>
      </c>
      <c r="G245" s="185">
        <f>F245/E245*100</f>
        <v>103.24625027171943</v>
      </c>
    </row>
    <row r="246" spans="1:7" s="205" customFormat="1" ht="17.25" customHeight="1">
      <c r="A246" s="214"/>
      <c r="B246" s="215"/>
      <c r="C246" s="216" t="s">
        <v>610</v>
      </c>
      <c r="D246" s="206" t="s">
        <v>325</v>
      </c>
      <c r="E246" s="217">
        <v>66000</v>
      </c>
      <c r="F246" s="217">
        <v>70772.68</v>
      </c>
      <c r="G246" s="192">
        <f>F246/E246*100</f>
        <v>107.23133333333332</v>
      </c>
    </row>
    <row r="247" spans="1:7" s="205" customFormat="1" ht="17.25" customHeight="1" hidden="1">
      <c r="A247" s="214"/>
      <c r="B247" s="215"/>
      <c r="C247" s="216" t="s">
        <v>611</v>
      </c>
      <c r="D247" s="232" t="s">
        <v>323</v>
      </c>
      <c r="E247" s="217">
        <v>0</v>
      </c>
      <c r="F247" s="217"/>
      <c r="G247" s="192" t="s">
        <v>313</v>
      </c>
    </row>
    <row r="248" spans="1:7" ht="56.25" customHeight="1">
      <c r="A248" s="214"/>
      <c r="B248" s="215"/>
      <c r="C248" s="216" t="s">
        <v>688</v>
      </c>
      <c r="D248" s="190" t="s">
        <v>400</v>
      </c>
      <c r="E248" s="217">
        <v>72010</v>
      </c>
      <c r="F248" s="217">
        <v>71717.47</v>
      </c>
      <c r="G248" s="192">
        <f>F248/E248*100</f>
        <v>99.59376475489515</v>
      </c>
    </row>
    <row r="249" spans="1:7" ht="18" customHeight="1">
      <c r="A249" s="222"/>
      <c r="B249" s="223" t="s">
        <v>689</v>
      </c>
      <c r="C249" s="241"/>
      <c r="D249" s="183" t="s">
        <v>1433</v>
      </c>
      <c r="E249" s="226">
        <f>SUM(E250,E251,E252,E253)</f>
        <v>595920</v>
      </c>
      <c r="F249" s="226">
        <f>SUM(F250,F251,F252,F253)</f>
        <v>595918.84</v>
      </c>
      <c r="G249" s="185">
        <f>F249/E249*100</f>
        <v>99.99980534299905</v>
      </c>
    </row>
    <row r="250" spans="1:7" s="205" customFormat="1" ht="30.75" customHeight="1" hidden="1">
      <c r="A250" s="214"/>
      <c r="B250" s="215"/>
      <c r="C250" s="216" t="s">
        <v>613</v>
      </c>
      <c r="D250" s="190" t="s">
        <v>1348</v>
      </c>
      <c r="E250" s="217">
        <v>0</v>
      </c>
      <c r="F250" s="217">
        <v>0</v>
      </c>
      <c r="G250" s="192" t="s">
        <v>313</v>
      </c>
    </row>
    <row r="251" spans="1:7" s="205" customFormat="1" ht="55.5" customHeight="1">
      <c r="A251" s="214"/>
      <c r="B251" s="215"/>
      <c r="C251" s="216" t="s">
        <v>671</v>
      </c>
      <c r="D251" s="206" t="s">
        <v>414</v>
      </c>
      <c r="E251" s="217">
        <v>6000</v>
      </c>
      <c r="F251" s="217">
        <v>5998.84</v>
      </c>
      <c r="G251" s="192">
        <f>F251/E251*100</f>
        <v>99.98066666666668</v>
      </c>
    </row>
    <row r="252" spans="1:7" ht="42" customHeight="1">
      <c r="A252" s="214"/>
      <c r="B252" s="215"/>
      <c r="C252" s="216" t="s">
        <v>672</v>
      </c>
      <c r="D252" s="190" t="s">
        <v>406</v>
      </c>
      <c r="E252" s="217">
        <v>589920</v>
      </c>
      <c r="F252" s="217">
        <v>589920</v>
      </c>
      <c r="G252" s="192">
        <f>F252/E252*100</f>
        <v>100</v>
      </c>
    </row>
    <row r="253" spans="1:7" ht="54.75" customHeight="1" hidden="1">
      <c r="A253" s="214"/>
      <c r="B253" s="215"/>
      <c r="C253" s="202" t="s">
        <v>674</v>
      </c>
      <c r="D253" s="206" t="s">
        <v>711</v>
      </c>
      <c r="E253" s="217">
        <v>0</v>
      </c>
      <c r="F253" s="217">
        <v>0</v>
      </c>
      <c r="G253" s="192" t="e">
        <f>F253/E253*100</f>
        <v>#DIV/0!</v>
      </c>
    </row>
    <row r="254" spans="1:7" s="197" customFormat="1" ht="30" customHeight="1">
      <c r="A254" s="228" t="s">
        <v>125</v>
      </c>
      <c r="B254" s="229"/>
      <c r="C254" s="264"/>
      <c r="D254" s="244" t="s">
        <v>1016</v>
      </c>
      <c r="E254" s="209">
        <f>SUM(E255,E257)</f>
        <v>1095270</v>
      </c>
      <c r="F254" s="209">
        <f>SUM(F255,F257)</f>
        <v>1082216.28</v>
      </c>
      <c r="G254" s="179">
        <f>F254/E254*100</f>
        <v>98.80817332712482</v>
      </c>
    </row>
    <row r="255" spans="1:7" ht="30" customHeight="1">
      <c r="A255" s="222"/>
      <c r="B255" s="223" t="s">
        <v>1406</v>
      </c>
      <c r="C255" s="241"/>
      <c r="D255" s="225" t="s">
        <v>1407</v>
      </c>
      <c r="E255" s="226">
        <f>SUM(E256)</f>
        <v>0</v>
      </c>
      <c r="F255" s="226">
        <f>SUM(F256)</f>
        <v>13366.15</v>
      </c>
      <c r="G255" s="185" t="s">
        <v>313</v>
      </c>
    </row>
    <row r="256" spans="1:7" s="205" customFormat="1" ht="24" customHeight="1">
      <c r="A256" s="214"/>
      <c r="B256" s="215"/>
      <c r="C256" s="216" t="s">
        <v>612</v>
      </c>
      <c r="D256" s="190" t="s">
        <v>266</v>
      </c>
      <c r="E256" s="217">
        <v>0</v>
      </c>
      <c r="F256" s="217">
        <v>13366.15</v>
      </c>
      <c r="G256" s="192" t="s">
        <v>313</v>
      </c>
    </row>
    <row r="257" spans="1:7" ht="20.25" customHeight="1">
      <c r="A257" s="222"/>
      <c r="B257" s="223" t="s">
        <v>1020</v>
      </c>
      <c r="C257" s="241"/>
      <c r="D257" s="183" t="s">
        <v>1433</v>
      </c>
      <c r="E257" s="226">
        <f>SUM(E258,E259,E260,E262,E264)</f>
        <v>1095270</v>
      </c>
      <c r="F257" s="226">
        <f>SUM(F258,F259,F260,F262,F264)</f>
        <v>1068850.1300000001</v>
      </c>
      <c r="G257" s="185">
        <f>F257/E257*100</f>
        <v>97.58782126781526</v>
      </c>
    </row>
    <row r="258" spans="1:7" ht="21.75" customHeight="1" hidden="1">
      <c r="A258" s="222"/>
      <c r="B258" s="223"/>
      <c r="C258" s="216" t="s">
        <v>612</v>
      </c>
      <c r="D258" s="190" t="s">
        <v>266</v>
      </c>
      <c r="E258" s="217">
        <v>0</v>
      </c>
      <c r="F258" s="217">
        <v>0</v>
      </c>
      <c r="G258" s="192" t="s">
        <v>313</v>
      </c>
    </row>
    <row r="259" spans="1:7" ht="20.25" customHeight="1" hidden="1">
      <c r="A259" s="222"/>
      <c r="B259" s="223"/>
      <c r="C259" s="216" t="s">
        <v>1422</v>
      </c>
      <c r="D259" s="232" t="s">
        <v>323</v>
      </c>
      <c r="E259" s="217">
        <v>0</v>
      </c>
      <c r="F259" s="217"/>
      <c r="G259" s="192" t="s">
        <v>313</v>
      </c>
    </row>
    <row r="260" spans="1:7" ht="65.25" customHeight="1">
      <c r="A260" s="214"/>
      <c r="B260" s="215"/>
      <c r="C260" s="216" t="s">
        <v>631</v>
      </c>
      <c r="D260" s="190" t="s">
        <v>1113</v>
      </c>
      <c r="E260" s="217">
        <v>959770</v>
      </c>
      <c r="F260" s="217">
        <v>936394.55</v>
      </c>
      <c r="G260" s="192">
        <f>F260/E260*100</f>
        <v>97.56447378017651</v>
      </c>
    </row>
    <row r="261" spans="1:7" ht="14.25" customHeight="1">
      <c r="A261" s="214"/>
      <c r="B261" s="215"/>
      <c r="C261" s="216"/>
      <c r="D261" s="190" t="s">
        <v>632</v>
      </c>
      <c r="E261" s="217"/>
      <c r="F261" s="217"/>
      <c r="G261" s="192"/>
    </row>
    <row r="262" spans="1:7" ht="63.75" customHeight="1">
      <c r="A262" s="214"/>
      <c r="B262" s="215"/>
      <c r="C262" s="216" t="s">
        <v>848</v>
      </c>
      <c r="D262" s="190" t="s">
        <v>1113</v>
      </c>
      <c r="E262" s="217">
        <v>135500</v>
      </c>
      <c r="F262" s="217">
        <v>132335.38</v>
      </c>
      <c r="G262" s="192">
        <f>F262/E262*100</f>
        <v>97.66448708487086</v>
      </c>
    </row>
    <row r="263" spans="1:7" ht="75.75" customHeight="1">
      <c r="A263" s="214"/>
      <c r="B263" s="215"/>
      <c r="C263" s="216"/>
      <c r="D263" s="190" t="s">
        <v>514</v>
      </c>
      <c r="E263" s="217"/>
      <c r="F263" s="217"/>
      <c r="G263" s="192"/>
    </row>
    <row r="264" spans="1:7" s="205" customFormat="1" ht="67.5" customHeight="1">
      <c r="A264" s="214"/>
      <c r="B264" s="215"/>
      <c r="C264" s="189">
        <v>2910</v>
      </c>
      <c r="D264" s="190" t="s">
        <v>734</v>
      </c>
      <c r="E264" s="217">
        <v>0</v>
      </c>
      <c r="F264" s="217">
        <v>120.2</v>
      </c>
      <c r="G264" s="192" t="s">
        <v>313</v>
      </c>
    </row>
    <row r="265" spans="1:7" ht="21" customHeight="1">
      <c r="A265" s="228" t="s">
        <v>135</v>
      </c>
      <c r="B265" s="229"/>
      <c r="C265" s="229"/>
      <c r="D265" s="244" t="s">
        <v>139</v>
      </c>
      <c r="E265" s="209">
        <f>SUM(E266)</f>
        <v>167809</v>
      </c>
      <c r="F265" s="209">
        <f>SUM(F266)</f>
        <v>97218.36</v>
      </c>
      <c r="G265" s="179">
        <f aca="true" t="shared" si="13" ref="G265:G290">F265/E265*100</f>
        <v>57.93393679719204</v>
      </c>
    </row>
    <row r="266" spans="1:7" ht="17.25" customHeight="1">
      <c r="A266" s="222"/>
      <c r="B266" s="223" t="s">
        <v>213</v>
      </c>
      <c r="C266" s="223"/>
      <c r="D266" s="225" t="s">
        <v>214</v>
      </c>
      <c r="E266" s="226">
        <f>SUM(E267)</f>
        <v>167809</v>
      </c>
      <c r="F266" s="226">
        <f>SUM(F267)</f>
        <v>97218.36</v>
      </c>
      <c r="G266" s="185">
        <f t="shared" si="13"/>
        <v>57.93393679719204</v>
      </c>
    </row>
    <row r="267" spans="1:7" s="205" customFormat="1" ht="41.25" customHeight="1">
      <c r="A267" s="214"/>
      <c r="B267" s="215"/>
      <c r="C267" s="215" t="s">
        <v>672</v>
      </c>
      <c r="D267" s="190" t="s">
        <v>406</v>
      </c>
      <c r="E267" s="217">
        <v>167809</v>
      </c>
      <c r="F267" s="217">
        <v>97218.36</v>
      </c>
      <c r="G267" s="192">
        <f t="shared" si="13"/>
        <v>57.93393679719204</v>
      </c>
    </row>
    <row r="268" spans="1:7" s="205" customFormat="1" ht="29.25" customHeight="1">
      <c r="A268" s="228" t="s">
        <v>216</v>
      </c>
      <c r="B268" s="229"/>
      <c r="C268" s="229"/>
      <c r="D268" s="244" t="s">
        <v>326</v>
      </c>
      <c r="E268" s="209">
        <f>SUM(E269,E274,E279,E288,E281,E283,E290)</f>
        <v>24099154</v>
      </c>
      <c r="F268" s="209">
        <f>SUM(F269,F274,F279,F288,F281,F283,F290)</f>
        <v>21957756.2</v>
      </c>
      <c r="G268" s="179">
        <f t="shared" si="13"/>
        <v>91.11422002614698</v>
      </c>
    </row>
    <row r="269" spans="1:7" ht="21.75" customHeight="1" hidden="1">
      <c r="A269" s="222"/>
      <c r="B269" s="223" t="s">
        <v>692</v>
      </c>
      <c r="C269" s="241"/>
      <c r="D269" s="225" t="s">
        <v>693</v>
      </c>
      <c r="E269" s="226">
        <f>SUM(E270,E271,E272,E273)</f>
        <v>0</v>
      </c>
      <c r="F269" s="226">
        <f>SUM(F270,F271,F272,F273)</f>
        <v>0</v>
      </c>
      <c r="G269" s="185" t="e">
        <f t="shared" si="13"/>
        <v>#DIV/0!</v>
      </c>
    </row>
    <row r="270" spans="1:7" s="205" customFormat="1" ht="21.75" customHeight="1" hidden="1">
      <c r="A270" s="214"/>
      <c r="B270" s="215"/>
      <c r="C270" s="216" t="s">
        <v>570</v>
      </c>
      <c r="D270" s="190" t="s">
        <v>569</v>
      </c>
      <c r="E270" s="217">
        <v>0</v>
      </c>
      <c r="F270" s="217"/>
      <c r="G270" s="192" t="e">
        <f t="shared" si="13"/>
        <v>#DIV/0!</v>
      </c>
    </row>
    <row r="271" spans="1:7" s="205" customFormat="1" ht="21.75" customHeight="1" hidden="1">
      <c r="A271" s="214"/>
      <c r="B271" s="215"/>
      <c r="C271" s="216" t="s">
        <v>612</v>
      </c>
      <c r="D271" s="190" t="s">
        <v>266</v>
      </c>
      <c r="E271" s="217">
        <v>0</v>
      </c>
      <c r="F271" s="217"/>
      <c r="G271" s="192" t="e">
        <f t="shared" si="13"/>
        <v>#DIV/0!</v>
      </c>
    </row>
    <row r="272" spans="1:7" ht="30.75" customHeight="1" hidden="1">
      <c r="A272" s="214"/>
      <c r="B272" s="215"/>
      <c r="C272" s="216" t="s">
        <v>618</v>
      </c>
      <c r="D272" s="190" t="s">
        <v>413</v>
      </c>
      <c r="E272" s="217">
        <v>0</v>
      </c>
      <c r="F272" s="217"/>
      <c r="G272" s="192" t="e">
        <f t="shared" si="13"/>
        <v>#DIV/0!</v>
      </c>
    </row>
    <row r="273" spans="1:7" ht="54" customHeight="1" hidden="1">
      <c r="A273" s="214"/>
      <c r="B273" s="215"/>
      <c r="C273" s="216" t="s">
        <v>1032</v>
      </c>
      <c r="D273" s="190" t="s">
        <v>1036</v>
      </c>
      <c r="E273" s="217">
        <v>0</v>
      </c>
      <c r="F273" s="217">
        <v>0</v>
      </c>
      <c r="G273" s="192" t="e">
        <f t="shared" si="13"/>
        <v>#DIV/0!</v>
      </c>
    </row>
    <row r="274" spans="1:7" ht="18" customHeight="1">
      <c r="A274" s="222"/>
      <c r="B274" s="223" t="s">
        <v>1051</v>
      </c>
      <c r="C274" s="241"/>
      <c r="D274" s="225" t="s">
        <v>1052</v>
      </c>
      <c r="E274" s="226">
        <f>SUM(E275,E276,E277)</f>
        <v>2662885</v>
      </c>
      <c r="F274" s="226">
        <f>SUM(F275,F276,F277)</f>
        <v>548870.33</v>
      </c>
      <c r="G274" s="185">
        <f t="shared" si="13"/>
        <v>20.611867579711475</v>
      </c>
    </row>
    <row r="275" spans="1:7" s="205" customFormat="1" ht="27" customHeight="1">
      <c r="A275" s="214"/>
      <c r="B275" s="215"/>
      <c r="C275" s="216" t="s">
        <v>1347</v>
      </c>
      <c r="D275" s="206" t="s">
        <v>1346</v>
      </c>
      <c r="E275" s="217">
        <v>0</v>
      </c>
      <c r="F275" s="217">
        <v>1150</v>
      </c>
      <c r="G275" s="192" t="s">
        <v>313</v>
      </c>
    </row>
    <row r="276" spans="1:7" s="205" customFormat="1" ht="55.5" customHeight="1" hidden="1">
      <c r="A276" s="214"/>
      <c r="B276" s="215"/>
      <c r="C276" s="216" t="s">
        <v>1032</v>
      </c>
      <c r="D276" s="190" t="s">
        <v>1036</v>
      </c>
      <c r="E276" s="217">
        <v>0</v>
      </c>
      <c r="F276" s="217">
        <v>0</v>
      </c>
      <c r="G276" s="192" t="e">
        <f t="shared" si="13"/>
        <v>#DIV/0!</v>
      </c>
    </row>
    <row r="277" spans="1:7" ht="53.25" customHeight="1">
      <c r="A277" s="214"/>
      <c r="B277" s="215"/>
      <c r="C277" s="216" t="s">
        <v>1321</v>
      </c>
      <c r="D277" s="206" t="s">
        <v>711</v>
      </c>
      <c r="E277" s="217">
        <v>2662885</v>
      </c>
      <c r="F277" s="217">
        <v>547720.33</v>
      </c>
      <c r="G277" s="192">
        <f t="shared" si="13"/>
        <v>20.568681336219928</v>
      </c>
    </row>
    <row r="278" spans="1:7" ht="66" customHeight="1">
      <c r="A278" s="214"/>
      <c r="B278" s="215"/>
      <c r="C278" s="216"/>
      <c r="D278" s="190" t="s">
        <v>712</v>
      </c>
      <c r="E278" s="217"/>
      <c r="F278" s="217"/>
      <c r="G278" s="192"/>
    </row>
    <row r="279" spans="1:7" ht="23.25" customHeight="1">
      <c r="A279" s="181"/>
      <c r="B279" s="198" t="s">
        <v>645</v>
      </c>
      <c r="C279" s="265"/>
      <c r="D279" s="183" t="s">
        <v>646</v>
      </c>
      <c r="E279" s="200">
        <f>SUM(E280)</f>
        <v>6177615</v>
      </c>
      <c r="F279" s="200">
        <f>SUM(F280)</f>
        <v>6177614.71</v>
      </c>
      <c r="G279" s="185">
        <f t="shared" si="13"/>
        <v>99.9999953056317</v>
      </c>
    </row>
    <row r="280" spans="1:7" ht="21" customHeight="1">
      <c r="A280" s="187"/>
      <c r="B280" s="202"/>
      <c r="C280" s="227" t="s">
        <v>612</v>
      </c>
      <c r="D280" s="206" t="s">
        <v>266</v>
      </c>
      <c r="E280" s="204">
        <v>6177615</v>
      </c>
      <c r="F280" s="204">
        <v>6177614.71</v>
      </c>
      <c r="G280" s="192">
        <f t="shared" si="13"/>
        <v>99.9999953056317</v>
      </c>
    </row>
    <row r="281" spans="1:7" ht="23.25" customHeight="1">
      <c r="A281" s="181"/>
      <c r="B281" s="198" t="s">
        <v>218</v>
      </c>
      <c r="C281" s="265"/>
      <c r="D281" s="183" t="s">
        <v>219</v>
      </c>
      <c r="E281" s="200">
        <f>SUM(E282)</f>
        <v>0</v>
      </c>
      <c r="F281" s="200">
        <f>SUM(F282)</f>
        <v>10425.7</v>
      </c>
      <c r="G281" s="185" t="s">
        <v>313</v>
      </c>
    </row>
    <row r="282" spans="1:7" ht="21" customHeight="1">
      <c r="A282" s="187"/>
      <c r="B282" s="202"/>
      <c r="C282" s="227" t="s">
        <v>612</v>
      </c>
      <c r="D282" s="206" t="s">
        <v>266</v>
      </c>
      <c r="E282" s="204">
        <v>0</v>
      </c>
      <c r="F282" s="204">
        <v>10425.7</v>
      </c>
      <c r="G282" s="185" t="s">
        <v>313</v>
      </c>
    </row>
    <row r="283" spans="1:7" ht="26.25" customHeight="1">
      <c r="A283" s="181"/>
      <c r="B283" s="198" t="s">
        <v>929</v>
      </c>
      <c r="C283" s="265"/>
      <c r="D283" s="183" t="s">
        <v>510</v>
      </c>
      <c r="E283" s="200">
        <f>SUM(E284,E285,E286,E287)</f>
        <v>9257500</v>
      </c>
      <c r="F283" s="200">
        <f>SUM(F284,F285,F286,F287)</f>
        <v>9250978.809999999</v>
      </c>
      <c r="G283" s="185">
        <f t="shared" si="13"/>
        <v>99.92955776397514</v>
      </c>
    </row>
    <row r="284" spans="1:7" ht="27" customHeight="1">
      <c r="A284" s="187"/>
      <c r="B284" s="202"/>
      <c r="C284" s="227" t="s">
        <v>613</v>
      </c>
      <c r="D284" s="206" t="s">
        <v>1348</v>
      </c>
      <c r="E284" s="204">
        <v>50000</v>
      </c>
      <c r="F284" s="204">
        <v>50000</v>
      </c>
      <c r="G284" s="192">
        <f t="shared" si="13"/>
        <v>100</v>
      </c>
    </row>
    <row r="285" spans="1:7" ht="26.25" customHeight="1">
      <c r="A285" s="187"/>
      <c r="B285" s="202"/>
      <c r="C285" s="227" t="s">
        <v>1347</v>
      </c>
      <c r="D285" s="206" t="s">
        <v>1346</v>
      </c>
      <c r="E285" s="204">
        <v>6000</v>
      </c>
      <c r="F285" s="204">
        <v>6000</v>
      </c>
      <c r="G285" s="192">
        <f t="shared" si="13"/>
        <v>100</v>
      </c>
    </row>
    <row r="286" spans="1:7" ht="21" customHeight="1">
      <c r="A286" s="187"/>
      <c r="B286" s="202"/>
      <c r="C286" s="227" t="s">
        <v>614</v>
      </c>
      <c r="D286" s="190" t="s">
        <v>263</v>
      </c>
      <c r="E286" s="204">
        <v>9201500</v>
      </c>
      <c r="F286" s="204">
        <v>9194935.62</v>
      </c>
      <c r="G286" s="192">
        <f t="shared" si="13"/>
        <v>99.92865967505297</v>
      </c>
    </row>
    <row r="287" spans="1:7" ht="20.25" customHeight="1">
      <c r="A287" s="187"/>
      <c r="B287" s="202"/>
      <c r="C287" s="227" t="s">
        <v>611</v>
      </c>
      <c r="D287" s="190" t="s">
        <v>268</v>
      </c>
      <c r="E287" s="204">
        <v>0</v>
      </c>
      <c r="F287" s="204">
        <v>43.19</v>
      </c>
      <c r="G287" s="192" t="s">
        <v>313</v>
      </c>
    </row>
    <row r="288" spans="1:7" s="205" customFormat="1" ht="30.75" customHeight="1" hidden="1">
      <c r="A288" s="222"/>
      <c r="B288" s="223" t="s">
        <v>437</v>
      </c>
      <c r="C288" s="224"/>
      <c r="D288" s="225" t="s">
        <v>438</v>
      </c>
      <c r="E288" s="226">
        <f>E289</f>
        <v>0</v>
      </c>
      <c r="F288" s="226">
        <f>F289</f>
        <v>0</v>
      </c>
      <c r="G288" s="185" t="e">
        <f t="shared" si="13"/>
        <v>#DIV/0!</v>
      </c>
    </row>
    <row r="289" spans="1:7" s="205" customFormat="1" ht="22.5" customHeight="1" hidden="1">
      <c r="A289" s="214"/>
      <c r="B289" s="215"/>
      <c r="C289" s="216" t="s">
        <v>673</v>
      </c>
      <c r="D289" s="190" t="s">
        <v>439</v>
      </c>
      <c r="E289" s="217">
        <v>0</v>
      </c>
      <c r="F289" s="217">
        <v>0</v>
      </c>
      <c r="G289" s="192" t="e">
        <f t="shared" si="13"/>
        <v>#DIV/0!</v>
      </c>
    </row>
    <row r="290" spans="1:7" ht="20.25" customHeight="1">
      <c r="A290" s="266"/>
      <c r="B290" s="257" t="s">
        <v>220</v>
      </c>
      <c r="C290" s="257"/>
      <c r="D290" s="267" t="s">
        <v>1433</v>
      </c>
      <c r="E290" s="226">
        <f>SUM(E291,E292,E293,E294)</f>
        <v>6001154</v>
      </c>
      <c r="F290" s="260">
        <f>SUM(F291,F292,F293,F294)</f>
        <v>5969866.65</v>
      </c>
      <c r="G290" s="211">
        <f t="shared" si="13"/>
        <v>99.47864444071925</v>
      </c>
    </row>
    <row r="291" spans="1:7" ht="69.75" customHeight="1">
      <c r="A291" s="214"/>
      <c r="B291" s="215"/>
      <c r="C291" s="216" t="s">
        <v>615</v>
      </c>
      <c r="D291" s="190" t="s">
        <v>699</v>
      </c>
      <c r="E291" s="217">
        <v>2200</v>
      </c>
      <c r="F291" s="217">
        <v>2272.08</v>
      </c>
      <c r="G291" s="192">
        <f>F291/E291*100</f>
        <v>103.27636363636363</v>
      </c>
    </row>
    <row r="292" spans="1:7" s="205" customFormat="1" ht="21.75" customHeight="1">
      <c r="A292" s="214"/>
      <c r="B292" s="215"/>
      <c r="C292" s="216" t="s">
        <v>570</v>
      </c>
      <c r="D292" s="190" t="s">
        <v>569</v>
      </c>
      <c r="E292" s="217">
        <v>0</v>
      </c>
      <c r="F292" s="217">
        <v>1149.39</v>
      </c>
      <c r="G292" s="192" t="s">
        <v>313</v>
      </c>
    </row>
    <row r="293" spans="1:7" s="205" customFormat="1" ht="18.75" customHeight="1">
      <c r="A293" s="214"/>
      <c r="B293" s="215"/>
      <c r="C293" s="215" t="s">
        <v>611</v>
      </c>
      <c r="D293" s="232" t="s">
        <v>323</v>
      </c>
      <c r="E293" s="217">
        <v>0</v>
      </c>
      <c r="F293" s="217">
        <v>8.93</v>
      </c>
      <c r="G293" s="192" t="s">
        <v>313</v>
      </c>
    </row>
    <row r="294" spans="1:7" s="205" customFormat="1" ht="21.75" customHeight="1">
      <c r="A294" s="214"/>
      <c r="B294" s="215"/>
      <c r="C294" s="215" t="s">
        <v>612</v>
      </c>
      <c r="D294" s="232" t="s">
        <v>266</v>
      </c>
      <c r="E294" s="217">
        <v>5998954</v>
      </c>
      <c r="F294" s="217">
        <v>5966436.25</v>
      </c>
      <c r="G294" s="192">
        <f>F294/E294*100</f>
        <v>99.45794300139657</v>
      </c>
    </row>
    <row r="295" spans="1:7" s="197" customFormat="1" ht="27.75" customHeight="1">
      <c r="A295" s="228" t="s">
        <v>244</v>
      </c>
      <c r="B295" s="229"/>
      <c r="C295" s="229"/>
      <c r="D295" s="244" t="s">
        <v>1061</v>
      </c>
      <c r="E295" s="209">
        <f>SUM(E296,E299,E302)</f>
        <v>0</v>
      </c>
      <c r="F295" s="209">
        <f>SUM(F296,F299,F302)</f>
        <v>17788.21</v>
      </c>
      <c r="G295" s="192" t="s">
        <v>313</v>
      </c>
    </row>
    <row r="296" spans="1:7" ht="21.75" customHeight="1">
      <c r="A296" s="222"/>
      <c r="B296" s="223" t="s">
        <v>1062</v>
      </c>
      <c r="C296" s="223"/>
      <c r="D296" s="233" t="s">
        <v>1063</v>
      </c>
      <c r="E296" s="226">
        <f>SUM(E297,E298)</f>
        <v>0</v>
      </c>
      <c r="F296" s="226">
        <f>SUM(F297,F298)</f>
        <v>17788.21</v>
      </c>
      <c r="G296" s="192" t="s">
        <v>313</v>
      </c>
    </row>
    <row r="297" spans="1:7" s="205" customFormat="1" ht="21.75" customHeight="1">
      <c r="A297" s="214"/>
      <c r="B297" s="215"/>
      <c r="C297" s="215" t="s">
        <v>612</v>
      </c>
      <c r="D297" s="232" t="s">
        <v>266</v>
      </c>
      <c r="E297" s="217">
        <v>0</v>
      </c>
      <c r="F297" s="217">
        <v>11788.22</v>
      </c>
      <c r="G297" s="192" t="s">
        <v>313</v>
      </c>
    </row>
    <row r="298" spans="1:7" s="205" customFormat="1" ht="69.75" customHeight="1">
      <c r="A298" s="214"/>
      <c r="B298" s="215"/>
      <c r="C298" s="215" t="s">
        <v>452</v>
      </c>
      <c r="D298" s="190" t="s">
        <v>734</v>
      </c>
      <c r="E298" s="217">
        <v>0</v>
      </c>
      <c r="F298" s="217">
        <v>5999.99</v>
      </c>
      <c r="G298" s="192" t="s">
        <v>313</v>
      </c>
    </row>
    <row r="299" spans="1:7" ht="21.75" customHeight="1" hidden="1">
      <c r="A299" s="222"/>
      <c r="B299" s="223" t="s">
        <v>708</v>
      </c>
      <c r="C299" s="223"/>
      <c r="D299" s="233" t="s">
        <v>709</v>
      </c>
      <c r="E299" s="226">
        <f>SUM(E300,E301)</f>
        <v>0</v>
      </c>
      <c r="F299" s="226">
        <f>SUM(F300,F301)</f>
        <v>0</v>
      </c>
      <c r="G299" s="192" t="e">
        <f aca="true" t="shared" si="14" ref="G299:G305">F299/E299*100</f>
        <v>#DIV/0!</v>
      </c>
    </row>
    <row r="300" spans="1:7" s="205" customFormat="1" ht="30.75" customHeight="1" hidden="1">
      <c r="A300" s="214"/>
      <c r="B300" s="215"/>
      <c r="C300" s="216" t="s">
        <v>613</v>
      </c>
      <c r="D300" s="190" t="s">
        <v>1348</v>
      </c>
      <c r="E300" s="217"/>
      <c r="F300" s="217"/>
      <c r="G300" s="192" t="e">
        <f t="shared" si="14"/>
        <v>#DIV/0!</v>
      </c>
    </row>
    <row r="301" spans="1:7" s="205" customFormat="1" ht="29.25" customHeight="1" hidden="1">
      <c r="A301" s="214"/>
      <c r="B301" s="215"/>
      <c r="C301" s="216" t="s">
        <v>1347</v>
      </c>
      <c r="D301" s="206" t="s">
        <v>1346</v>
      </c>
      <c r="E301" s="217"/>
      <c r="F301" s="217"/>
      <c r="G301" s="192" t="e">
        <f t="shared" si="14"/>
        <v>#DIV/0!</v>
      </c>
    </row>
    <row r="302" spans="1:7" ht="21.75" customHeight="1" hidden="1">
      <c r="A302" s="222"/>
      <c r="B302" s="223" t="s">
        <v>1068</v>
      </c>
      <c r="C302" s="223"/>
      <c r="D302" s="233" t="s">
        <v>1433</v>
      </c>
      <c r="E302" s="226">
        <v>0</v>
      </c>
      <c r="F302" s="226">
        <v>0</v>
      </c>
      <c r="G302" s="192" t="e">
        <f t="shared" si="14"/>
        <v>#DIV/0!</v>
      </c>
    </row>
    <row r="303" spans="1:7" s="205" customFormat="1" ht="22.5" customHeight="1" hidden="1">
      <c r="A303" s="214"/>
      <c r="B303" s="215"/>
      <c r="C303" s="215" t="s">
        <v>612</v>
      </c>
      <c r="D303" s="232" t="s">
        <v>266</v>
      </c>
      <c r="E303" s="217"/>
      <c r="F303" s="217"/>
      <c r="G303" s="192" t="e">
        <f t="shared" si="14"/>
        <v>#DIV/0!</v>
      </c>
    </row>
    <row r="304" spans="1:7" ht="21" customHeight="1">
      <c r="A304" s="228" t="s">
        <v>245</v>
      </c>
      <c r="B304" s="229"/>
      <c r="C304" s="264"/>
      <c r="D304" s="244" t="s">
        <v>246</v>
      </c>
      <c r="E304" s="209">
        <f>SUM(E305,E312,E315)</f>
        <v>48000</v>
      </c>
      <c r="F304" s="209">
        <f>SUM(F305,F312,F315)</f>
        <v>50522.43</v>
      </c>
      <c r="G304" s="179">
        <f t="shared" si="14"/>
        <v>105.25506250000001</v>
      </c>
    </row>
    <row r="305" spans="1:7" s="205" customFormat="1" ht="18" customHeight="1">
      <c r="A305" s="222"/>
      <c r="B305" s="223" t="s">
        <v>250</v>
      </c>
      <c r="C305" s="241"/>
      <c r="D305" s="225" t="s">
        <v>251</v>
      </c>
      <c r="E305" s="226">
        <f>SUM(E306,E307,E308,E309,E310,E311)</f>
        <v>48000</v>
      </c>
      <c r="F305" s="226">
        <f>SUM(F306,F307,F308,F309,F310,F311)</f>
        <v>50522.43</v>
      </c>
      <c r="G305" s="185">
        <f t="shared" si="14"/>
        <v>105.25506250000001</v>
      </c>
    </row>
    <row r="306" spans="1:7" s="205" customFormat="1" ht="30.75" customHeight="1">
      <c r="A306" s="214"/>
      <c r="B306" s="215"/>
      <c r="C306" s="216" t="s">
        <v>613</v>
      </c>
      <c r="D306" s="190" t="s">
        <v>1348</v>
      </c>
      <c r="E306" s="217">
        <v>0</v>
      </c>
      <c r="F306" s="217">
        <v>32.94</v>
      </c>
      <c r="G306" s="192" t="s">
        <v>313</v>
      </c>
    </row>
    <row r="307" spans="1:7" s="205" customFormat="1" ht="29.25" customHeight="1">
      <c r="A307" s="214"/>
      <c r="B307" s="215"/>
      <c r="C307" s="216" t="s">
        <v>1347</v>
      </c>
      <c r="D307" s="206" t="s">
        <v>1346</v>
      </c>
      <c r="E307" s="217">
        <v>0</v>
      </c>
      <c r="F307" s="217">
        <v>1644.56</v>
      </c>
      <c r="G307" s="192" t="s">
        <v>313</v>
      </c>
    </row>
    <row r="308" spans="1:7" s="205" customFormat="1" ht="21.75" customHeight="1">
      <c r="A308" s="268"/>
      <c r="B308" s="269"/>
      <c r="C308" s="269" t="s">
        <v>612</v>
      </c>
      <c r="D308" s="270" t="s">
        <v>266</v>
      </c>
      <c r="E308" s="271">
        <v>48000</v>
      </c>
      <c r="F308" s="271">
        <v>48844.93</v>
      </c>
      <c r="G308" s="272">
        <f>F308/E308*100</f>
        <v>101.76027083333335</v>
      </c>
    </row>
    <row r="309" spans="1:7" s="197" customFormat="1" ht="52.5" customHeight="1" hidden="1">
      <c r="A309" s="222"/>
      <c r="B309" s="223"/>
      <c r="C309" s="215" t="s">
        <v>1032</v>
      </c>
      <c r="D309" s="190" t="s">
        <v>1036</v>
      </c>
      <c r="E309" s="217">
        <v>0</v>
      </c>
      <c r="F309" s="217"/>
      <c r="G309" s="192" t="e">
        <f>F309/E309*100</f>
        <v>#DIV/0!</v>
      </c>
    </row>
    <row r="310" spans="1:7" s="197" customFormat="1" ht="54" customHeight="1" hidden="1">
      <c r="A310" s="222"/>
      <c r="B310" s="223"/>
      <c r="C310" s="215" t="s">
        <v>1033</v>
      </c>
      <c r="D310" s="190" t="s">
        <v>1046</v>
      </c>
      <c r="E310" s="217">
        <v>0</v>
      </c>
      <c r="F310" s="217">
        <v>0</v>
      </c>
      <c r="G310" s="192" t="e">
        <f>F310/E310*100</f>
        <v>#DIV/0!</v>
      </c>
    </row>
    <row r="311" spans="1:7" s="262" customFormat="1" ht="42" customHeight="1" hidden="1">
      <c r="A311" s="237"/>
      <c r="B311" s="238"/>
      <c r="C311" s="250" t="s">
        <v>669</v>
      </c>
      <c r="D311" s="251" t="s">
        <v>427</v>
      </c>
      <c r="E311" s="240">
        <v>0</v>
      </c>
      <c r="F311" s="240">
        <v>0</v>
      </c>
      <c r="G311" s="220" t="e">
        <f>F311/E311*100</f>
        <v>#DIV/0!</v>
      </c>
    </row>
    <row r="312" spans="1:7" ht="19.5" customHeight="1" hidden="1">
      <c r="A312" s="222"/>
      <c r="B312" s="257" t="s">
        <v>252</v>
      </c>
      <c r="C312" s="414"/>
      <c r="D312" s="415" t="s">
        <v>253</v>
      </c>
      <c r="E312" s="260">
        <f>SUM(E313,E314)</f>
        <v>0</v>
      </c>
      <c r="F312" s="260">
        <f>SUM(F313,F314)</f>
        <v>0</v>
      </c>
      <c r="G312" s="211" t="s">
        <v>313</v>
      </c>
    </row>
    <row r="313" spans="1:7" s="205" customFormat="1" ht="22.5" customHeight="1" hidden="1">
      <c r="A313" s="268"/>
      <c r="B313" s="269"/>
      <c r="C313" s="269" t="s">
        <v>612</v>
      </c>
      <c r="D313" s="270" t="s">
        <v>266</v>
      </c>
      <c r="E313" s="271"/>
      <c r="F313" s="271"/>
      <c r="G313" s="272" t="s">
        <v>313</v>
      </c>
    </row>
    <row r="314" spans="1:7" ht="41.25" customHeight="1" hidden="1">
      <c r="A314" s="268"/>
      <c r="B314" s="410"/>
      <c r="C314" s="411" t="s">
        <v>452</v>
      </c>
      <c r="D314" s="409" t="s">
        <v>453</v>
      </c>
      <c r="E314" s="412">
        <v>0</v>
      </c>
      <c r="F314" s="412"/>
      <c r="G314" s="413" t="e">
        <f>F314/E314*100</f>
        <v>#DIV/0!</v>
      </c>
    </row>
    <row r="315" spans="1:7" ht="21.75" customHeight="1" hidden="1">
      <c r="A315" s="222"/>
      <c r="B315" s="257" t="s">
        <v>1034</v>
      </c>
      <c r="C315" s="414"/>
      <c r="D315" s="415" t="s">
        <v>1433</v>
      </c>
      <c r="E315" s="260">
        <f>SUM(E316)</f>
        <v>0</v>
      </c>
      <c r="F315" s="260">
        <f>SUM(F316)</f>
        <v>0</v>
      </c>
      <c r="G315" s="211" t="e">
        <f>F315/E315*100</f>
        <v>#DIV/0!</v>
      </c>
    </row>
    <row r="316" spans="1:7" ht="44.25" customHeight="1" hidden="1">
      <c r="A316" s="268"/>
      <c r="B316" s="410"/>
      <c r="C316" s="411" t="s">
        <v>1035</v>
      </c>
      <c r="D316" s="416" t="s">
        <v>1048</v>
      </c>
      <c r="E316" s="412">
        <v>0</v>
      </c>
      <c r="F316" s="412"/>
      <c r="G316" s="413" t="e">
        <f>F316/E316*100</f>
        <v>#DIV/0!</v>
      </c>
    </row>
    <row r="317" spans="1:7" s="275" customFormat="1" ht="19.5" customHeight="1">
      <c r="A317" s="1418" t="s">
        <v>265</v>
      </c>
      <c r="B317" s="1419"/>
      <c r="C317" s="1419"/>
      <c r="D317" s="1420"/>
      <c r="E317" s="273">
        <f>SUM(E318,E321,E338,E342,E350,E361,E367,E374,E393,E399,E384,E415,E429,E443)</f>
        <v>62683175</v>
      </c>
      <c r="F317" s="273">
        <f>SUM(F318,F321,F338,F342,F350,F361,F367,F374,F393,F399,F384,F415,F429,F443)</f>
        <v>61690794.56</v>
      </c>
      <c r="G317" s="274">
        <f aca="true" t="shared" si="15" ref="G317:G335">F317/E317*100</f>
        <v>98.41683124698135</v>
      </c>
    </row>
    <row r="318" spans="1:7" s="417" customFormat="1" ht="16.5" customHeight="1" hidden="1">
      <c r="A318" s="175" t="s">
        <v>1432</v>
      </c>
      <c r="B318" s="176"/>
      <c r="C318" s="176"/>
      <c r="D318" s="177" t="s">
        <v>891</v>
      </c>
      <c r="E318" s="178">
        <f>SUM(E319)</f>
        <v>0</v>
      </c>
      <c r="F318" s="178">
        <f>SUM(F319)</f>
        <v>0</v>
      </c>
      <c r="G318" s="179" t="e">
        <f t="shared" si="15"/>
        <v>#DIV/0!</v>
      </c>
    </row>
    <row r="319" spans="1:7" s="277" customFormat="1" ht="30.75" customHeight="1" hidden="1">
      <c r="A319" s="181"/>
      <c r="B319" s="182" t="s">
        <v>544</v>
      </c>
      <c r="C319" s="182"/>
      <c r="D319" s="1313" t="s">
        <v>546</v>
      </c>
      <c r="E319" s="184">
        <f>SUM(E320)</f>
        <v>0</v>
      </c>
      <c r="F319" s="184">
        <f>SUM(F320)</f>
        <v>0</v>
      </c>
      <c r="G319" s="185" t="e">
        <f t="shared" si="15"/>
        <v>#DIV/0!</v>
      </c>
    </row>
    <row r="320" spans="1:7" s="277" customFormat="1" ht="59.25" customHeight="1" hidden="1">
      <c r="A320" s="187"/>
      <c r="B320" s="188"/>
      <c r="C320" s="188" t="s">
        <v>545</v>
      </c>
      <c r="D320" s="206" t="s">
        <v>385</v>
      </c>
      <c r="E320" s="191">
        <v>0</v>
      </c>
      <c r="F320" s="191">
        <v>0</v>
      </c>
      <c r="G320" s="192" t="e">
        <f t="shared" si="15"/>
        <v>#DIV/0!</v>
      </c>
    </row>
    <row r="321" spans="1:7" s="276" customFormat="1" ht="21.75" customHeight="1">
      <c r="A321" s="175" t="s">
        <v>67</v>
      </c>
      <c r="B321" s="194"/>
      <c r="C321" s="194"/>
      <c r="D321" s="207" t="s">
        <v>68</v>
      </c>
      <c r="E321" s="196">
        <f>SUM(E322,E326)</f>
        <v>3318065</v>
      </c>
      <c r="F321" s="196">
        <f>SUM(F322,F326)</f>
        <v>2833467.6100000003</v>
      </c>
      <c r="G321" s="179">
        <f t="shared" si="15"/>
        <v>85.39518092623261</v>
      </c>
    </row>
    <row r="322" spans="1:7" s="277" customFormat="1" ht="19.5" customHeight="1" hidden="1">
      <c r="A322" s="181"/>
      <c r="B322" s="198" t="s">
        <v>97</v>
      </c>
      <c r="C322" s="198"/>
      <c r="D322" s="183" t="s">
        <v>1322</v>
      </c>
      <c r="E322" s="200">
        <f>SUM(E323,E324)</f>
        <v>0</v>
      </c>
      <c r="F322" s="200">
        <f>SUM(F323,F324)</f>
        <v>0</v>
      </c>
      <c r="G322" s="192" t="e">
        <f t="shared" si="15"/>
        <v>#DIV/0!</v>
      </c>
    </row>
    <row r="323" spans="1:7" s="221" customFormat="1" ht="30" customHeight="1" hidden="1">
      <c r="A323" s="187"/>
      <c r="B323" s="202"/>
      <c r="C323" s="202" t="s">
        <v>613</v>
      </c>
      <c r="D323" s="206" t="s">
        <v>1348</v>
      </c>
      <c r="E323" s="204">
        <v>0</v>
      </c>
      <c r="F323" s="204">
        <v>0</v>
      </c>
      <c r="G323" s="192" t="e">
        <f t="shared" si="15"/>
        <v>#DIV/0!</v>
      </c>
    </row>
    <row r="324" spans="1:7" s="221" customFormat="1" ht="54" customHeight="1" hidden="1">
      <c r="A324" s="187"/>
      <c r="B324" s="202"/>
      <c r="C324" s="202" t="s">
        <v>1321</v>
      </c>
      <c r="D324" s="206" t="s">
        <v>96</v>
      </c>
      <c r="E324" s="204">
        <v>0</v>
      </c>
      <c r="F324" s="204">
        <v>0</v>
      </c>
      <c r="G324" s="185" t="e">
        <f t="shared" si="15"/>
        <v>#DIV/0!</v>
      </c>
    </row>
    <row r="325" spans="1:7" s="221" customFormat="1" ht="65.25" customHeight="1" hidden="1">
      <c r="A325" s="187"/>
      <c r="B325" s="202"/>
      <c r="C325" s="202"/>
      <c r="D325" s="206" t="s">
        <v>790</v>
      </c>
      <c r="E325" s="204"/>
      <c r="F325" s="204"/>
      <c r="G325" s="185" t="e">
        <f t="shared" si="15"/>
        <v>#DIV/0!</v>
      </c>
    </row>
    <row r="326" spans="1:7" s="277" customFormat="1" ht="39" customHeight="1">
      <c r="A326" s="181"/>
      <c r="B326" s="198" t="s">
        <v>69</v>
      </c>
      <c r="C326" s="198"/>
      <c r="D326" s="183" t="s">
        <v>654</v>
      </c>
      <c r="E326" s="200">
        <f>SUM(E327,E328,E329,E330,E331,E332,E333,E335,E337)</f>
        <v>3318065</v>
      </c>
      <c r="F326" s="200">
        <f>SUM(F327,F328,F329,F330,F331,F332,F333,F335,F337)</f>
        <v>2833467.6100000003</v>
      </c>
      <c r="G326" s="185">
        <f t="shared" si="15"/>
        <v>85.39518092623261</v>
      </c>
    </row>
    <row r="327" spans="1:7" s="221" customFormat="1" ht="27" customHeight="1">
      <c r="A327" s="187"/>
      <c r="B327" s="202"/>
      <c r="C327" s="202" t="s">
        <v>613</v>
      </c>
      <c r="D327" s="206" t="s">
        <v>1348</v>
      </c>
      <c r="E327" s="204">
        <v>0</v>
      </c>
      <c r="F327" s="204">
        <v>71.76</v>
      </c>
      <c r="G327" s="192" t="s">
        <v>313</v>
      </c>
    </row>
    <row r="328" spans="1:7" s="221" customFormat="1" ht="27.75" customHeight="1">
      <c r="A328" s="187"/>
      <c r="B328" s="202"/>
      <c r="C328" s="202" t="s">
        <v>1347</v>
      </c>
      <c r="D328" s="206" t="s">
        <v>1346</v>
      </c>
      <c r="E328" s="204">
        <v>34000</v>
      </c>
      <c r="F328" s="204">
        <v>245861.08</v>
      </c>
      <c r="G328" s="192">
        <f t="shared" si="15"/>
        <v>723.1208235294117</v>
      </c>
    </row>
    <row r="329" spans="1:7" s="221" customFormat="1" ht="18.75" customHeight="1">
      <c r="A329" s="187"/>
      <c r="B329" s="202"/>
      <c r="C329" s="215" t="s">
        <v>611</v>
      </c>
      <c r="D329" s="232" t="s">
        <v>323</v>
      </c>
      <c r="E329" s="204">
        <v>0</v>
      </c>
      <c r="F329" s="204">
        <v>747.95</v>
      </c>
      <c r="G329" s="192" t="s">
        <v>313</v>
      </c>
    </row>
    <row r="330" spans="1:7" s="221" customFormat="1" ht="18" customHeight="1">
      <c r="A330" s="187"/>
      <c r="B330" s="202"/>
      <c r="C330" s="202" t="s">
        <v>612</v>
      </c>
      <c r="D330" s="206" t="s">
        <v>266</v>
      </c>
      <c r="E330" s="204">
        <v>0</v>
      </c>
      <c r="F330" s="204">
        <v>2049.58</v>
      </c>
      <c r="G330" s="185" t="s">
        <v>313</v>
      </c>
    </row>
    <row r="331" spans="1:7" s="221" customFormat="1" ht="41.25" customHeight="1">
      <c r="A331" s="187"/>
      <c r="B331" s="202"/>
      <c r="C331" s="202" t="s">
        <v>57</v>
      </c>
      <c r="D331" s="206" t="s">
        <v>932</v>
      </c>
      <c r="E331" s="204">
        <v>0</v>
      </c>
      <c r="F331" s="204">
        <v>270047.04</v>
      </c>
      <c r="G331" s="185" t="s">
        <v>313</v>
      </c>
    </row>
    <row r="332" spans="1:7" s="221" customFormat="1" ht="51" customHeight="1">
      <c r="A332" s="187"/>
      <c r="B332" s="202"/>
      <c r="C332" s="202" t="s">
        <v>674</v>
      </c>
      <c r="D332" s="206" t="s">
        <v>711</v>
      </c>
      <c r="E332" s="191">
        <v>846820</v>
      </c>
      <c r="F332" s="191">
        <v>674604.1</v>
      </c>
      <c r="G332" s="220">
        <f t="shared" si="15"/>
        <v>79.66322240854018</v>
      </c>
    </row>
    <row r="333" spans="1:7" s="221" customFormat="1" ht="51" customHeight="1">
      <c r="A333" s="187"/>
      <c r="B333" s="278"/>
      <c r="C333" s="202" t="s">
        <v>1321</v>
      </c>
      <c r="D333" s="206" t="s">
        <v>711</v>
      </c>
      <c r="E333" s="191">
        <v>2437245</v>
      </c>
      <c r="F333" s="191">
        <v>1640086.1</v>
      </c>
      <c r="G333" s="220">
        <f t="shared" si="15"/>
        <v>67.29262343342586</v>
      </c>
    </row>
    <row r="334" spans="1:7" s="221" customFormat="1" ht="75" customHeight="1">
      <c r="A334" s="187"/>
      <c r="B334" s="278"/>
      <c r="C334" s="202"/>
      <c r="D334" s="190" t="s">
        <v>712</v>
      </c>
      <c r="E334" s="191"/>
      <c r="F334" s="191"/>
      <c r="G334" s="220"/>
    </row>
    <row r="335" spans="1:7" s="221" customFormat="1" ht="57" customHeight="1" hidden="1">
      <c r="A335" s="187"/>
      <c r="B335" s="278"/>
      <c r="C335" s="202" t="s">
        <v>1246</v>
      </c>
      <c r="D335" s="206" t="s">
        <v>874</v>
      </c>
      <c r="E335" s="191">
        <v>0</v>
      </c>
      <c r="F335" s="191"/>
      <c r="G335" s="220" t="e">
        <f t="shared" si="15"/>
        <v>#DIV/0!</v>
      </c>
    </row>
    <row r="336" spans="1:7" s="221" customFormat="1" ht="30" customHeight="1" hidden="1">
      <c r="A336" s="187"/>
      <c r="B336" s="278"/>
      <c r="C336" s="202"/>
      <c r="D336" s="206" t="s">
        <v>875</v>
      </c>
      <c r="E336" s="191"/>
      <c r="F336" s="191"/>
      <c r="G336" s="192"/>
    </row>
    <row r="337" spans="1:7" s="221" customFormat="1" ht="40.5" customHeight="1" hidden="1">
      <c r="A337" s="187"/>
      <c r="B337" s="278"/>
      <c r="C337" s="202" t="s">
        <v>237</v>
      </c>
      <c r="D337" s="206" t="s">
        <v>238</v>
      </c>
      <c r="E337" s="191">
        <v>0</v>
      </c>
      <c r="F337" s="191"/>
      <c r="G337" s="192" t="e">
        <f>F337/E337*100</f>
        <v>#DIV/0!</v>
      </c>
    </row>
    <row r="338" spans="1:7" s="276" customFormat="1" ht="20.25" customHeight="1">
      <c r="A338" s="175" t="s">
        <v>74</v>
      </c>
      <c r="B338" s="279"/>
      <c r="C338" s="194"/>
      <c r="D338" s="195" t="s">
        <v>75</v>
      </c>
      <c r="E338" s="196">
        <f>SUM(E339)</f>
        <v>44000</v>
      </c>
      <c r="F338" s="196">
        <f>SUM(F339)</f>
        <v>39128.15</v>
      </c>
      <c r="G338" s="179">
        <f>F338/E338*100</f>
        <v>88.92761363636365</v>
      </c>
    </row>
    <row r="339" spans="1:7" s="277" customFormat="1" ht="21" customHeight="1">
      <c r="A339" s="187"/>
      <c r="B339" s="213" t="s">
        <v>76</v>
      </c>
      <c r="C339" s="213"/>
      <c r="D339" s="280" t="s">
        <v>77</v>
      </c>
      <c r="E339" s="210">
        <f>SUM(E340,E341)</f>
        <v>44000</v>
      </c>
      <c r="F339" s="210">
        <f>SUM(F340,F341)</f>
        <v>39128.15</v>
      </c>
      <c r="G339" s="211">
        <f>F339/E339*100</f>
        <v>88.92761363636365</v>
      </c>
    </row>
    <row r="340" spans="1:7" s="193" customFormat="1" ht="55.5" customHeight="1">
      <c r="A340" s="187"/>
      <c r="B340" s="188"/>
      <c r="C340" s="189">
        <v>2110</v>
      </c>
      <c r="D340" s="190" t="s">
        <v>385</v>
      </c>
      <c r="E340" s="191">
        <v>43878</v>
      </c>
      <c r="F340" s="191">
        <v>39006.15</v>
      </c>
      <c r="G340" s="192">
        <f>F340/E340*100</f>
        <v>88.89682756734582</v>
      </c>
    </row>
    <row r="341" spans="1:7" s="205" customFormat="1" ht="55.5" customHeight="1">
      <c r="A341" s="214"/>
      <c r="B341" s="215"/>
      <c r="C341" s="189">
        <v>6410</v>
      </c>
      <c r="D341" s="190" t="s">
        <v>1337</v>
      </c>
      <c r="E341" s="217">
        <v>122</v>
      </c>
      <c r="F341" s="217">
        <v>122</v>
      </c>
      <c r="G341" s="192">
        <f>F341/E341*100</f>
        <v>100</v>
      </c>
    </row>
    <row r="342" spans="1:7" s="277" customFormat="1" ht="19.5" customHeight="1">
      <c r="A342" s="175" t="s">
        <v>78</v>
      </c>
      <c r="B342" s="194"/>
      <c r="C342" s="281"/>
      <c r="D342" s="195" t="s">
        <v>79</v>
      </c>
      <c r="E342" s="196">
        <f>SUM(E343,E345,E348)</f>
        <v>493780</v>
      </c>
      <c r="F342" s="196">
        <f>SUM(F343,F345,F348)</f>
        <v>493774.77</v>
      </c>
      <c r="G342" s="179">
        <f aca="true" t="shared" si="16" ref="G342:G348">F342/E342*100</f>
        <v>99.99894082384868</v>
      </c>
    </row>
    <row r="343" spans="1:7" s="277" customFormat="1" ht="19.5" customHeight="1">
      <c r="A343" s="181"/>
      <c r="B343" s="198" t="s">
        <v>80</v>
      </c>
      <c r="C343" s="198"/>
      <c r="D343" s="199" t="s">
        <v>387</v>
      </c>
      <c r="E343" s="200">
        <f>E344</f>
        <v>121197</v>
      </c>
      <c r="F343" s="200">
        <f>F344</f>
        <v>121197</v>
      </c>
      <c r="G343" s="185">
        <f t="shared" si="16"/>
        <v>100</v>
      </c>
    </row>
    <row r="344" spans="1:7" s="221" customFormat="1" ht="54.75" customHeight="1">
      <c r="A344" s="187"/>
      <c r="B344" s="202"/>
      <c r="C344" s="202" t="s">
        <v>545</v>
      </c>
      <c r="D344" s="206" t="s">
        <v>385</v>
      </c>
      <c r="E344" s="204">
        <v>121197</v>
      </c>
      <c r="F344" s="204">
        <v>121197</v>
      </c>
      <c r="G344" s="192">
        <f t="shared" si="16"/>
        <v>100</v>
      </c>
    </row>
    <row r="345" spans="1:7" s="277" customFormat="1" ht="19.5" customHeight="1">
      <c r="A345" s="181"/>
      <c r="B345" s="198" t="s">
        <v>81</v>
      </c>
      <c r="C345" s="198"/>
      <c r="D345" s="183" t="s">
        <v>82</v>
      </c>
      <c r="E345" s="200">
        <f>SUM(E346,E347)</f>
        <v>11000</v>
      </c>
      <c r="F345" s="200">
        <f>SUM(F346,F347)</f>
        <v>11000</v>
      </c>
      <c r="G345" s="185">
        <f t="shared" si="16"/>
        <v>100</v>
      </c>
    </row>
    <row r="346" spans="1:7" s="221" customFormat="1" ht="28.5" customHeight="1" hidden="1">
      <c r="A346" s="187"/>
      <c r="B346" s="202"/>
      <c r="C346" s="202" t="s">
        <v>613</v>
      </c>
      <c r="D346" s="206" t="s">
        <v>1348</v>
      </c>
      <c r="E346" s="204">
        <v>0</v>
      </c>
      <c r="F346" s="204">
        <v>0</v>
      </c>
      <c r="G346" s="192" t="s">
        <v>313</v>
      </c>
    </row>
    <row r="347" spans="1:7" s="221" customFormat="1" ht="60.75" customHeight="1">
      <c r="A347" s="187"/>
      <c r="B347" s="202"/>
      <c r="C347" s="202" t="s">
        <v>545</v>
      </c>
      <c r="D347" s="206" t="s">
        <v>385</v>
      </c>
      <c r="E347" s="204">
        <v>11000</v>
      </c>
      <c r="F347" s="204">
        <v>11000</v>
      </c>
      <c r="G347" s="192">
        <f t="shared" si="16"/>
        <v>100</v>
      </c>
    </row>
    <row r="348" spans="1:7" s="277" customFormat="1" ht="19.5" customHeight="1">
      <c r="A348" s="181"/>
      <c r="B348" s="198" t="s">
        <v>83</v>
      </c>
      <c r="C348" s="198"/>
      <c r="D348" s="199" t="s">
        <v>87</v>
      </c>
      <c r="E348" s="200">
        <f>SUM(E349)</f>
        <v>361583</v>
      </c>
      <c r="F348" s="200">
        <f>SUM(F349)</f>
        <v>361577.77</v>
      </c>
      <c r="G348" s="185">
        <f t="shared" si="16"/>
        <v>99.99855358244166</v>
      </c>
    </row>
    <row r="349" spans="1:7" s="221" customFormat="1" ht="60" customHeight="1">
      <c r="A349" s="187"/>
      <c r="B349" s="202"/>
      <c r="C349" s="202" t="s">
        <v>545</v>
      </c>
      <c r="D349" s="206" t="s">
        <v>385</v>
      </c>
      <c r="E349" s="204">
        <v>361583</v>
      </c>
      <c r="F349" s="204">
        <v>361577.77</v>
      </c>
      <c r="G349" s="192">
        <f>F349/E349*100</f>
        <v>99.99855358244166</v>
      </c>
    </row>
    <row r="350" spans="1:7" s="276" customFormat="1" ht="19.5" customHeight="1">
      <c r="A350" s="175" t="s">
        <v>90</v>
      </c>
      <c r="B350" s="194"/>
      <c r="C350" s="194"/>
      <c r="D350" s="195" t="s">
        <v>91</v>
      </c>
      <c r="E350" s="196">
        <f>SUM(E351,E353,E358)</f>
        <v>2315349</v>
      </c>
      <c r="F350" s="196">
        <f>SUM(F351,F353,F358)</f>
        <v>2817344.5500000003</v>
      </c>
      <c r="G350" s="179">
        <f>F350/E350*100</f>
        <v>121.68120443181569</v>
      </c>
    </row>
    <row r="351" spans="1:7" s="277" customFormat="1" ht="19.5" customHeight="1">
      <c r="A351" s="181"/>
      <c r="B351" s="198" t="s">
        <v>92</v>
      </c>
      <c r="C351" s="198"/>
      <c r="D351" s="199" t="s">
        <v>98</v>
      </c>
      <c r="E351" s="200">
        <f>SUM(E352)</f>
        <v>82100</v>
      </c>
      <c r="F351" s="200">
        <f>SUM(F352)</f>
        <v>82099.59</v>
      </c>
      <c r="G351" s="185">
        <f>F351/E351*100</f>
        <v>99.9995006090134</v>
      </c>
    </row>
    <row r="352" spans="1:7" s="221" customFormat="1" ht="59.25" customHeight="1">
      <c r="A352" s="187"/>
      <c r="B352" s="202"/>
      <c r="C352" s="202" t="s">
        <v>545</v>
      </c>
      <c r="D352" s="206" t="s">
        <v>385</v>
      </c>
      <c r="E352" s="204">
        <v>82100</v>
      </c>
      <c r="F352" s="204">
        <v>82099.59</v>
      </c>
      <c r="G352" s="192">
        <f>F352/E352*100</f>
        <v>99.9995006090134</v>
      </c>
    </row>
    <row r="353" spans="1:7" s="277" customFormat="1" ht="19.5" customHeight="1">
      <c r="A353" s="181"/>
      <c r="B353" s="198" t="s">
        <v>99</v>
      </c>
      <c r="C353" s="198"/>
      <c r="D353" s="199" t="s">
        <v>100</v>
      </c>
      <c r="E353" s="200">
        <f>SUM(E354,E355,E356,E357)</f>
        <v>2212501</v>
      </c>
      <c r="F353" s="200">
        <f>SUM(F354,F355,F356,F357)</f>
        <v>2714497.22</v>
      </c>
      <c r="G353" s="185">
        <f>F353/E353*100</f>
        <v>122.68908443431212</v>
      </c>
    </row>
    <row r="354" spans="1:7" s="277" customFormat="1" ht="19.5" customHeight="1">
      <c r="A354" s="187"/>
      <c r="B354" s="202"/>
      <c r="C354" s="202" t="s">
        <v>614</v>
      </c>
      <c r="D354" s="206" t="s">
        <v>263</v>
      </c>
      <c r="E354" s="204">
        <v>0</v>
      </c>
      <c r="F354" s="204">
        <v>1975</v>
      </c>
      <c r="G354" s="192" t="s">
        <v>313</v>
      </c>
    </row>
    <row r="355" spans="1:7" s="277" customFormat="1" ht="69" customHeight="1">
      <c r="A355" s="187"/>
      <c r="B355" s="202"/>
      <c r="C355" s="202" t="s">
        <v>615</v>
      </c>
      <c r="D355" s="206" t="s">
        <v>699</v>
      </c>
      <c r="E355" s="204">
        <v>22368</v>
      </c>
      <c r="F355" s="204">
        <v>22494.66</v>
      </c>
      <c r="G355" s="192">
        <f aca="true" t="shared" si="17" ref="G355:G368">F355/E355*100</f>
        <v>100.56625536480685</v>
      </c>
    </row>
    <row r="356" spans="1:8" s="277" customFormat="1" ht="20.25" customHeight="1">
      <c r="A356" s="187"/>
      <c r="B356" s="202"/>
      <c r="C356" s="202" t="s">
        <v>611</v>
      </c>
      <c r="D356" s="203" t="s">
        <v>323</v>
      </c>
      <c r="E356" s="204">
        <v>0</v>
      </c>
      <c r="F356" s="204">
        <v>55.29</v>
      </c>
      <c r="G356" s="192" t="s">
        <v>313</v>
      </c>
      <c r="H356" s="221"/>
    </row>
    <row r="357" spans="1:7" s="277" customFormat="1" ht="51.75" customHeight="1">
      <c r="A357" s="187"/>
      <c r="B357" s="202"/>
      <c r="C357" s="202" t="s">
        <v>676</v>
      </c>
      <c r="D357" s="206" t="s">
        <v>696</v>
      </c>
      <c r="E357" s="204">
        <v>2190133</v>
      </c>
      <c r="F357" s="204">
        <v>2689972.27</v>
      </c>
      <c r="G357" s="192">
        <f t="shared" si="17"/>
        <v>122.82232494556267</v>
      </c>
    </row>
    <row r="358" spans="1:7" s="277" customFormat="1" ht="19.5" customHeight="1">
      <c r="A358" s="181"/>
      <c r="B358" s="198" t="s">
        <v>102</v>
      </c>
      <c r="C358" s="281"/>
      <c r="D358" s="199" t="s">
        <v>957</v>
      </c>
      <c r="E358" s="200">
        <f>E359+E360</f>
        <v>20748</v>
      </c>
      <c r="F358" s="200">
        <f>F359+F360</f>
        <v>20747.74</v>
      </c>
      <c r="G358" s="185">
        <f t="shared" si="17"/>
        <v>99.99874686716794</v>
      </c>
    </row>
    <row r="359" spans="1:7" s="221" customFormat="1" ht="56.25" customHeight="1">
      <c r="A359" s="187"/>
      <c r="B359" s="202"/>
      <c r="C359" s="282">
        <v>2110</v>
      </c>
      <c r="D359" s="206" t="s">
        <v>385</v>
      </c>
      <c r="E359" s="204">
        <v>18998</v>
      </c>
      <c r="F359" s="204">
        <v>18997.74</v>
      </c>
      <c r="G359" s="192">
        <f t="shared" si="17"/>
        <v>99.9986314348879</v>
      </c>
    </row>
    <row r="360" spans="1:7" s="221" customFormat="1" ht="56.25" customHeight="1">
      <c r="A360" s="187"/>
      <c r="B360" s="202"/>
      <c r="C360" s="282">
        <v>2120</v>
      </c>
      <c r="D360" s="206" t="s">
        <v>274</v>
      </c>
      <c r="E360" s="204">
        <v>1750</v>
      </c>
      <c r="F360" s="204">
        <v>1750</v>
      </c>
      <c r="G360" s="192">
        <f t="shared" si="17"/>
        <v>100</v>
      </c>
    </row>
    <row r="361" spans="1:7" s="277" customFormat="1" ht="29.25" customHeight="1">
      <c r="A361" s="175" t="s">
        <v>105</v>
      </c>
      <c r="B361" s="194"/>
      <c r="C361" s="281"/>
      <c r="D361" s="207" t="s">
        <v>211</v>
      </c>
      <c r="E361" s="196">
        <f>SUM(E362,E365)</f>
        <v>3870436</v>
      </c>
      <c r="F361" s="196">
        <f>SUM(F362,F365)</f>
        <v>3870427.47</v>
      </c>
      <c r="G361" s="179">
        <f t="shared" si="17"/>
        <v>99.99977961139263</v>
      </c>
    </row>
    <row r="362" spans="1:7" s="277" customFormat="1" ht="19.5" customHeight="1">
      <c r="A362" s="181"/>
      <c r="B362" s="198" t="s">
        <v>106</v>
      </c>
      <c r="C362" s="281"/>
      <c r="D362" s="183" t="s">
        <v>403</v>
      </c>
      <c r="E362" s="200">
        <f>SUM(E363,E364)</f>
        <v>3865536</v>
      </c>
      <c r="F362" s="200">
        <f>SUM(F363,F364)</f>
        <v>3865527.47</v>
      </c>
      <c r="G362" s="185">
        <f t="shared" si="17"/>
        <v>99.99977933202537</v>
      </c>
    </row>
    <row r="363" spans="1:7" s="221" customFormat="1" ht="56.25" customHeight="1">
      <c r="A363" s="187"/>
      <c r="B363" s="188"/>
      <c r="C363" s="283">
        <v>2110</v>
      </c>
      <c r="D363" s="206" t="s">
        <v>385</v>
      </c>
      <c r="E363" s="219">
        <v>3865536</v>
      </c>
      <c r="F363" s="219">
        <v>3865527.47</v>
      </c>
      <c r="G363" s="192">
        <f t="shared" si="17"/>
        <v>99.99977933202537</v>
      </c>
    </row>
    <row r="364" spans="1:7" s="221" customFormat="1" ht="57.75" customHeight="1" hidden="1">
      <c r="A364" s="187"/>
      <c r="B364" s="188"/>
      <c r="C364" s="283">
        <v>6410</v>
      </c>
      <c r="D364" s="206" t="s">
        <v>1337</v>
      </c>
      <c r="E364" s="219">
        <v>0</v>
      </c>
      <c r="F364" s="219">
        <v>0</v>
      </c>
      <c r="G364" s="192" t="e">
        <f t="shared" si="17"/>
        <v>#DIV/0!</v>
      </c>
    </row>
    <row r="365" spans="1:7" s="277" customFormat="1" ht="22.5" customHeight="1">
      <c r="A365" s="181"/>
      <c r="B365" s="182" t="s">
        <v>930</v>
      </c>
      <c r="C365" s="1314"/>
      <c r="D365" s="183" t="s">
        <v>931</v>
      </c>
      <c r="E365" s="290">
        <f>SUM(E366)</f>
        <v>4900</v>
      </c>
      <c r="F365" s="290">
        <f>SUM(F366)</f>
        <v>4900</v>
      </c>
      <c r="G365" s="185">
        <f t="shared" si="17"/>
        <v>100</v>
      </c>
    </row>
    <row r="366" spans="1:7" s="221" customFormat="1" ht="56.25" customHeight="1">
      <c r="A366" s="187"/>
      <c r="B366" s="188"/>
      <c r="C366" s="283">
        <v>2110</v>
      </c>
      <c r="D366" s="206" t="s">
        <v>385</v>
      </c>
      <c r="E366" s="219">
        <v>4900</v>
      </c>
      <c r="F366" s="219">
        <v>4900</v>
      </c>
      <c r="G366" s="192">
        <f>F366/E366*100</f>
        <v>100</v>
      </c>
    </row>
    <row r="367" spans="1:7" s="276" customFormat="1" ht="69" customHeight="1">
      <c r="A367" s="284" t="s">
        <v>377</v>
      </c>
      <c r="B367" s="194"/>
      <c r="C367" s="194"/>
      <c r="D367" s="207" t="s">
        <v>882</v>
      </c>
      <c r="E367" s="196">
        <f>SUM(E368,E371)</f>
        <v>7120852</v>
      </c>
      <c r="F367" s="196">
        <f>SUM(F368,F371)</f>
        <v>6889020.649999999</v>
      </c>
      <c r="G367" s="179">
        <f t="shared" si="17"/>
        <v>96.74433129631116</v>
      </c>
    </row>
    <row r="368" spans="1:7" s="277" customFormat="1" ht="41.25" customHeight="1">
      <c r="A368" s="181"/>
      <c r="B368" s="198" t="s">
        <v>293</v>
      </c>
      <c r="C368" s="198"/>
      <c r="D368" s="183" t="s">
        <v>409</v>
      </c>
      <c r="E368" s="200">
        <f>SUM(E369,E370)</f>
        <v>796740</v>
      </c>
      <c r="F368" s="200">
        <f>SUM(F369,F370)</f>
        <v>667408.55</v>
      </c>
      <c r="G368" s="185">
        <f t="shared" si="17"/>
        <v>83.76742099053645</v>
      </c>
    </row>
    <row r="369" spans="1:7" s="221" customFormat="1" ht="19.5" customHeight="1">
      <c r="A369" s="187"/>
      <c r="B369" s="202"/>
      <c r="C369" s="202" t="s">
        <v>657</v>
      </c>
      <c r="D369" s="203" t="s">
        <v>273</v>
      </c>
      <c r="E369" s="204">
        <v>796740</v>
      </c>
      <c r="F369" s="204">
        <v>667408.55</v>
      </c>
      <c r="G369" s="192">
        <f aca="true" t="shared" si="18" ref="G369:G393">F369/E369*100</f>
        <v>83.76742099053645</v>
      </c>
    </row>
    <row r="370" spans="1:7" s="221" customFormat="1" ht="19.5" customHeight="1" hidden="1">
      <c r="A370" s="187"/>
      <c r="B370" s="202"/>
      <c r="C370" s="202" t="s">
        <v>614</v>
      </c>
      <c r="D370" s="206" t="s">
        <v>263</v>
      </c>
      <c r="E370" s="204">
        <v>0</v>
      </c>
      <c r="F370" s="204">
        <v>0</v>
      </c>
      <c r="G370" s="192" t="e">
        <f t="shared" si="18"/>
        <v>#DIV/0!</v>
      </c>
    </row>
    <row r="371" spans="1:7" s="277" customFormat="1" ht="30.75" customHeight="1">
      <c r="A371" s="181"/>
      <c r="B371" s="198" t="s">
        <v>315</v>
      </c>
      <c r="C371" s="198"/>
      <c r="D371" s="183" t="s">
        <v>543</v>
      </c>
      <c r="E371" s="200">
        <f>+E372+E373</f>
        <v>6324112</v>
      </c>
      <c r="F371" s="200">
        <f>F372+F373</f>
        <v>6221612.1</v>
      </c>
      <c r="G371" s="185">
        <f t="shared" si="18"/>
        <v>98.37922067161365</v>
      </c>
    </row>
    <row r="372" spans="1:7" s="221" customFormat="1" ht="19.5" customHeight="1">
      <c r="A372" s="187"/>
      <c r="B372" s="202"/>
      <c r="C372" s="202" t="s">
        <v>666</v>
      </c>
      <c r="D372" s="206" t="s">
        <v>310</v>
      </c>
      <c r="E372" s="204">
        <v>6124112</v>
      </c>
      <c r="F372" s="204">
        <v>5991411</v>
      </c>
      <c r="G372" s="192">
        <f t="shared" si="18"/>
        <v>97.83313891058818</v>
      </c>
    </row>
    <row r="373" spans="1:7" s="221" customFormat="1" ht="19.5" customHeight="1">
      <c r="A373" s="187"/>
      <c r="B373" s="202"/>
      <c r="C373" s="202" t="s">
        <v>667</v>
      </c>
      <c r="D373" s="203" t="s">
        <v>314</v>
      </c>
      <c r="E373" s="204">
        <v>200000</v>
      </c>
      <c r="F373" s="204">
        <v>230201.1</v>
      </c>
      <c r="G373" s="192">
        <f t="shared" si="18"/>
        <v>115.10055000000001</v>
      </c>
    </row>
    <row r="374" spans="1:7" s="276" customFormat="1" ht="19.5" customHeight="1">
      <c r="A374" s="175" t="s">
        <v>110</v>
      </c>
      <c r="B374" s="194"/>
      <c r="C374" s="194"/>
      <c r="D374" s="195" t="s">
        <v>111</v>
      </c>
      <c r="E374" s="196">
        <f>SUM(E375,E377,E380,E382)</f>
        <v>42382704</v>
      </c>
      <c r="F374" s="196">
        <f>SUM(F375,F377,F380,F382)</f>
        <v>42382704</v>
      </c>
      <c r="G374" s="179">
        <f t="shared" si="18"/>
        <v>100</v>
      </c>
    </row>
    <row r="375" spans="1:7" s="277" customFormat="1" ht="33.75" customHeight="1">
      <c r="A375" s="181"/>
      <c r="B375" s="198" t="s">
        <v>316</v>
      </c>
      <c r="C375" s="198"/>
      <c r="D375" s="183" t="s">
        <v>318</v>
      </c>
      <c r="E375" s="200">
        <f>E376</f>
        <v>16478013</v>
      </c>
      <c r="F375" s="200">
        <f>F376</f>
        <v>16478013</v>
      </c>
      <c r="G375" s="185">
        <f t="shared" si="18"/>
        <v>100</v>
      </c>
    </row>
    <row r="376" spans="1:7" s="276" customFormat="1" ht="19.5" customHeight="1">
      <c r="A376" s="175"/>
      <c r="B376" s="194"/>
      <c r="C376" s="202" t="s">
        <v>668</v>
      </c>
      <c r="D376" s="206" t="s">
        <v>404</v>
      </c>
      <c r="E376" s="204">
        <v>16478013</v>
      </c>
      <c r="F376" s="204">
        <v>16478013</v>
      </c>
      <c r="G376" s="192">
        <f t="shared" si="18"/>
        <v>100</v>
      </c>
    </row>
    <row r="377" spans="1:7" s="277" customFormat="1" ht="30" customHeight="1">
      <c r="A377" s="181"/>
      <c r="B377" s="198" t="s">
        <v>320</v>
      </c>
      <c r="C377" s="198"/>
      <c r="D377" s="183" t="s">
        <v>887</v>
      </c>
      <c r="E377" s="200">
        <f>SUM(E379,E378)</f>
        <v>22000000</v>
      </c>
      <c r="F377" s="200">
        <f>SUM(F379,F378)</f>
        <v>22000000</v>
      </c>
      <c r="G377" s="185">
        <f t="shared" si="18"/>
        <v>100</v>
      </c>
    </row>
    <row r="378" spans="1:7" s="221" customFormat="1" ht="55.5" customHeight="1">
      <c r="A378" s="187"/>
      <c r="B378" s="202"/>
      <c r="C378" s="202" t="s">
        <v>677</v>
      </c>
      <c r="D378" s="206" t="s">
        <v>515</v>
      </c>
      <c r="E378" s="204">
        <v>22000000</v>
      </c>
      <c r="F378" s="204">
        <v>22000000</v>
      </c>
      <c r="G378" s="192">
        <f t="shared" si="18"/>
        <v>100</v>
      </c>
    </row>
    <row r="379" spans="1:7" s="221" customFormat="1" ht="53.25" customHeight="1" hidden="1">
      <c r="A379" s="187"/>
      <c r="B379" s="202"/>
      <c r="C379" s="202" t="s">
        <v>844</v>
      </c>
      <c r="D379" s="206" t="s">
        <v>801</v>
      </c>
      <c r="E379" s="204">
        <v>0</v>
      </c>
      <c r="F379" s="204"/>
      <c r="G379" s="192" t="e">
        <f>F379/E379*100</f>
        <v>#DIV/0!</v>
      </c>
    </row>
    <row r="380" spans="1:7" s="277" customFormat="1" ht="26.25" customHeight="1">
      <c r="A380" s="181"/>
      <c r="B380" s="198" t="s">
        <v>845</v>
      </c>
      <c r="C380" s="198"/>
      <c r="D380" s="183" t="s">
        <v>847</v>
      </c>
      <c r="E380" s="200">
        <f>SUM(E381)</f>
        <v>317486</v>
      </c>
      <c r="F380" s="200">
        <f>SUM(F381)</f>
        <v>317486</v>
      </c>
      <c r="G380" s="185">
        <f>F380/E380*100</f>
        <v>100</v>
      </c>
    </row>
    <row r="381" spans="1:7" s="221" customFormat="1" ht="19.5" customHeight="1">
      <c r="A381" s="187"/>
      <c r="B381" s="202"/>
      <c r="C381" s="202" t="s">
        <v>668</v>
      </c>
      <c r="D381" s="206" t="s">
        <v>404</v>
      </c>
      <c r="E381" s="204">
        <v>317486</v>
      </c>
      <c r="F381" s="204">
        <v>317486</v>
      </c>
      <c r="G381" s="192">
        <f>F381/E381*100</f>
        <v>100</v>
      </c>
    </row>
    <row r="382" spans="1:7" s="277" customFormat="1" ht="25.5" customHeight="1">
      <c r="A382" s="181"/>
      <c r="B382" s="198" t="s">
        <v>678</v>
      </c>
      <c r="C382" s="265"/>
      <c r="D382" s="183" t="s">
        <v>694</v>
      </c>
      <c r="E382" s="200">
        <f>E383</f>
        <v>3587205</v>
      </c>
      <c r="F382" s="200">
        <f>F383</f>
        <v>3587205</v>
      </c>
      <c r="G382" s="185">
        <f t="shared" si="18"/>
        <v>100</v>
      </c>
    </row>
    <row r="383" spans="1:7" s="221" customFormat="1" ht="21" customHeight="1">
      <c r="A383" s="187"/>
      <c r="B383" s="202"/>
      <c r="C383" s="227" t="s">
        <v>668</v>
      </c>
      <c r="D383" s="285" t="s">
        <v>319</v>
      </c>
      <c r="E383" s="204">
        <v>3587205</v>
      </c>
      <c r="F383" s="204">
        <v>3587205</v>
      </c>
      <c r="G383" s="192">
        <f t="shared" si="18"/>
        <v>100</v>
      </c>
    </row>
    <row r="384" spans="1:7" s="277" customFormat="1" ht="19.5" customHeight="1">
      <c r="A384" s="175" t="s">
        <v>112</v>
      </c>
      <c r="B384" s="194"/>
      <c r="C384" s="281"/>
      <c r="D384" s="195" t="s">
        <v>113</v>
      </c>
      <c r="E384" s="196">
        <f>SUM(E385,E390)</f>
        <v>1239652</v>
      </c>
      <c r="F384" s="196">
        <f>SUM(F385,F390)</f>
        <v>509551.89</v>
      </c>
      <c r="G384" s="179">
        <f aca="true" t="shared" si="19" ref="G384:G392">F384/E384*100</f>
        <v>41.10443011425787</v>
      </c>
    </row>
    <row r="385" spans="1:7" s="277" customFormat="1" ht="19.5" customHeight="1">
      <c r="A385" s="181"/>
      <c r="B385" s="198" t="s">
        <v>119</v>
      </c>
      <c r="C385" s="281"/>
      <c r="D385" s="199" t="s">
        <v>120</v>
      </c>
      <c r="E385" s="200">
        <f>SUM(E386,E388)</f>
        <v>1238364</v>
      </c>
      <c r="F385" s="200">
        <f>SUM(F386,F388)</f>
        <v>508263.89</v>
      </c>
      <c r="G385" s="185">
        <f t="shared" si="19"/>
        <v>41.043173897174015</v>
      </c>
    </row>
    <row r="386" spans="1:7" s="221" customFormat="1" ht="64.5" customHeight="1">
      <c r="A386" s="187"/>
      <c r="B386" s="202"/>
      <c r="C386" s="286">
        <v>2008</v>
      </c>
      <c r="D386" s="190" t="s">
        <v>1113</v>
      </c>
      <c r="E386" s="204">
        <v>1238364</v>
      </c>
      <c r="F386" s="204">
        <v>508263.89</v>
      </c>
      <c r="G386" s="192">
        <f t="shared" si="19"/>
        <v>41.043173897174015</v>
      </c>
    </row>
    <row r="387" spans="1:7" s="221" customFormat="1" ht="66.75" customHeight="1">
      <c r="A387" s="187"/>
      <c r="B387" s="202"/>
      <c r="C387" s="286"/>
      <c r="D387" s="190" t="s">
        <v>712</v>
      </c>
      <c r="E387" s="204"/>
      <c r="F387" s="204"/>
      <c r="G387" s="192"/>
    </row>
    <row r="388" spans="1:7" s="221" customFormat="1" ht="30.75" customHeight="1" hidden="1">
      <c r="A388" s="187"/>
      <c r="B388" s="202"/>
      <c r="C388" s="286">
        <v>2009</v>
      </c>
      <c r="D388" s="206"/>
      <c r="E388" s="204"/>
      <c r="F388" s="204"/>
      <c r="G388" s="192" t="e">
        <f t="shared" si="19"/>
        <v>#DIV/0!</v>
      </c>
    </row>
    <row r="389" spans="1:7" s="221" customFormat="1" ht="30.75" customHeight="1" hidden="1">
      <c r="A389" s="187"/>
      <c r="B389" s="202"/>
      <c r="C389" s="286"/>
      <c r="D389" s="206"/>
      <c r="E389" s="204"/>
      <c r="F389" s="204"/>
      <c r="G389" s="192"/>
    </row>
    <row r="390" spans="1:7" s="277" customFormat="1" ht="21" customHeight="1">
      <c r="A390" s="181"/>
      <c r="B390" s="265" t="s">
        <v>980</v>
      </c>
      <c r="C390" s="281"/>
      <c r="D390" s="183" t="s">
        <v>1433</v>
      </c>
      <c r="E390" s="200">
        <f>SUM(E391,E392)</f>
        <v>1288</v>
      </c>
      <c r="F390" s="200">
        <f>SUM(F391,F392)</f>
        <v>1288</v>
      </c>
      <c r="G390" s="185">
        <f t="shared" si="19"/>
        <v>100</v>
      </c>
    </row>
    <row r="391" spans="1:7" s="221" customFormat="1" ht="31.5" customHeight="1">
      <c r="A391" s="187"/>
      <c r="B391" s="202"/>
      <c r="C391" s="282">
        <v>2130</v>
      </c>
      <c r="D391" s="206" t="s">
        <v>1338</v>
      </c>
      <c r="E391" s="204">
        <v>1288</v>
      </c>
      <c r="F391" s="204">
        <v>1288</v>
      </c>
      <c r="G391" s="192">
        <f t="shared" si="19"/>
        <v>100</v>
      </c>
    </row>
    <row r="392" spans="1:7" s="221" customFormat="1" ht="45" customHeight="1" hidden="1">
      <c r="A392" s="187"/>
      <c r="B392" s="202"/>
      <c r="C392" s="227" t="s">
        <v>237</v>
      </c>
      <c r="D392" s="285" t="s">
        <v>238</v>
      </c>
      <c r="E392" s="204">
        <v>0</v>
      </c>
      <c r="F392" s="204">
        <v>0</v>
      </c>
      <c r="G392" s="192" t="e">
        <f t="shared" si="19"/>
        <v>#DIV/0!</v>
      </c>
    </row>
    <row r="393" spans="1:7" s="277" customFormat="1" ht="19.5" customHeight="1">
      <c r="A393" s="175" t="s">
        <v>121</v>
      </c>
      <c r="B393" s="194"/>
      <c r="C393" s="281"/>
      <c r="D393" s="195" t="s">
        <v>122</v>
      </c>
      <c r="E393" s="196">
        <f>SUM(E394,E396)</f>
        <v>903000</v>
      </c>
      <c r="F393" s="196">
        <f>SUM(F394,F396)</f>
        <v>846366.01</v>
      </c>
      <c r="G393" s="179">
        <f t="shared" si="18"/>
        <v>93.72824031007751</v>
      </c>
    </row>
    <row r="394" spans="1:7" ht="18" customHeight="1">
      <c r="A394" s="222"/>
      <c r="B394" s="234" t="s">
        <v>981</v>
      </c>
      <c r="C394" s="234"/>
      <c r="D394" s="253" t="s">
        <v>982</v>
      </c>
      <c r="E394" s="236">
        <f>SUM(E395)</f>
        <v>0</v>
      </c>
      <c r="F394" s="236">
        <f>SUM(F395)</f>
        <v>3100</v>
      </c>
      <c r="G394" s="185" t="s">
        <v>313</v>
      </c>
    </row>
    <row r="395" spans="1:7" ht="65.25" customHeight="1">
      <c r="A395" s="214"/>
      <c r="B395" s="248"/>
      <c r="C395" s="248" t="s">
        <v>452</v>
      </c>
      <c r="D395" s="206" t="s">
        <v>734</v>
      </c>
      <c r="E395" s="254">
        <v>0</v>
      </c>
      <c r="F395" s="254">
        <v>3100</v>
      </c>
      <c r="G395" s="192" t="s">
        <v>313</v>
      </c>
    </row>
    <row r="396" spans="1:7" s="277" customFormat="1" ht="43.5" customHeight="1">
      <c r="A396" s="181"/>
      <c r="B396" s="265" t="s">
        <v>324</v>
      </c>
      <c r="C396" s="281"/>
      <c r="D396" s="183" t="s">
        <v>888</v>
      </c>
      <c r="E396" s="200">
        <f>SUM(E397,E398)</f>
        <v>903000</v>
      </c>
      <c r="F396" s="200">
        <f>SUM(F397,F398)</f>
        <v>843266.01</v>
      </c>
      <c r="G396" s="185">
        <f aca="true" t="shared" si="20" ref="G396:G449">F396/E396*100</f>
        <v>93.38494019933556</v>
      </c>
    </row>
    <row r="397" spans="1:7" s="221" customFormat="1" ht="52.5" customHeight="1">
      <c r="A397" s="187"/>
      <c r="B397" s="202"/>
      <c r="C397" s="282">
        <v>2110</v>
      </c>
      <c r="D397" s="206" t="s">
        <v>385</v>
      </c>
      <c r="E397" s="204">
        <v>903000</v>
      </c>
      <c r="F397" s="204">
        <v>843266.01</v>
      </c>
      <c r="G397" s="192">
        <f t="shared" si="20"/>
        <v>93.38494019933556</v>
      </c>
    </row>
    <row r="398" spans="1:7" s="221" customFormat="1" ht="41.25" customHeight="1" hidden="1">
      <c r="A398" s="187"/>
      <c r="B398" s="202"/>
      <c r="C398" s="282">
        <v>2910</v>
      </c>
      <c r="D398" s="206" t="s">
        <v>453</v>
      </c>
      <c r="E398" s="204"/>
      <c r="F398" s="204"/>
      <c r="G398" s="192" t="s">
        <v>313</v>
      </c>
    </row>
    <row r="399" spans="1:7" s="276" customFormat="1" ht="21.75" customHeight="1">
      <c r="A399" s="175" t="s">
        <v>679</v>
      </c>
      <c r="B399" s="194"/>
      <c r="C399" s="287"/>
      <c r="D399" s="207" t="s">
        <v>690</v>
      </c>
      <c r="E399" s="196">
        <f>SUM(E400,E402,E404,E407,E409,E411,E413)</f>
        <v>440687</v>
      </c>
      <c r="F399" s="196">
        <f>SUM(F400,F402,F404,F407,F409,F411,F413)</f>
        <v>410163.08999999997</v>
      </c>
      <c r="G399" s="179">
        <f t="shared" si="20"/>
        <v>93.0735624150474</v>
      </c>
    </row>
    <row r="400" spans="1:7" s="277" customFormat="1" ht="21.75" customHeight="1">
      <c r="A400" s="181"/>
      <c r="B400" s="198" t="s">
        <v>680</v>
      </c>
      <c r="C400" s="288"/>
      <c r="D400" s="289" t="s">
        <v>1355</v>
      </c>
      <c r="E400" s="200">
        <f>SUM(E401)</f>
        <v>0</v>
      </c>
      <c r="F400" s="200">
        <f>SUM(F401)</f>
        <v>2348.19</v>
      </c>
      <c r="G400" s="192" t="s">
        <v>313</v>
      </c>
    </row>
    <row r="401" spans="1:7" s="221" customFormat="1" ht="21.75" customHeight="1">
      <c r="A401" s="187"/>
      <c r="B401" s="202"/>
      <c r="C401" s="227" t="s">
        <v>612</v>
      </c>
      <c r="D401" s="285" t="s">
        <v>266</v>
      </c>
      <c r="E401" s="204">
        <v>0</v>
      </c>
      <c r="F401" s="204">
        <v>2348.19</v>
      </c>
      <c r="G401" s="192" t="s">
        <v>313</v>
      </c>
    </row>
    <row r="402" spans="1:7" s="277" customFormat="1" ht="21.75" customHeight="1" hidden="1">
      <c r="A402" s="181"/>
      <c r="B402" s="198" t="s">
        <v>691</v>
      </c>
      <c r="C402" s="288"/>
      <c r="D402" s="289" t="s">
        <v>405</v>
      </c>
      <c r="E402" s="200">
        <f>SUM(E403)</f>
        <v>0</v>
      </c>
      <c r="F402" s="200">
        <f>SUM(F403)</f>
        <v>0</v>
      </c>
      <c r="G402" s="185" t="e">
        <f t="shared" si="20"/>
        <v>#DIV/0!</v>
      </c>
    </row>
    <row r="403" spans="1:7" s="221" customFormat="1" ht="54" customHeight="1" hidden="1">
      <c r="A403" s="187"/>
      <c r="B403" s="202"/>
      <c r="C403" s="282">
        <v>2110</v>
      </c>
      <c r="D403" s="206" t="s">
        <v>385</v>
      </c>
      <c r="E403" s="219">
        <v>0</v>
      </c>
      <c r="F403" s="204">
        <v>0</v>
      </c>
      <c r="G403" s="192" t="e">
        <f t="shared" si="20"/>
        <v>#DIV/0!</v>
      </c>
    </row>
    <row r="404" spans="1:7" s="277" customFormat="1" ht="20.25" customHeight="1">
      <c r="A404" s="181"/>
      <c r="B404" s="198" t="s">
        <v>1012</v>
      </c>
      <c r="C404" s="288"/>
      <c r="D404" s="183" t="s">
        <v>1013</v>
      </c>
      <c r="E404" s="290">
        <f>SUM(E405,E406)</f>
        <v>74637</v>
      </c>
      <c r="F404" s="290">
        <f>SUM(F405,F406)</f>
        <v>70097.73</v>
      </c>
      <c r="G404" s="185">
        <f t="shared" si="20"/>
        <v>93.91820410788215</v>
      </c>
    </row>
    <row r="405" spans="1:7" s="221" customFormat="1" ht="20.25" customHeight="1">
      <c r="A405" s="187"/>
      <c r="B405" s="202"/>
      <c r="C405" s="227" t="s">
        <v>612</v>
      </c>
      <c r="D405" s="206" t="s">
        <v>266</v>
      </c>
      <c r="E405" s="219">
        <v>0</v>
      </c>
      <c r="F405" s="204">
        <v>8800.35</v>
      </c>
      <c r="G405" s="192" t="s">
        <v>313</v>
      </c>
    </row>
    <row r="406" spans="1:7" s="221" customFormat="1" ht="54.75" customHeight="1">
      <c r="A406" s="187"/>
      <c r="B406" s="202"/>
      <c r="C406" s="202" t="s">
        <v>588</v>
      </c>
      <c r="D406" s="206" t="s">
        <v>589</v>
      </c>
      <c r="E406" s="219">
        <v>74637</v>
      </c>
      <c r="F406" s="204">
        <v>61297.38</v>
      </c>
      <c r="G406" s="192">
        <f t="shared" si="20"/>
        <v>82.12733630772941</v>
      </c>
    </row>
    <row r="407" spans="1:7" s="221" customFormat="1" ht="24.75" customHeight="1">
      <c r="A407" s="181"/>
      <c r="B407" s="265" t="s">
        <v>647</v>
      </c>
      <c r="C407" s="281"/>
      <c r="D407" s="183" t="s">
        <v>493</v>
      </c>
      <c r="E407" s="200">
        <f>E408</f>
        <v>321000</v>
      </c>
      <c r="F407" s="200">
        <f>F408</f>
        <v>294097.77</v>
      </c>
      <c r="G407" s="185">
        <f>F407/E407*100</f>
        <v>91.61924299065421</v>
      </c>
    </row>
    <row r="408" spans="1:7" s="276" customFormat="1" ht="54" customHeight="1">
      <c r="A408" s="187"/>
      <c r="B408" s="202"/>
      <c r="C408" s="282">
        <v>2110</v>
      </c>
      <c r="D408" s="206" t="s">
        <v>385</v>
      </c>
      <c r="E408" s="204">
        <v>321000</v>
      </c>
      <c r="F408" s="204">
        <v>294097.77</v>
      </c>
      <c r="G408" s="192">
        <f>F408/E408*100</f>
        <v>91.61924299065421</v>
      </c>
    </row>
    <row r="409" spans="1:7" s="277" customFormat="1" ht="21.75" customHeight="1">
      <c r="A409" s="181"/>
      <c r="B409" s="198" t="s">
        <v>1014</v>
      </c>
      <c r="C409" s="265"/>
      <c r="D409" s="183" t="s">
        <v>1015</v>
      </c>
      <c r="E409" s="200">
        <f>SUM(E410)</f>
        <v>8650</v>
      </c>
      <c r="F409" s="200">
        <f>SUM(F410)</f>
        <v>7223.49</v>
      </c>
      <c r="G409" s="185">
        <f t="shared" si="20"/>
        <v>83.5085549132948</v>
      </c>
    </row>
    <row r="410" spans="1:7" s="221" customFormat="1" ht="31.5" customHeight="1">
      <c r="A410" s="187"/>
      <c r="B410" s="202"/>
      <c r="C410" s="227" t="s">
        <v>670</v>
      </c>
      <c r="D410" s="206" t="s">
        <v>262</v>
      </c>
      <c r="E410" s="204">
        <v>8650</v>
      </c>
      <c r="F410" s="204">
        <v>7223.49</v>
      </c>
      <c r="G410" s="192">
        <f t="shared" si="20"/>
        <v>83.5085549132948</v>
      </c>
    </row>
    <row r="411" spans="1:7" s="221" customFormat="1" ht="39" customHeight="1" hidden="1">
      <c r="A411" s="181"/>
      <c r="B411" s="198" t="s">
        <v>1200</v>
      </c>
      <c r="C411" s="265"/>
      <c r="D411" s="183" t="s">
        <v>1201</v>
      </c>
      <c r="E411" s="200">
        <f>SUM(E412)</f>
        <v>0</v>
      </c>
      <c r="F411" s="200">
        <f>SUM(F412)</f>
        <v>0</v>
      </c>
      <c r="G411" s="185" t="e">
        <f>F411/E411*100</f>
        <v>#DIV/0!</v>
      </c>
    </row>
    <row r="412" spans="1:7" s="221" customFormat="1" ht="31.5" customHeight="1" hidden="1">
      <c r="A412" s="187"/>
      <c r="B412" s="202"/>
      <c r="C412" s="227" t="s">
        <v>670</v>
      </c>
      <c r="D412" s="206" t="s">
        <v>262</v>
      </c>
      <c r="E412" s="204">
        <v>0</v>
      </c>
      <c r="F412" s="204"/>
      <c r="G412" s="192" t="e">
        <f>F412/E412*100</f>
        <v>#DIV/0!</v>
      </c>
    </row>
    <row r="413" spans="1:7" s="277" customFormat="1" ht="15.75" customHeight="1">
      <c r="A413" s="181"/>
      <c r="B413" s="198" t="s">
        <v>689</v>
      </c>
      <c r="C413" s="265"/>
      <c r="D413" s="183" t="s">
        <v>1433</v>
      </c>
      <c r="E413" s="200">
        <f>SUM(E414)</f>
        <v>36400</v>
      </c>
      <c r="F413" s="200">
        <f>SUM(F414)</f>
        <v>36395.91</v>
      </c>
      <c r="G413" s="192">
        <f>F413/E413*100</f>
        <v>99.98876373626373</v>
      </c>
    </row>
    <row r="414" spans="1:7" s="221" customFormat="1" ht="53.25" customHeight="1">
      <c r="A414" s="187"/>
      <c r="B414" s="202"/>
      <c r="C414" s="227" t="s">
        <v>648</v>
      </c>
      <c r="D414" s="206" t="s">
        <v>274</v>
      </c>
      <c r="E414" s="204">
        <v>36400</v>
      </c>
      <c r="F414" s="204">
        <v>36395.91</v>
      </c>
      <c r="G414" s="192">
        <f>F414/E414*100</f>
        <v>99.98876373626373</v>
      </c>
    </row>
    <row r="415" spans="1:7" s="221" customFormat="1" ht="32.25" customHeight="1">
      <c r="A415" s="175" t="s">
        <v>125</v>
      </c>
      <c r="B415" s="194"/>
      <c r="C415" s="194"/>
      <c r="D415" s="207" t="s">
        <v>883</v>
      </c>
      <c r="E415" s="196">
        <f>SUM(E416,E418,E420,E422,E424)</f>
        <v>259012</v>
      </c>
      <c r="F415" s="196">
        <f>SUM(F416,F418,F420,F422,F424)</f>
        <v>259012</v>
      </c>
      <c r="G415" s="179">
        <f t="shared" si="20"/>
        <v>100</v>
      </c>
    </row>
    <row r="416" spans="1:7" s="221" customFormat="1" ht="22.5" customHeight="1">
      <c r="A416" s="181"/>
      <c r="B416" s="265" t="s">
        <v>133</v>
      </c>
      <c r="C416" s="281"/>
      <c r="D416" s="183" t="s">
        <v>411</v>
      </c>
      <c r="E416" s="200">
        <f>E417</f>
        <v>36000</v>
      </c>
      <c r="F416" s="200">
        <f>F417</f>
        <v>36000</v>
      </c>
      <c r="G416" s="185">
        <f t="shared" si="20"/>
        <v>100</v>
      </c>
    </row>
    <row r="417" spans="1:7" s="276" customFormat="1" ht="54.75" customHeight="1">
      <c r="A417" s="187"/>
      <c r="B417" s="202"/>
      <c r="C417" s="282">
        <v>2110</v>
      </c>
      <c r="D417" s="206" t="s">
        <v>385</v>
      </c>
      <c r="E417" s="204">
        <v>36000</v>
      </c>
      <c r="F417" s="204">
        <v>36000</v>
      </c>
      <c r="G417" s="192">
        <f t="shared" si="20"/>
        <v>100</v>
      </c>
    </row>
    <row r="418" spans="1:7" s="277" customFormat="1" ht="28.5" customHeight="1" hidden="1">
      <c r="A418" s="181"/>
      <c r="B418" s="198" t="s">
        <v>1406</v>
      </c>
      <c r="C418" s="288"/>
      <c r="D418" s="183" t="s">
        <v>1407</v>
      </c>
      <c r="E418" s="200">
        <f>SUM(E419)</f>
        <v>0</v>
      </c>
      <c r="F418" s="200">
        <f>SUM(F419)</f>
        <v>0</v>
      </c>
      <c r="G418" s="185" t="e">
        <f t="shared" si="20"/>
        <v>#DIV/0!</v>
      </c>
    </row>
    <row r="419" spans="1:7" s="221" customFormat="1" ht="21" customHeight="1" hidden="1">
      <c r="A419" s="187"/>
      <c r="B419" s="202"/>
      <c r="C419" s="227" t="s">
        <v>612</v>
      </c>
      <c r="D419" s="206" t="s">
        <v>266</v>
      </c>
      <c r="E419" s="204">
        <v>0</v>
      </c>
      <c r="F419" s="204">
        <v>0</v>
      </c>
      <c r="G419" s="192" t="e">
        <f t="shared" si="20"/>
        <v>#DIV/0!</v>
      </c>
    </row>
    <row r="420" spans="1:7" s="221" customFormat="1" ht="20.25" customHeight="1">
      <c r="A420" s="181"/>
      <c r="B420" s="198" t="s">
        <v>1018</v>
      </c>
      <c r="C420" s="265"/>
      <c r="D420" s="183" t="s">
        <v>1019</v>
      </c>
      <c r="E420" s="200">
        <f>SUM(E421)</f>
        <v>128400</v>
      </c>
      <c r="F420" s="200">
        <f>SUM(F421)</f>
        <v>128400</v>
      </c>
      <c r="G420" s="185">
        <f t="shared" si="20"/>
        <v>100</v>
      </c>
    </row>
    <row r="421" spans="1:7" s="221" customFormat="1" ht="63" customHeight="1">
      <c r="A421" s="187"/>
      <c r="B421" s="202"/>
      <c r="C421" s="227" t="s">
        <v>1357</v>
      </c>
      <c r="D421" s="206" t="s">
        <v>312</v>
      </c>
      <c r="E421" s="204">
        <v>128400</v>
      </c>
      <c r="F421" s="204">
        <v>128400</v>
      </c>
      <c r="G421" s="192">
        <f t="shared" si="20"/>
        <v>100</v>
      </c>
    </row>
    <row r="422" spans="1:7" s="221" customFormat="1" ht="20.25" customHeight="1" hidden="1">
      <c r="A422" s="181"/>
      <c r="B422" s="198" t="s">
        <v>761</v>
      </c>
      <c r="C422" s="265"/>
      <c r="D422" s="183" t="s">
        <v>762</v>
      </c>
      <c r="E422" s="200">
        <f>SUM(E423)</f>
        <v>0</v>
      </c>
      <c r="F422" s="200">
        <f>SUM(F423)</f>
        <v>0</v>
      </c>
      <c r="G422" s="185" t="e">
        <f>F422/E422*100</f>
        <v>#DIV/0!</v>
      </c>
    </row>
    <row r="423" spans="1:7" s="221" customFormat="1" ht="63" customHeight="1" hidden="1">
      <c r="A423" s="187"/>
      <c r="B423" s="202"/>
      <c r="C423" s="282">
        <v>2110</v>
      </c>
      <c r="D423" s="206" t="s">
        <v>385</v>
      </c>
      <c r="E423" s="204">
        <v>0</v>
      </c>
      <c r="F423" s="204">
        <v>0</v>
      </c>
      <c r="G423" s="192" t="e">
        <f>F423/E423*100</f>
        <v>#DIV/0!</v>
      </c>
    </row>
    <row r="424" spans="1:7" s="277" customFormat="1" ht="18.75" customHeight="1">
      <c r="A424" s="181"/>
      <c r="B424" s="198" t="s">
        <v>1020</v>
      </c>
      <c r="C424" s="265"/>
      <c r="D424" s="183" t="s">
        <v>1433</v>
      </c>
      <c r="E424" s="200">
        <f>SUM(E425,E427)</f>
        <v>94612</v>
      </c>
      <c r="F424" s="200">
        <f>SUM(F425,F427)</f>
        <v>94612</v>
      </c>
      <c r="G424" s="192">
        <f t="shared" si="20"/>
        <v>100</v>
      </c>
    </row>
    <row r="425" spans="1:7" s="221" customFormat="1" ht="66.75" customHeight="1">
      <c r="A425" s="187"/>
      <c r="B425" s="202"/>
      <c r="C425" s="227" t="s">
        <v>631</v>
      </c>
      <c r="D425" s="190" t="s">
        <v>1113</v>
      </c>
      <c r="E425" s="204">
        <v>94612</v>
      </c>
      <c r="F425" s="204">
        <v>94612</v>
      </c>
      <c r="G425" s="192">
        <f t="shared" si="20"/>
        <v>100</v>
      </c>
    </row>
    <row r="426" spans="1:7" s="221" customFormat="1" ht="18.75" customHeight="1">
      <c r="A426" s="187"/>
      <c r="B426" s="202"/>
      <c r="C426" s="227"/>
      <c r="D426" s="206" t="s">
        <v>649</v>
      </c>
      <c r="E426" s="204"/>
      <c r="F426" s="204"/>
      <c r="G426" s="192"/>
    </row>
    <row r="427" spans="1:7" s="221" customFormat="1" ht="30" customHeight="1" hidden="1">
      <c r="A427" s="187"/>
      <c r="B427" s="202"/>
      <c r="C427" s="216" t="s">
        <v>848</v>
      </c>
      <c r="D427" s="190"/>
      <c r="E427" s="217"/>
      <c r="F427" s="217"/>
      <c r="G427" s="192" t="e">
        <f t="shared" si="20"/>
        <v>#DIV/0!</v>
      </c>
    </row>
    <row r="428" spans="1:7" s="221" customFormat="1" ht="78" customHeight="1" hidden="1">
      <c r="A428" s="187"/>
      <c r="B428" s="202"/>
      <c r="C428" s="216"/>
      <c r="D428" s="190" t="s">
        <v>514</v>
      </c>
      <c r="E428" s="217"/>
      <c r="F428" s="217"/>
      <c r="G428" s="192" t="e">
        <f t="shared" si="20"/>
        <v>#DIV/0!</v>
      </c>
    </row>
    <row r="429" spans="1:7" s="277" customFormat="1" ht="21" customHeight="1" hidden="1">
      <c r="A429" s="175" t="s">
        <v>135</v>
      </c>
      <c r="B429" s="194"/>
      <c r="C429" s="194"/>
      <c r="D429" s="207" t="s">
        <v>139</v>
      </c>
      <c r="E429" s="196">
        <f>SUM(E430,E432,E434,E440)</f>
        <v>0</v>
      </c>
      <c r="F429" s="196">
        <f>SUM(F430,F432,F434,F440)</f>
        <v>0</v>
      </c>
      <c r="G429" s="192" t="e">
        <f t="shared" si="20"/>
        <v>#DIV/0!</v>
      </c>
    </row>
    <row r="430" spans="1:7" s="277" customFormat="1" ht="30" customHeight="1" hidden="1">
      <c r="A430" s="181"/>
      <c r="B430" s="198" t="s">
        <v>141</v>
      </c>
      <c r="C430" s="198"/>
      <c r="D430" s="183" t="s">
        <v>128</v>
      </c>
      <c r="E430" s="200">
        <f>SUM(E431)</f>
        <v>0</v>
      </c>
      <c r="F430" s="200">
        <f>SUM(F431)</f>
        <v>0</v>
      </c>
      <c r="G430" s="192" t="e">
        <f t="shared" si="20"/>
        <v>#DIV/0!</v>
      </c>
    </row>
    <row r="431" spans="1:7" s="277" customFormat="1" ht="33" customHeight="1" hidden="1">
      <c r="A431" s="187"/>
      <c r="B431" s="202"/>
      <c r="C431" s="202" t="s">
        <v>670</v>
      </c>
      <c r="D431" s="206" t="s">
        <v>262</v>
      </c>
      <c r="E431" s="204">
        <v>0</v>
      </c>
      <c r="F431" s="204"/>
      <c r="G431" s="192" t="e">
        <f t="shared" si="20"/>
        <v>#DIV/0!</v>
      </c>
    </row>
    <row r="432" spans="1:7" s="277" customFormat="1" ht="20.25" customHeight="1" hidden="1">
      <c r="A432" s="181"/>
      <c r="B432" s="198" t="s">
        <v>210</v>
      </c>
      <c r="C432" s="198"/>
      <c r="D432" s="183" t="s">
        <v>1024</v>
      </c>
      <c r="E432" s="200">
        <f>SUM(E433)</f>
        <v>0</v>
      </c>
      <c r="F432" s="200">
        <f>SUM(F433)</f>
        <v>0</v>
      </c>
      <c r="G432" s="192" t="e">
        <f t="shared" si="20"/>
        <v>#DIV/0!</v>
      </c>
    </row>
    <row r="433" spans="1:7" s="277" customFormat="1" ht="33" customHeight="1" hidden="1">
      <c r="A433" s="187"/>
      <c r="B433" s="202"/>
      <c r="C433" s="202" t="s">
        <v>670</v>
      </c>
      <c r="D433" s="206" t="s">
        <v>262</v>
      </c>
      <c r="E433" s="204">
        <v>0</v>
      </c>
      <c r="F433" s="204"/>
      <c r="G433" s="192" t="e">
        <f t="shared" si="20"/>
        <v>#DIV/0!</v>
      </c>
    </row>
    <row r="434" spans="1:7" s="277" customFormat="1" ht="20.25" customHeight="1" hidden="1">
      <c r="A434" s="181"/>
      <c r="B434" s="198" t="s">
        <v>213</v>
      </c>
      <c r="C434" s="198"/>
      <c r="D434" s="183" t="s">
        <v>214</v>
      </c>
      <c r="E434" s="200">
        <f>SUM(E435,E436,E438)</f>
        <v>0</v>
      </c>
      <c r="F434" s="200">
        <f>SUM(F435,F436,F438)</f>
        <v>0</v>
      </c>
      <c r="G434" s="192" t="e">
        <f t="shared" si="20"/>
        <v>#DIV/0!</v>
      </c>
    </row>
    <row r="435" spans="1:7" s="277" customFormat="1" ht="30.75" customHeight="1" hidden="1">
      <c r="A435" s="187"/>
      <c r="B435" s="202"/>
      <c r="C435" s="202" t="s">
        <v>670</v>
      </c>
      <c r="D435" s="206" t="s">
        <v>262</v>
      </c>
      <c r="E435" s="204">
        <v>0</v>
      </c>
      <c r="F435" s="204"/>
      <c r="G435" s="192" t="e">
        <f t="shared" si="20"/>
        <v>#DIV/0!</v>
      </c>
    </row>
    <row r="436" spans="1:7" s="221" customFormat="1" ht="67.5" customHeight="1" hidden="1">
      <c r="A436" s="187"/>
      <c r="B436" s="202"/>
      <c r="C436" s="202" t="s">
        <v>590</v>
      </c>
      <c r="D436" s="206" t="s">
        <v>592</v>
      </c>
      <c r="E436" s="204">
        <v>0</v>
      </c>
      <c r="F436" s="204">
        <v>0</v>
      </c>
      <c r="G436" s="192" t="e">
        <f t="shared" si="20"/>
        <v>#DIV/0!</v>
      </c>
    </row>
    <row r="437" spans="1:7" s="221" customFormat="1" ht="68.25" customHeight="1" hidden="1">
      <c r="A437" s="187"/>
      <c r="B437" s="202"/>
      <c r="C437" s="202"/>
      <c r="D437" s="206" t="s">
        <v>790</v>
      </c>
      <c r="E437" s="204"/>
      <c r="F437" s="204"/>
      <c r="G437" s="192" t="e">
        <f t="shared" si="20"/>
        <v>#DIV/0!</v>
      </c>
    </row>
    <row r="438" spans="1:7" s="1315" customFormat="1" ht="67.5" customHeight="1" hidden="1">
      <c r="A438" s="187"/>
      <c r="B438" s="202"/>
      <c r="C438" s="202" t="s">
        <v>591</v>
      </c>
      <c r="D438" s="206" t="s">
        <v>592</v>
      </c>
      <c r="E438" s="204">
        <v>0</v>
      </c>
      <c r="F438" s="204">
        <v>0</v>
      </c>
      <c r="G438" s="192" t="e">
        <f t="shared" si="20"/>
        <v>#DIV/0!</v>
      </c>
    </row>
    <row r="439" spans="1:7" s="221" customFormat="1" ht="79.5" customHeight="1" hidden="1">
      <c r="A439" s="187"/>
      <c r="B439" s="202"/>
      <c r="C439" s="202"/>
      <c r="D439" s="206" t="s">
        <v>800</v>
      </c>
      <c r="E439" s="204"/>
      <c r="F439" s="204"/>
      <c r="G439" s="192" t="e">
        <f t="shared" si="20"/>
        <v>#DIV/0!</v>
      </c>
    </row>
    <row r="440" spans="1:7" s="277" customFormat="1" ht="21" customHeight="1" hidden="1">
      <c r="A440" s="181"/>
      <c r="B440" s="198" t="s">
        <v>1029</v>
      </c>
      <c r="C440" s="198"/>
      <c r="D440" s="183" t="s">
        <v>1433</v>
      </c>
      <c r="E440" s="184">
        <f>SUM(E441,E442)</f>
        <v>0</v>
      </c>
      <c r="F440" s="184">
        <f>SUM(F441,F442)</f>
        <v>0</v>
      </c>
      <c r="G440" s="192" t="e">
        <f t="shared" si="20"/>
        <v>#DIV/0!</v>
      </c>
    </row>
    <row r="441" spans="1:7" s="221" customFormat="1" ht="30" customHeight="1" hidden="1">
      <c r="A441" s="187"/>
      <c r="B441" s="202"/>
      <c r="C441" s="202" t="s">
        <v>670</v>
      </c>
      <c r="D441" s="206" t="s">
        <v>262</v>
      </c>
      <c r="E441" s="191">
        <v>0</v>
      </c>
      <c r="F441" s="191"/>
      <c r="G441" s="192" t="e">
        <f t="shared" si="20"/>
        <v>#DIV/0!</v>
      </c>
    </row>
    <row r="442" spans="1:7" s="221" customFormat="1" ht="44.25" customHeight="1" hidden="1">
      <c r="A442" s="187"/>
      <c r="B442" s="202"/>
      <c r="C442" s="202" t="s">
        <v>237</v>
      </c>
      <c r="D442" s="206" t="s">
        <v>1049</v>
      </c>
      <c r="E442" s="191">
        <v>0</v>
      </c>
      <c r="F442" s="191"/>
      <c r="G442" s="192" t="e">
        <f t="shared" si="20"/>
        <v>#DIV/0!</v>
      </c>
    </row>
    <row r="443" spans="1:7" s="221" customFormat="1" ht="29.25" customHeight="1">
      <c r="A443" s="175" t="s">
        <v>216</v>
      </c>
      <c r="B443" s="194"/>
      <c r="C443" s="194"/>
      <c r="D443" s="207" t="s">
        <v>326</v>
      </c>
      <c r="E443" s="196">
        <f>SUM(E444,E446,E448)</f>
        <v>295638</v>
      </c>
      <c r="F443" s="196">
        <f>SUM(F444,F446,F448)</f>
        <v>339834.37</v>
      </c>
      <c r="G443" s="179">
        <f t="shared" si="20"/>
        <v>114.94948890196794</v>
      </c>
    </row>
    <row r="444" spans="1:7" s="277" customFormat="1" ht="20.25" customHeight="1">
      <c r="A444" s="181"/>
      <c r="B444" s="198" t="s">
        <v>645</v>
      </c>
      <c r="C444" s="265"/>
      <c r="D444" s="183" t="s">
        <v>646</v>
      </c>
      <c r="E444" s="210">
        <f>SUM(E445)</f>
        <v>45538</v>
      </c>
      <c r="F444" s="200">
        <f>SUM(F445)</f>
        <v>45537.62</v>
      </c>
      <c r="G444" s="185">
        <f t="shared" si="20"/>
        <v>99.9991655320831</v>
      </c>
    </row>
    <row r="445" spans="1:7" s="277" customFormat="1" ht="21" customHeight="1">
      <c r="A445" s="291"/>
      <c r="B445" s="278"/>
      <c r="C445" s="292" t="s">
        <v>612</v>
      </c>
      <c r="D445" s="293" t="s">
        <v>266</v>
      </c>
      <c r="E445" s="204">
        <v>45538</v>
      </c>
      <c r="F445" s="212">
        <v>45537.62</v>
      </c>
      <c r="G445" s="220">
        <f t="shared" si="20"/>
        <v>99.9991655320831</v>
      </c>
    </row>
    <row r="446" spans="1:7" s="277" customFormat="1" ht="20.25" customHeight="1">
      <c r="A446" s="294"/>
      <c r="B446" s="213" t="s">
        <v>218</v>
      </c>
      <c r="C446" s="295"/>
      <c r="D446" s="259" t="s">
        <v>219</v>
      </c>
      <c r="E446" s="200">
        <f>SUM(E447)</f>
        <v>0</v>
      </c>
      <c r="F446" s="210">
        <f>SUM(F447)</f>
        <v>15724.21</v>
      </c>
      <c r="G446" s="211" t="s">
        <v>313</v>
      </c>
    </row>
    <row r="447" spans="1:7" s="277" customFormat="1" ht="21" customHeight="1">
      <c r="A447" s="291"/>
      <c r="B447" s="278"/>
      <c r="C447" s="292" t="s">
        <v>612</v>
      </c>
      <c r="D447" s="293" t="s">
        <v>266</v>
      </c>
      <c r="E447" s="212">
        <v>0</v>
      </c>
      <c r="F447" s="212">
        <v>15724.21</v>
      </c>
      <c r="G447" s="220" t="s">
        <v>313</v>
      </c>
    </row>
    <row r="448" spans="1:7" s="277" customFormat="1" ht="29.25" customHeight="1">
      <c r="A448" s="294"/>
      <c r="B448" s="213" t="s">
        <v>929</v>
      </c>
      <c r="C448" s="295"/>
      <c r="D448" s="259" t="s">
        <v>510</v>
      </c>
      <c r="E448" s="200">
        <f>SUM(E449)</f>
        <v>250100</v>
      </c>
      <c r="F448" s="210">
        <f>SUM(F449)</f>
        <v>278572.54</v>
      </c>
      <c r="G448" s="211">
        <f t="shared" si="20"/>
        <v>111.38446221511396</v>
      </c>
    </row>
    <row r="449" spans="1:7" s="277" customFormat="1" ht="21" customHeight="1" thickBot="1">
      <c r="A449" s="508"/>
      <c r="B449" s="509"/>
      <c r="C449" s="510" t="s">
        <v>614</v>
      </c>
      <c r="D449" s="511" t="s">
        <v>263</v>
      </c>
      <c r="E449" s="512">
        <v>250100</v>
      </c>
      <c r="F449" s="512">
        <v>278572.54</v>
      </c>
      <c r="G449" s="220">
        <f t="shared" si="20"/>
        <v>111.38446221511396</v>
      </c>
    </row>
    <row r="450" spans="1:7" s="300" customFormat="1" ht="21" customHeight="1" thickBot="1">
      <c r="A450" s="1352" t="s">
        <v>142</v>
      </c>
      <c r="B450" s="1353"/>
      <c r="C450" s="1353"/>
      <c r="D450" s="1354"/>
      <c r="E450" s="298">
        <f>SUM(E7,E317)</f>
        <v>209541943.92000002</v>
      </c>
      <c r="F450" s="298">
        <f>SUM(F7,F317)</f>
        <v>186410240.81</v>
      </c>
      <c r="G450" s="299">
        <f>F450/E450*100</f>
        <v>88.96082441669466</v>
      </c>
    </row>
    <row r="451" spans="1:7" s="197" customFormat="1" ht="19.5" customHeight="1">
      <c r="A451" s="301"/>
      <c r="B451" s="301"/>
      <c r="C451" s="301"/>
      <c r="D451" s="302" t="s">
        <v>143</v>
      </c>
      <c r="E451" s="303">
        <v>209541943.92</v>
      </c>
      <c r="F451" s="303">
        <v>186410240.81</v>
      </c>
      <c r="G451" s="304"/>
    </row>
    <row r="452" spans="1:7" s="197" customFormat="1" ht="19.5" customHeight="1">
      <c r="A452" s="301"/>
      <c r="B452" s="301"/>
      <c r="C452" s="301"/>
      <c r="D452" s="302" t="s">
        <v>144</v>
      </c>
      <c r="E452" s="1316">
        <f>E451-E450</f>
        <v>0</v>
      </c>
      <c r="F452" s="1316">
        <f>F451-F450</f>
        <v>0</v>
      </c>
      <c r="G452" s="304"/>
    </row>
    <row r="453" spans="1:7" s="205" customFormat="1" ht="19.5" customHeight="1">
      <c r="A453" s="424"/>
      <c r="B453" s="424"/>
      <c r="C453" s="424"/>
      <c r="D453" s="425"/>
      <c r="E453" s="426"/>
      <c r="F453" s="427"/>
      <c r="G453" s="428"/>
    </row>
    <row r="454" spans="1:7" s="205" customFormat="1" ht="19.5" customHeight="1">
      <c r="A454" s="424"/>
      <c r="B454" s="424"/>
      <c r="C454" s="424"/>
      <c r="D454" s="425"/>
      <c r="E454" s="426"/>
      <c r="F454" s="426"/>
      <c r="G454" s="428"/>
    </row>
    <row r="455" spans="1:6" ht="19.5" customHeight="1">
      <c r="A455" s="419"/>
      <c r="B455" s="419"/>
      <c r="C455" s="419"/>
      <c r="D455" s="420"/>
      <c r="E455" s="429"/>
      <c r="F455" s="430"/>
    </row>
    <row r="456" spans="1:6" ht="19.5" customHeight="1">
      <c r="A456" s="419"/>
      <c r="B456" s="419"/>
      <c r="C456" s="419"/>
      <c r="D456" s="420"/>
      <c r="E456" s="429"/>
      <c r="F456" s="430"/>
    </row>
    <row r="457" spans="1:6" ht="19.5" customHeight="1">
      <c r="A457" s="419"/>
      <c r="B457" s="419"/>
      <c r="C457" s="419"/>
      <c r="D457" s="420"/>
      <c r="E457" s="429"/>
      <c r="F457" s="430"/>
    </row>
    <row r="458" spans="1:6" ht="19.5" customHeight="1">
      <c r="A458" s="419"/>
      <c r="B458" s="419"/>
      <c r="C458" s="419"/>
      <c r="D458" s="420"/>
      <c r="E458" s="429"/>
      <c r="F458" s="430"/>
    </row>
    <row r="459" spans="1:6" ht="19.5" customHeight="1">
      <c r="A459" s="419"/>
      <c r="B459" s="419"/>
      <c r="C459" s="419"/>
      <c r="D459" s="420"/>
      <c r="E459" s="429"/>
      <c r="F459" s="430"/>
    </row>
    <row r="460" spans="1:6" ht="19.5" customHeight="1">
      <c r="A460" s="419"/>
      <c r="B460" s="419"/>
      <c r="C460" s="419"/>
      <c r="D460" s="420"/>
      <c r="E460" s="429"/>
      <c r="F460" s="430"/>
    </row>
    <row r="461" spans="1:6" ht="19.5" customHeight="1">
      <c r="A461" s="419"/>
      <c r="B461" s="419"/>
      <c r="C461" s="419"/>
      <c r="D461" s="420"/>
      <c r="E461" s="429"/>
      <c r="F461" s="430"/>
    </row>
    <row r="462" spans="1:6" ht="19.5" customHeight="1">
      <c r="A462" s="419"/>
      <c r="B462" s="419"/>
      <c r="C462" s="419"/>
      <c r="D462" s="420"/>
      <c r="E462" s="429"/>
      <c r="F462" s="430"/>
    </row>
    <row r="463" spans="1:6" ht="19.5" customHeight="1">
      <c r="A463" s="419"/>
      <c r="B463" s="419"/>
      <c r="C463" s="419"/>
      <c r="D463" s="420"/>
      <c r="E463" s="429"/>
      <c r="F463" s="430"/>
    </row>
    <row r="464" spans="1:6" ht="19.5" customHeight="1">
      <c r="A464" s="419"/>
      <c r="B464" s="419"/>
      <c r="C464" s="419"/>
      <c r="D464" s="420"/>
      <c r="E464" s="429"/>
      <c r="F464" s="430"/>
    </row>
    <row r="465" spans="1:6" ht="19.5" customHeight="1">
      <c r="A465" s="419"/>
      <c r="B465" s="419"/>
      <c r="C465" s="419"/>
      <c r="D465" s="420"/>
      <c r="E465" s="429"/>
      <c r="F465" s="430"/>
    </row>
    <row r="466" spans="1:6" ht="19.5" customHeight="1">
      <c r="A466" s="419"/>
      <c r="B466" s="419"/>
      <c r="C466" s="419"/>
      <c r="D466" s="420"/>
      <c r="E466" s="429"/>
      <c r="F466" s="430"/>
    </row>
    <row r="467" spans="1:6" ht="19.5" customHeight="1">
      <c r="A467" s="419"/>
      <c r="B467" s="419"/>
      <c r="C467" s="419"/>
      <c r="D467" s="420"/>
      <c r="E467" s="429"/>
      <c r="F467" s="430"/>
    </row>
    <row r="468" spans="1:6" ht="19.5" customHeight="1">
      <c r="A468" s="419"/>
      <c r="B468" s="419"/>
      <c r="C468" s="419"/>
      <c r="D468" s="420"/>
      <c r="E468" s="429"/>
      <c r="F468" s="430"/>
    </row>
    <row r="469" spans="1:6" ht="19.5" customHeight="1">
      <c r="A469" s="419"/>
      <c r="B469" s="419"/>
      <c r="C469" s="419"/>
      <c r="D469" s="420"/>
      <c r="E469" s="429"/>
      <c r="F469" s="430"/>
    </row>
    <row r="470" spans="1:6" ht="19.5" customHeight="1">
      <c r="A470" s="419"/>
      <c r="B470" s="419"/>
      <c r="C470" s="419"/>
      <c r="D470" s="420"/>
      <c r="E470" s="429"/>
      <c r="F470" s="430"/>
    </row>
    <row r="471" spans="1:6" ht="19.5" customHeight="1">
      <c r="A471" s="419"/>
      <c r="B471" s="419"/>
      <c r="C471" s="419"/>
      <c r="D471" s="420"/>
      <c r="E471" s="429"/>
      <c r="F471" s="430"/>
    </row>
    <row r="472" spans="1:6" ht="19.5" customHeight="1">
      <c r="A472" s="419"/>
      <c r="B472" s="419"/>
      <c r="C472" s="419"/>
      <c r="D472" s="420"/>
      <c r="E472" s="429"/>
      <c r="F472" s="430"/>
    </row>
    <row r="473" spans="1:6" ht="19.5" customHeight="1">
      <c r="A473" s="419"/>
      <c r="B473" s="419"/>
      <c r="C473" s="419"/>
      <c r="D473" s="420"/>
      <c r="E473" s="429"/>
      <c r="F473" s="430"/>
    </row>
    <row r="474" spans="1:6" ht="19.5" customHeight="1">
      <c r="A474" s="419"/>
      <c r="B474" s="419"/>
      <c r="C474" s="419"/>
      <c r="D474" s="420"/>
      <c r="E474" s="429"/>
      <c r="F474" s="430"/>
    </row>
    <row r="475" spans="1:6" ht="19.5" customHeight="1">
      <c r="A475" s="419"/>
      <c r="B475" s="419"/>
      <c r="C475" s="419"/>
      <c r="D475" s="420"/>
      <c r="E475" s="429"/>
      <c r="F475" s="430"/>
    </row>
    <row r="476" spans="1:6" ht="19.5" customHeight="1">
      <c r="A476" s="419"/>
      <c r="B476" s="419"/>
      <c r="C476" s="419"/>
      <c r="D476" s="420"/>
      <c r="E476" s="429"/>
      <c r="F476" s="430"/>
    </row>
    <row r="477" spans="1:6" ht="19.5" customHeight="1">
      <c r="A477" s="419"/>
      <c r="B477" s="419"/>
      <c r="C477" s="419"/>
      <c r="D477" s="420"/>
      <c r="E477" s="429"/>
      <c r="F477" s="430"/>
    </row>
    <row r="478" spans="1:6" ht="19.5" customHeight="1">
      <c r="A478" s="419"/>
      <c r="B478" s="419"/>
      <c r="C478" s="419"/>
      <c r="D478" s="420"/>
      <c r="E478" s="429"/>
      <c r="F478" s="430"/>
    </row>
    <row r="479" spans="1:6" ht="19.5" customHeight="1">
      <c r="A479" s="419"/>
      <c r="B479" s="419"/>
      <c r="C479" s="419"/>
      <c r="D479" s="420"/>
      <c r="E479" s="429"/>
      <c r="F479" s="430"/>
    </row>
    <row r="480" spans="1:6" ht="19.5" customHeight="1">
      <c r="A480" s="419"/>
      <c r="B480" s="419"/>
      <c r="C480" s="419"/>
      <c r="D480" s="420"/>
      <c r="E480" s="429"/>
      <c r="F480" s="430"/>
    </row>
    <row r="481" spans="1:6" ht="19.5" customHeight="1">
      <c r="A481" s="419"/>
      <c r="B481" s="419"/>
      <c r="C481" s="419"/>
      <c r="D481" s="420"/>
      <c r="E481" s="429"/>
      <c r="F481" s="430"/>
    </row>
    <row r="482" spans="1:6" ht="19.5" customHeight="1">
      <c r="A482" s="419"/>
      <c r="B482" s="419"/>
      <c r="C482" s="419"/>
      <c r="D482" s="420"/>
      <c r="E482" s="429"/>
      <c r="F482" s="430"/>
    </row>
    <row r="483" spans="1:6" ht="19.5" customHeight="1">
      <c r="A483" s="419"/>
      <c r="B483" s="419"/>
      <c r="C483" s="419"/>
      <c r="D483" s="420"/>
      <c r="E483" s="429"/>
      <c r="F483" s="430"/>
    </row>
    <row r="484" spans="1:6" ht="19.5" customHeight="1">
      <c r="A484" s="419"/>
      <c r="B484" s="419"/>
      <c r="C484" s="419"/>
      <c r="D484" s="420"/>
      <c r="E484" s="429"/>
      <c r="F484" s="430"/>
    </row>
    <row r="485" spans="1:6" ht="19.5" customHeight="1">
      <c r="A485" s="419"/>
      <c r="B485" s="419"/>
      <c r="C485" s="419"/>
      <c r="D485" s="420"/>
      <c r="E485" s="429"/>
      <c r="F485" s="430"/>
    </row>
    <row r="486" spans="1:6" ht="19.5" customHeight="1">
      <c r="A486" s="419"/>
      <c r="B486" s="419"/>
      <c r="C486" s="419"/>
      <c r="D486" s="420"/>
      <c r="E486" s="429"/>
      <c r="F486" s="430"/>
    </row>
    <row r="487" spans="1:6" ht="19.5" customHeight="1">
      <c r="A487" s="419"/>
      <c r="B487" s="419"/>
      <c r="C487" s="419"/>
      <c r="D487" s="420"/>
      <c r="E487" s="429"/>
      <c r="F487" s="430"/>
    </row>
    <row r="488" spans="1:6" ht="19.5" customHeight="1">
      <c r="A488" s="419"/>
      <c r="B488" s="419"/>
      <c r="C488" s="419"/>
      <c r="D488" s="420"/>
      <c r="E488" s="429"/>
      <c r="F488" s="430"/>
    </row>
    <row r="489" spans="1:6" ht="19.5" customHeight="1">
      <c r="A489" s="419"/>
      <c r="B489" s="419"/>
      <c r="C489" s="419"/>
      <c r="D489" s="420"/>
      <c r="E489" s="429"/>
      <c r="F489" s="430"/>
    </row>
    <row r="490" spans="1:6" ht="19.5" customHeight="1">
      <c r="A490" s="419"/>
      <c r="B490" s="419"/>
      <c r="C490" s="419"/>
      <c r="D490" s="420"/>
      <c r="E490" s="429"/>
      <c r="F490" s="430"/>
    </row>
    <row r="491" spans="1:6" ht="19.5" customHeight="1">
      <c r="A491" s="419"/>
      <c r="B491" s="419"/>
      <c r="C491" s="419"/>
      <c r="D491" s="420"/>
      <c r="E491" s="429"/>
      <c r="F491" s="430"/>
    </row>
    <row r="492" spans="1:6" ht="19.5" customHeight="1">
      <c r="A492" s="419"/>
      <c r="B492" s="419"/>
      <c r="C492" s="419"/>
      <c r="D492" s="420"/>
      <c r="E492" s="429"/>
      <c r="F492" s="430"/>
    </row>
    <row r="493" spans="1:6" ht="19.5" customHeight="1">
      <c r="A493" s="419"/>
      <c r="B493" s="419"/>
      <c r="C493" s="419"/>
      <c r="D493" s="420"/>
      <c r="E493" s="429"/>
      <c r="F493" s="430"/>
    </row>
    <row r="494" spans="1:6" ht="19.5" customHeight="1">
      <c r="A494" s="419"/>
      <c r="B494" s="419"/>
      <c r="C494" s="419"/>
      <c r="D494" s="420"/>
      <c r="E494" s="429"/>
      <c r="F494" s="430"/>
    </row>
    <row r="495" spans="1:6" ht="19.5" customHeight="1">
      <c r="A495" s="419"/>
      <c r="B495" s="419"/>
      <c r="C495" s="419"/>
      <c r="D495" s="420"/>
      <c r="E495" s="429"/>
      <c r="F495" s="430"/>
    </row>
    <row r="496" spans="1:6" ht="19.5" customHeight="1">
      <c r="A496" s="419"/>
      <c r="B496" s="419"/>
      <c r="C496" s="419"/>
      <c r="D496" s="420"/>
      <c r="E496" s="429"/>
      <c r="F496" s="430"/>
    </row>
    <row r="497" spans="1:6" ht="19.5" customHeight="1">
      <c r="A497" s="419"/>
      <c r="B497" s="419"/>
      <c r="C497" s="419"/>
      <c r="D497" s="420"/>
      <c r="E497" s="429"/>
      <c r="F497" s="430"/>
    </row>
    <row r="498" spans="1:6" ht="19.5" customHeight="1">
      <c r="A498" s="419"/>
      <c r="B498" s="419"/>
      <c r="C498" s="419"/>
      <c r="D498" s="420"/>
      <c r="E498" s="429"/>
      <c r="F498" s="430"/>
    </row>
    <row r="499" spans="1:6" ht="19.5" customHeight="1">
      <c r="A499" s="419"/>
      <c r="B499" s="419"/>
      <c r="C499" s="419"/>
      <c r="D499" s="420"/>
      <c r="E499" s="429"/>
      <c r="F499" s="430"/>
    </row>
    <row r="500" spans="1:6" ht="19.5" customHeight="1">
      <c r="A500" s="419"/>
      <c r="B500" s="419"/>
      <c r="C500" s="419"/>
      <c r="D500" s="420"/>
      <c r="E500" s="429"/>
      <c r="F500" s="430"/>
    </row>
    <row r="501" spans="1:6" ht="19.5" customHeight="1">
      <c r="A501" s="419"/>
      <c r="B501" s="419"/>
      <c r="C501" s="419"/>
      <c r="D501" s="420"/>
      <c r="E501" s="429"/>
      <c r="F501" s="430"/>
    </row>
    <row r="502" spans="1:6" ht="19.5" customHeight="1">
      <c r="A502" s="419"/>
      <c r="B502" s="419"/>
      <c r="C502" s="419"/>
      <c r="D502" s="420"/>
      <c r="E502" s="429"/>
      <c r="F502" s="430"/>
    </row>
    <row r="503" spans="1:6" ht="19.5" customHeight="1">
      <c r="A503" s="419"/>
      <c r="B503" s="419"/>
      <c r="C503" s="419"/>
      <c r="D503" s="420"/>
      <c r="E503" s="429"/>
      <c r="F503" s="430"/>
    </row>
    <row r="504" spans="1:6" ht="19.5" customHeight="1">
      <c r="A504" s="419"/>
      <c r="B504" s="419"/>
      <c r="C504" s="419"/>
      <c r="D504" s="420"/>
      <c r="E504" s="429"/>
      <c r="F504" s="430"/>
    </row>
    <row r="505" spans="1:6" ht="19.5" customHeight="1">
      <c r="A505" s="419"/>
      <c r="B505" s="419"/>
      <c r="C505" s="419"/>
      <c r="D505" s="420"/>
      <c r="E505" s="429"/>
      <c r="F505" s="430"/>
    </row>
    <row r="506" spans="1:6" ht="19.5" customHeight="1">
      <c r="A506" s="419"/>
      <c r="B506" s="419"/>
      <c r="C506" s="419"/>
      <c r="D506" s="420"/>
      <c r="E506" s="429"/>
      <c r="F506" s="430"/>
    </row>
    <row r="507" spans="1:6" ht="19.5" customHeight="1">
      <c r="A507" s="419"/>
      <c r="B507" s="419"/>
      <c r="C507" s="419"/>
      <c r="D507" s="420"/>
      <c r="E507" s="429"/>
      <c r="F507" s="430"/>
    </row>
    <row r="508" spans="1:6" ht="19.5" customHeight="1">
      <c r="A508" s="419"/>
      <c r="B508" s="419"/>
      <c r="C508" s="419"/>
      <c r="D508" s="420"/>
      <c r="E508" s="429"/>
      <c r="F508" s="430"/>
    </row>
    <row r="509" spans="1:6" ht="19.5" customHeight="1">
      <c r="A509" s="419"/>
      <c r="B509" s="419"/>
      <c r="C509" s="419"/>
      <c r="D509" s="420"/>
      <c r="E509" s="429"/>
      <c r="F509" s="430"/>
    </row>
    <row r="510" spans="1:6" ht="19.5" customHeight="1">
      <c r="A510" s="419"/>
      <c r="B510" s="419"/>
      <c r="C510" s="419"/>
      <c r="D510" s="420"/>
      <c r="E510" s="429"/>
      <c r="F510" s="430"/>
    </row>
    <row r="511" spans="1:6" ht="19.5" customHeight="1">
      <c r="A511" s="419"/>
      <c r="B511" s="419"/>
      <c r="C511" s="419"/>
      <c r="D511" s="420"/>
      <c r="E511" s="429"/>
      <c r="F511" s="430"/>
    </row>
    <row r="512" spans="1:6" ht="19.5" customHeight="1">
      <c r="A512" s="419"/>
      <c r="B512" s="419"/>
      <c r="C512" s="419"/>
      <c r="D512" s="420"/>
      <c r="E512" s="429"/>
      <c r="F512" s="430"/>
    </row>
    <row r="513" spans="1:6" ht="19.5" customHeight="1">
      <c r="A513" s="419"/>
      <c r="B513" s="419"/>
      <c r="C513" s="419"/>
      <c r="D513" s="420"/>
      <c r="E513" s="429"/>
      <c r="F513" s="430"/>
    </row>
    <row r="514" spans="1:6" ht="19.5" customHeight="1">
      <c r="A514" s="419"/>
      <c r="B514" s="419"/>
      <c r="C514" s="419"/>
      <c r="D514" s="420"/>
      <c r="E514" s="429"/>
      <c r="F514" s="430"/>
    </row>
    <row r="515" spans="1:6" ht="19.5" customHeight="1">
      <c r="A515" s="419"/>
      <c r="B515" s="419"/>
      <c r="C515" s="419"/>
      <c r="D515" s="420"/>
      <c r="E515" s="429"/>
      <c r="F515" s="430"/>
    </row>
    <row r="516" spans="1:6" ht="19.5" customHeight="1">
      <c r="A516" s="419"/>
      <c r="B516" s="419"/>
      <c r="C516" s="419"/>
      <c r="D516" s="420"/>
      <c r="E516" s="429"/>
      <c r="F516" s="430"/>
    </row>
    <row r="517" spans="1:6" ht="19.5" customHeight="1">
      <c r="A517" s="419"/>
      <c r="B517" s="419"/>
      <c r="C517" s="419"/>
      <c r="D517" s="420"/>
      <c r="E517" s="429"/>
      <c r="F517" s="430"/>
    </row>
    <row r="518" spans="1:6" ht="19.5" customHeight="1">
      <c r="A518" s="419"/>
      <c r="B518" s="419"/>
      <c r="C518" s="419"/>
      <c r="D518" s="420"/>
      <c r="E518" s="429"/>
      <c r="F518" s="430"/>
    </row>
    <row r="519" spans="1:6" ht="19.5" customHeight="1">
      <c r="A519" s="419"/>
      <c r="B519" s="419"/>
      <c r="C519" s="419"/>
      <c r="D519" s="420"/>
      <c r="E519" s="429"/>
      <c r="F519" s="430"/>
    </row>
    <row r="520" spans="1:6" ht="19.5" customHeight="1">
      <c r="A520" s="419"/>
      <c r="B520" s="419"/>
      <c r="C520" s="419"/>
      <c r="D520" s="420"/>
      <c r="E520" s="429"/>
      <c r="F520" s="430"/>
    </row>
    <row r="521" spans="1:6" ht="19.5" customHeight="1">
      <c r="A521" s="419"/>
      <c r="B521" s="419"/>
      <c r="C521" s="419"/>
      <c r="D521" s="420"/>
      <c r="E521" s="429"/>
      <c r="F521" s="430"/>
    </row>
    <row r="522" spans="1:6" ht="19.5" customHeight="1">
      <c r="A522" s="419"/>
      <c r="B522" s="419"/>
      <c r="C522" s="419"/>
      <c r="D522" s="420"/>
      <c r="E522" s="429"/>
      <c r="F522" s="430"/>
    </row>
    <row r="523" spans="1:6" ht="19.5" customHeight="1">
      <c r="A523" s="419"/>
      <c r="B523" s="419"/>
      <c r="C523" s="419"/>
      <c r="D523" s="420"/>
      <c r="E523" s="429"/>
      <c r="F523" s="430"/>
    </row>
    <row r="524" spans="1:6" ht="19.5" customHeight="1">
      <c r="A524" s="419"/>
      <c r="B524" s="419"/>
      <c r="C524" s="419"/>
      <c r="D524" s="420"/>
      <c r="E524" s="429"/>
      <c r="F524" s="430"/>
    </row>
    <row r="525" spans="1:6" ht="19.5" customHeight="1">
      <c r="A525" s="419"/>
      <c r="B525" s="419"/>
      <c r="C525" s="419"/>
      <c r="D525" s="420"/>
      <c r="E525" s="429"/>
      <c r="F525" s="430"/>
    </row>
    <row r="526" spans="1:6" ht="19.5" customHeight="1">
      <c r="A526" s="419"/>
      <c r="B526" s="419"/>
      <c r="C526" s="419"/>
      <c r="D526" s="420"/>
      <c r="E526" s="429"/>
      <c r="F526" s="430"/>
    </row>
    <row r="527" spans="1:6" ht="19.5" customHeight="1">
      <c r="A527" s="419"/>
      <c r="B527" s="419"/>
      <c r="C527" s="419"/>
      <c r="D527" s="420"/>
      <c r="E527" s="429"/>
      <c r="F527" s="430"/>
    </row>
    <row r="528" spans="1:6" ht="19.5" customHeight="1">
      <c r="A528" s="419"/>
      <c r="B528" s="419"/>
      <c r="C528" s="419"/>
      <c r="D528" s="420"/>
      <c r="E528" s="429"/>
      <c r="F528" s="430"/>
    </row>
    <row r="529" spans="1:6" ht="19.5" customHeight="1">
      <c r="A529" s="419"/>
      <c r="B529" s="419"/>
      <c r="C529" s="419"/>
      <c r="D529" s="420"/>
      <c r="E529" s="429"/>
      <c r="F529" s="430"/>
    </row>
    <row r="530" spans="1:6" ht="19.5" customHeight="1">
      <c r="A530" s="419"/>
      <c r="B530" s="419"/>
      <c r="C530" s="419"/>
      <c r="D530" s="420"/>
      <c r="E530" s="429"/>
      <c r="F530" s="430"/>
    </row>
    <row r="531" spans="1:6" ht="19.5" customHeight="1">
      <c r="A531" s="419"/>
      <c r="B531" s="419"/>
      <c r="C531" s="419"/>
      <c r="D531" s="420"/>
      <c r="E531" s="429"/>
      <c r="F531" s="430"/>
    </row>
    <row r="532" spans="1:6" ht="19.5" customHeight="1">
      <c r="A532" s="419"/>
      <c r="B532" s="419"/>
      <c r="C532" s="419"/>
      <c r="D532" s="420"/>
      <c r="E532" s="429"/>
      <c r="F532" s="430"/>
    </row>
    <row r="533" spans="1:6" ht="19.5" customHeight="1">
      <c r="A533" s="419"/>
      <c r="B533" s="419"/>
      <c r="C533" s="419"/>
      <c r="D533" s="420"/>
      <c r="E533" s="429"/>
      <c r="F533" s="430"/>
    </row>
    <row r="534" spans="1:6" ht="19.5" customHeight="1">
      <c r="A534" s="419"/>
      <c r="B534" s="419"/>
      <c r="C534" s="419"/>
      <c r="D534" s="420"/>
      <c r="E534" s="429"/>
      <c r="F534" s="430"/>
    </row>
    <row r="535" spans="1:6" ht="19.5" customHeight="1">
      <c r="A535" s="419"/>
      <c r="B535" s="419"/>
      <c r="C535" s="419"/>
      <c r="D535" s="420"/>
      <c r="E535" s="429"/>
      <c r="F535" s="430"/>
    </row>
    <row r="536" spans="1:6" ht="19.5" customHeight="1">
      <c r="A536" s="419"/>
      <c r="B536" s="419"/>
      <c r="C536" s="419"/>
      <c r="D536" s="420"/>
      <c r="E536" s="429"/>
      <c r="F536" s="430"/>
    </row>
    <row r="537" spans="1:6" ht="19.5" customHeight="1">
      <c r="A537" s="419"/>
      <c r="B537" s="419"/>
      <c r="C537" s="419"/>
      <c r="D537" s="420"/>
      <c r="E537" s="429"/>
      <c r="F537" s="430"/>
    </row>
    <row r="538" spans="1:6" ht="19.5" customHeight="1">
      <c r="A538" s="419"/>
      <c r="B538" s="419"/>
      <c r="C538" s="419"/>
      <c r="D538" s="420"/>
      <c r="E538" s="429"/>
      <c r="F538" s="430"/>
    </row>
    <row r="539" spans="1:6" ht="19.5" customHeight="1">
      <c r="A539" s="419"/>
      <c r="B539" s="419"/>
      <c r="C539" s="419"/>
      <c r="D539" s="420"/>
      <c r="E539" s="429"/>
      <c r="F539" s="430"/>
    </row>
    <row r="540" spans="1:6" ht="19.5" customHeight="1">
      <c r="A540" s="419"/>
      <c r="B540" s="419"/>
      <c r="C540" s="419"/>
      <c r="D540" s="420"/>
      <c r="E540" s="262"/>
      <c r="F540" s="430"/>
    </row>
    <row r="541" spans="1:6" ht="19.5" customHeight="1">
      <c r="A541" s="419"/>
      <c r="B541" s="419"/>
      <c r="C541" s="419"/>
      <c r="D541" s="420"/>
      <c r="E541" s="262"/>
      <c r="F541" s="430"/>
    </row>
    <row r="542" spans="1:6" ht="19.5" customHeight="1">
      <c r="A542" s="419"/>
      <c r="B542" s="419"/>
      <c r="C542" s="419"/>
      <c r="D542" s="420"/>
      <c r="E542" s="262"/>
      <c r="F542" s="430"/>
    </row>
    <row r="543" spans="1:6" ht="19.5" customHeight="1">
      <c r="A543" s="419"/>
      <c r="B543" s="419"/>
      <c r="C543" s="419"/>
      <c r="D543" s="420"/>
      <c r="E543" s="262"/>
      <c r="F543" s="430"/>
    </row>
    <row r="544" spans="1:6" ht="19.5" customHeight="1">
      <c r="A544" s="419"/>
      <c r="B544" s="419"/>
      <c r="C544" s="419"/>
      <c r="D544" s="420"/>
      <c r="E544" s="262"/>
      <c r="F544" s="430"/>
    </row>
    <row r="545" spans="1:6" ht="19.5" customHeight="1">
      <c r="A545" s="419"/>
      <c r="B545" s="419"/>
      <c r="C545" s="419"/>
      <c r="D545" s="420"/>
      <c r="E545" s="262"/>
      <c r="F545" s="430"/>
    </row>
    <row r="546" spans="1:6" ht="19.5" customHeight="1">
      <c r="A546" s="419"/>
      <c r="B546" s="419"/>
      <c r="C546" s="419"/>
      <c r="D546" s="420"/>
      <c r="E546" s="262"/>
      <c r="F546" s="430"/>
    </row>
    <row r="547" spans="1:6" ht="19.5" customHeight="1">
      <c r="A547" s="419"/>
      <c r="B547" s="419"/>
      <c r="C547" s="419"/>
      <c r="D547" s="420"/>
      <c r="E547" s="262"/>
      <c r="F547" s="430"/>
    </row>
    <row r="548" spans="1:6" ht="19.5" customHeight="1">
      <c r="A548" s="419"/>
      <c r="B548" s="419"/>
      <c r="C548" s="419"/>
      <c r="D548" s="420"/>
      <c r="E548" s="262"/>
      <c r="F548" s="430"/>
    </row>
    <row r="549" spans="1:6" ht="19.5" customHeight="1">
      <c r="A549" s="419"/>
      <c r="B549" s="419"/>
      <c r="C549" s="419"/>
      <c r="D549" s="420"/>
      <c r="E549" s="262"/>
      <c r="F549" s="430"/>
    </row>
    <row r="550" spans="1:6" ht="19.5" customHeight="1">
      <c r="A550" s="419"/>
      <c r="B550" s="419"/>
      <c r="C550" s="419"/>
      <c r="D550" s="420"/>
      <c r="E550" s="262"/>
      <c r="F550" s="430"/>
    </row>
    <row r="551" spans="1:6" ht="19.5" customHeight="1">
      <c r="A551" s="419"/>
      <c r="B551" s="419"/>
      <c r="C551" s="419"/>
      <c r="D551" s="420"/>
      <c r="E551" s="262"/>
      <c r="F551" s="430"/>
    </row>
    <row r="552" spans="1:6" ht="19.5" customHeight="1">
      <c r="A552" s="419"/>
      <c r="B552" s="419"/>
      <c r="C552" s="419"/>
      <c r="D552" s="420"/>
      <c r="E552" s="262"/>
      <c r="F552" s="430"/>
    </row>
    <row r="553" spans="1:6" ht="19.5" customHeight="1">
      <c r="A553" s="419"/>
      <c r="B553" s="419"/>
      <c r="C553" s="419"/>
      <c r="D553" s="420"/>
      <c r="E553" s="262"/>
      <c r="F553" s="430"/>
    </row>
    <row r="554" spans="1:6" ht="19.5" customHeight="1">
      <c r="A554" s="419"/>
      <c r="B554" s="419"/>
      <c r="C554" s="419"/>
      <c r="D554" s="420"/>
      <c r="E554" s="262"/>
      <c r="F554" s="430"/>
    </row>
    <row r="555" spans="1:6" ht="19.5" customHeight="1">
      <c r="A555" s="419"/>
      <c r="B555" s="419"/>
      <c r="C555" s="419"/>
      <c r="D555" s="420"/>
      <c r="E555" s="262"/>
      <c r="F555" s="430"/>
    </row>
    <row r="556" spans="1:6" ht="19.5" customHeight="1">
      <c r="A556" s="419"/>
      <c r="B556" s="419"/>
      <c r="C556" s="419"/>
      <c r="D556" s="420"/>
      <c r="E556" s="262"/>
      <c r="F556" s="430"/>
    </row>
    <row r="557" spans="1:6" ht="19.5" customHeight="1">
      <c r="A557" s="419"/>
      <c r="B557" s="419"/>
      <c r="C557" s="419"/>
      <c r="D557" s="420"/>
      <c r="E557" s="262"/>
      <c r="F557" s="430"/>
    </row>
    <row r="558" spans="1:6" ht="19.5" customHeight="1">
      <c r="A558" s="419"/>
      <c r="B558" s="419"/>
      <c r="C558" s="419"/>
      <c r="D558" s="420"/>
      <c r="E558" s="262"/>
      <c r="F558" s="430"/>
    </row>
    <row r="559" spans="1:6" ht="19.5" customHeight="1">
      <c r="A559" s="419"/>
      <c r="B559" s="419"/>
      <c r="C559" s="419"/>
      <c r="D559" s="420"/>
      <c r="E559" s="262"/>
      <c r="F559" s="430"/>
    </row>
    <row r="560" spans="1:6" ht="19.5" customHeight="1">
      <c r="A560" s="419"/>
      <c r="B560" s="419"/>
      <c r="C560" s="419"/>
      <c r="D560" s="420"/>
      <c r="E560" s="262"/>
      <c r="F560" s="430"/>
    </row>
    <row r="561" spans="1:6" ht="19.5" customHeight="1">
      <c r="A561" s="419"/>
      <c r="B561" s="419"/>
      <c r="C561" s="419"/>
      <c r="D561" s="420"/>
      <c r="E561" s="262"/>
      <c r="F561" s="430"/>
    </row>
    <row r="562" spans="1:6" ht="19.5" customHeight="1">
      <c r="A562" s="419"/>
      <c r="B562" s="419"/>
      <c r="C562" s="419"/>
      <c r="D562" s="420"/>
      <c r="E562" s="262"/>
      <c r="F562" s="430"/>
    </row>
    <row r="563" spans="1:6" ht="19.5" customHeight="1">
      <c r="A563" s="419"/>
      <c r="B563" s="419"/>
      <c r="C563" s="419"/>
      <c r="D563" s="420"/>
      <c r="E563" s="262"/>
      <c r="F563" s="430"/>
    </row>
    <row r="564" spans="1:6" ht="19.5" customHeight="1">
      <c r="A564" s="419"/>
      <c r="B564" s="419"/>
      <c r="C564" s="419"/>
      <c r="D564" s="420"/>
      <c r="E564" s="262"/>
      <c r="F564" s="430"/>
    </row>
    <row r="565" spans="1:6" ht="19.5" customHeight="1">
      <c r="A565" s="419"/>
      <c r="B565" s="419"/>
      <c r="C565" s="419"/>
      <c r="D565" s="420"/>
      <c r="E565" s="262"/>
      <c r="F565" s="430"/>
    </row>
    <row r="566" spans="1:6" ht="19.5" customHeight="1">
      <c r="A566" s="419"/>
      <c r="B566" s="419"/>
      <c r="C566" s="419"/>
      <c r="D566" s="420"/>
      <c r="E566" s="262"/>
      <c r="F566" s="430"/>
    </row>
    <row r="567" spans="1:6" ht="19.5" customHeight="1">
      <c r="A567" s="419"/>
      <c r="B567" s="419"/>
      <c r="C567" s="419"/>
      <c r="D567" s="420"/>
      <c r="E567" s="262"/>
      <c r="F567" s="430"/>
    </row>
    <row r="568" spans="1:6" ht="19.5" customHeight="1">
      <c r="A568" s="419"/>
      <c r="B568" s="419"/>
      <c r="C568" s="419"/>
      <c r="D568" s="420"/>
      <c r="E568" s="262"/>
      <c r="F568" s="430"/>
    </row>
    <row r="569" spans="1:5" ht="19.5" customHeight="1">
      <c r="A569" s="419"/>
      <c r="B569" s="419"/>
      <c r="C569" s="419"/>
      <c r="D569" s="420"/>
      <c r="E569" s="262"/>
    </row>
    <row r="570" spans="1:5" ht="19.5" customHeight="1">
      <c r="A570" s="419"/>
      <c r="B570" s="419"/>
      <c r="C570" s="419"/>
      <c r="D570" s="420"/>
      <c r="E570" s="262"/>
    </row>
    <row r="571" spans="1:5" ht="19.5" customHeight="1">
      <c r="A571" s="419"/>
      <c r="B571" s="419"/>
      <c r="C571" s="419"/>
      <c r="D571" s="420"/>
      <c r="E571" s="262"/>
    </row>
    <row r="572" spans="1:5" ht="19.5" customHeight="1">
      <c r="A572" s="419"/>
      <c r="B572" s="419"/>
      <c r="C572" s="419"/>
      <c r="D572" s="420"/>
      <c r="E572" s="262"/>
    </row>
    <row r="573" spans="1:5" ht="19.5" customHeight="1">
      <c r="A573" s="419"/>
      <c r="B573" s="419"/>
      <c r="C573" s="419"/>
      <c r="D573" s="420"/>
      <c r="E573" s="262"/>
    </row>
    <row r="574" spans="1:5" ht="19.5" customHeight="1">
      <c r="A574" s="419"/>
      <c r="B574" s="419"/>
      <c r="C574" s="419"/>
      <c r="D574" s="420"/>
      <c r="E574" s="262"/>
    </row>
    <row r="575" spans="1:5" ht="19.5" customHeight="1">
      <c r="A575" s="419"/>
      <c r="B575" s="419"/>
      <c r="C575" s="419"/>
      <c r="D575" s="420"/>
      <c r="E575" s="262"/>
    </row>
    <row r="576" spans="1:5" ht="19.5" customHeight="1">
      <c r="A576" s="419"/>
      <c r="B576" s="419"/>
      <c r="C576" s="419"/>
      <c r="D576" s="420"/>
      <c r="E576" s="262"/>
    </row>
    <row r="577" spans="1:5" ht="19.5" customHeight="1">
      <c r="A577" s="419"/>
      <c r="B577" s="419"/>
      <c r="C577" s="419"/>
      <c r="D577" s="420"/>
      <c r="E577" s="262"/>
    </row>
    <row r="578" spans="1:5" ht="19.5" customHeight="1">
      <c r="A578" s="419"/>
      <c r="B578" s="419"/>
      <c r="C578" s="419"/>
      <c r="D578" s="420"/>
      <c r="E578" s="262"/>
    </row>
    <row r="579" spans="1:5" ht="19.5" customHeight="1">
      <c r="A579" s="419"/>
      <c r="B579" s="419"/>
      <c r="C579" s="419"/>
      <c r="D579" s="420"/>
      <c r="E579" s="262"/>
    </row>
    <row r="580" spans="1:5" ht="19.5" customHeight="1">
      <c r="A580" s="419"/>
      <c r="B580" s="419"/>
      <c r="C580" s="419"/>
      <c r="D580" s="420"/>
      <c r="E580" s="262"/>
    </row>
    <row r="581" spans="1:5" ht="19.5" customHeight="1">
      <c r="A581" s="419"/>
      <c r="B581" s="419"/>
      <c r="C581" s="419"/>
      <c r="D581" s="420"/>
      <c r="E581" s="262"/>
    </row>
    <row r="582" spans="1:5" ht="19.5" customHeight="1">
      <c r="A582" s="419"/>
      <c r="B582" s="419"/>
      <c r="C582" s="419"/>
      <c r="D582" s="420"/>
      <c r="E582" s="262"/>
    </row>
    <row r="583" spans="1:5" ht="19.5" customHeight="1">
      <c r="A583" s="419"/>
      <c r="B583" s="419"/>
      <c r="C583" s="419"/>
      <c r="D583" s="420"/>
      <c r="E583" s="262"/>
    </row>
    <row r="584" spans="1:5" ht="19.5" customHeight="1">
      <c r="A584" s="419"/>
      <c r="B584" s="419"/>
      <c r="C584" s="419"/>
      <c r="D584" s="420"/>
      <c r="E584" s="262"/>
    </row>
    <row r="585" spans="1:5" ht="19.5" customHeight="1">
      <c r="A585" s="419"/>
      <c r="B585" s="419"/>
      <c r="C585" s="419"/>
      <c r="D585" s="420"/>
      <c r="E585" s="262"/>
    </row>
    <row r="586" spans="1:5" ht="19.5" customHeight="1">
      <c r="A586" s="419"/>
      <c r="B586" s="419"/>
      <c r="C586" s="419"/>
      <c r="D586" s="420"/>
      <c r="E586" s="262"/>
    </row>
    <row r="587" spans="1:5" ht="19.5" customHeight="1">
      <c r="A587" s="419"/>
      <c r="B587" s="419"/>
      <c r="C587" s="419"/>
      <c r="D587" s="420"/>
      <c r="E587" s="262"/>
    </row>
    <row r="588" spans="1:5" ht="19.5" customHeight="1">
      <c r="A588" s="419"/>
      <c r="B588" s="419"/>
      <c r="C588" s="419"/>
      <c r="D588" s="420"/>
      <c r="E588" s="262"/>
    </row>
    <row r="589" spans="1:5" ht="19.5" customHeight="1">
      <c r="A589" s="419"/>
      <c r="B589" s="419"/>
      <c r="C589" s="419"/>
      <c r="D589" s="420"/>
      <c r="E589" s="262"/>
    </row>
    <row r="590" spans="1:5" ht="19.5" customHeight="1">
      <c r="A590" s="419"/>
      <c r="B590" s="419"/>
      <c r="C590" s="419"/>
      <c r="D590" s="420"/>
      <c r="E590" s="262"/>
    </row>
    <row r="591" spans="1:5" ht="19.5" customHeight="1">
      <c r="A591" s="419"/>
      <c r="B591" s="419"/>
      <c r="C591" s="419"/>
      <c r="D591" s="420"/>
      <c r="E591" s="262"/>
    </row>
    <row r="592" spans="1:5" ht="19.5" customHeight="1">
      <c r="A592" s="419"/>
      <c r="B592" s="419"/>
      <c r="C592" s="419"/>
      <c r="D592" s="420"/>
      <c r="E592" s="262"/>
    </row>
    <row r="593" spans="1:5" ht="19.5" customHeight="1">
      <c r="A593" s="419"/>
      <c r="B593" s="419"/>
      <c r="C593" s="419"/>
      <c r="D593" s="420"/>
      <c r="E593" s="262"/>
    </row>
    <row r="594" spans="1:5" ht="19.5" customHeight="1">
      <c r="A594" s="419"/>
      <c r="B594" s="419"/>
      <c r="C594" s="419"/>
      <c r="D594" s="420"/>
      <c r="E594" s="262"/>
    </row>
    <row r="595" spans="1:5" ht="19.5" customHeight="1">
      <c r="A595" s="419"/>
      <c r="B595" s="419"/>
      <c r="C595" s="419"/>
      <c r="D595" s="420"/>
      <c r="E595" s="262"/>
    </row>
    <row r="596" spans="1:5" ht="19.5" customHeight="1">
      <c r="A596" s="419"/>
      <c r="B596" s="419"/>
      <c r="C596" s="419"/>
      <c r="D596" s="420"/>
      <c r="E596" s="262"/>
    </row>
    <row r="597" spans="1:5" ht="19.5" customHeight="1">
      <c r="A597" s="419"/>
      <c r="B597" s="419"/>
      <c r="C597" s="419"/>
      <c r="D597" s="420"/>
      <c r="E597" s="262"/>
    </row>
    <row r="598" spans="1:5" ht="19.5" customHeight="1">
      <c r="A598" s="419"/>
      <c r="B598" s="419"/>
      <c r="C598" s="419"/>
      <c r="D598" s="420"/>
      <c r="E598" s="262"/>
    </row>
    <row r="599" spans="1:5" ht="19.5" customHeight="1">
      <c r="A599" s="419"/>
      <c r="B599" s="419"/>
      <c r="C599" s="419"/>
      <c r="D599" s="420"/>
      <c r="E599" s="262"/>
    </row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</sheetData>
  <sheetProtection password="CF93" sheet="1" formatRows="0" insertColumns="0" insertRows="0" insertHyperlinks="0" deleteColumns="0" deleteRows="0" sort="0" autoFilter="0" pivotTables="0"/>
  <mergeCells count="11">
    <mergeCell ref="G104:G105"/>
    <mergeCell ref="F1:G1"/>
    <mergeCell ref="A3:G3"/>
    <mergeCell ref="A7:D7"/>
    <mergeCell ref="A450:D450"/>
    <mergeCell ref="E44:E45"/>
    <mergeCell ref="F44:F45"/>
    <mergeCell ref="G44:G45"/>
    <mergeCell ref="A317:D317"/>
    <mergeCell ref="E104:E105"/>
    <mergeCell ref="F104:F105"/>
  </mergeCells>
  <printOptions horizontalCentered="1"/>
  <pageMargins left="0.787401574803149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217"/>
  <sheetViews>
    <sheetView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I26" sqref="I26"/>
    </sheetView>
  </sheetViews>
  <sheetFormatPr defaultColWidth="9.00390625" defaultRowHeight="12.75"/>
  <cols>
    <col min="1" max="1" width="5.625" style="431" customWidth="1"/>
    <col min="2" max="2" width="6.375" style="431" customWidth="1"/>
    <col min="3" max="3" width="5.125" style="431" customWidth="1"/>
    <col min="4" max="4" width="40.25390625" style="432" customWidth="1"/>
    <col min="5" max="5" width="13.375" style="201" customWidth="1"/>
    <col min="6" max="6" width="13.00390625" style="201" customWidth="1"/>
    <col min="7" max="7" width="6.375" style="422" customWidth="1"/>
    <col min="8" max="8" width="9.125" style="201" customWidth="1"/>
    <col min="9" max="9" width="29.875" style="201" customWidth="1"/>
    <col min="10" max="16384" width="9.125" style="201" customWidth="1"/>
  </cols>
  <sheetData>
    <row r="1" spans="1:7" s="156" customFormat="1" ht="12.75">
      <c r="A1" s="153"/>
      <c r="B1" s="153"/>
      <c r="C1" s="153"/>
      <c r="D1" s="154"/>
      <c r="E1" s="154"/>
      <c r="F1" s="1382" t="s">
        <v>1381</v>
      </c>
      <c r="G1" s="1382"/>
    </row>
    <row r="2" spans="1:7" s="156" customFormat="1" ht="17.25" customHeight="1">
      <c r="A2" s="153"/>
      <c r="B2" s="153"/>
      <c r="C2" s="153"/>
      <c r="E2" s="154"/>
      <c r="G2" s="157"/>
    </row>
    <row r="3" spans="1:7" s="159" customFormat="1" ht="30.75" customHeight="1">
      <c r="A3" s="1421" t="s">
        <v>1382</v>
      </c>
      <c r="B3" s="1421"/>
      <c r="C3" s="1421"/>
      <c r="D3" s="1421"/>
      <c r="E3" s="1421"/>
      <c r="F3" s="1421"/>
      <c r="G3" s="1421"/>
    </row>
    <row r="4" spans="1:7" s="156" customFormat="1" ht="13.5" thickBot="1">
      <c r="A4" s="153"/>
      <c r="B4" s="153"/>
      <c r="C4" s="153"/>
      <c r="D4" s="154"/>
      <c r="G4" s="157"/>
    </row>
    <row r="5" spans="1:7" s="165" customFormat="1" ht="15" customHeight="1">
      <c r="A5" s="160" t="s">
        <v>254</v>
      </c>
      <c r="B5" s="161" t="s">
        <v>1427</v>
      </c>
      <c r="C5" s="161" t="s">
        <v>259</v>
      </c>
      <c r="D5" s="161" t="s">
        <v>1428</v>
      </c>
      <c r="E5" s="162" t="s">
        <v>1429</v>
      </c>
      <c r="F5" s="163" t="s">
        <v>1430</v>
      </c>
      <c r="G5" s="164" t="s">
        <v>1431</v>
      </c>
    </row>
    <row r="6" spans="1:7" s="171" customFormat="1" ht="13.5" customHeight="1" thickBot="1">
      <c r="A6" s="166">
        <v>1</v>
      </c>
      <c r="B6" s="167">
        <v>2</v>
      </c>
      <c r="C6" s="167">
        <v>3</v>
      </c>
      <c r="D6" s="167">
        <v>4</v>
      </c>
      <c r="E6" s="168">
        <v>5</v>
      </c>
      <c r="F6" s="169">
        <v>6</v>
      </c>
      <c r="G6" s="170">
        <v>7</v>
      </c>
    </row>
    <row r="7" spans="1:7" s="174" customFormat="1" ht="22.5" customHeight="1">
      <c r="A7" s="1349" t="s">
        <v>1383</v>
      </c>
      <c r="B7" s="1350"/>
      <c r="C7" s="1350"/>
      <c r="D7" s="1351"/>
      <c r="E7" s="172">
        <f>SUM(E8,E14,E23,E30,E35,E38)</f>
        <v>36048885</v>
      </c>
      <c r="F7" s="172">
        <f>SUM(F8,F14,F23,F30,F35,F38)</f>
        <v>5756470.26</v>
      </c>
      <c r="G7" s="173">
        <f>F7/E7*100</f>
        <v>15.9685112590861</v>
      </c>
    </row>
    <row r="8" spans="1:7" s="197" customFormat="1" ht="18" customHeight="1">
      <c r="A8" s="175" t="s">
        <v>1434</v>
      </c>
      <c r="B8" s="194"/>
      <c r="C8" s="194"/>
      <c r="D8" s="195" t="s">
        <v>260</v>
      </c>
      <c r="E8" s="196">
        <f>SUM(E9)</f>
        <v>40000</v>
      </c>
      <c r="F8" s="196">
        <f>SUM(F9)</f>
        <v>27949.82</v>
      </c>
      <c r="G8" s="179">
        <f>F8/E8*100</f>
        <v>69.87455</v>
      </c>
    </row>
    <row r="9" spans="1:7" ht="21" customHeight="1">
      <c r="A9" s="181"/>
      <c r="B9" s="198" t="s">
        <v>1435</v>
      </c>
      <c r="C9" s="198"/>
      <c r="D9" s="199" t="s">
        <v>1433</v>
      </c>
      <c r="E9" s="200">
        <f>SUM(E10)</f>
        <v>40000</v>
      </c>
      <c r="F9" s="200">
        <f>SUM(F10)</f>
        <v>27949.82</v>
      </c>
      <c r="G9" s="185">
        <f>F9/E9*100</f>
        <v>69.87455</v>
      </c>
    </row>
    <row r="10" spans="1:7" s="205" customFormat="1" ht="21" customHeight="1">
      <c r="A10" s="187"/>
      <c r="B10" s="202"/>
      <c r="C10" s="202" t="s">
        <v>570</v>
      </c>
      <c r="D10" s="206" t="s">
        <v>569</v>
      </c>
      <c r="E10" s="204">
        <f>6D!E14</f>
        <v>40000</v>
      </c>
      <c r="F10" s="204">
        <f>6D!F14</f>
        <v>27949.82</v>
      </c>
      <c r="G10" s="192">
        <f>F10/E10*100</f>
        <v>69.87455</v>
      </c>
    </row>
    <row r="11" spans="1:7" s="197" customFormat="1" ht="19.5" customHeight="1" hidden="1">
      <c r="A11" s="175" t="s">
        <v>383</v>
      </c>
      <c r="B11" s="194"/>
      <c r="C11" s="194"/>
      <c r="D11" s="195" t="s">
        <v>386</v>
      </c>
      <c r="E11" s="196">
        <f>E13</f>
        <v>0</v>
      </c>
      <c r="F11" s="196">
        <f>F12</f>
        <v>0</v>
      </c>
      <c r="G11" s="192" t="e">
        <f aca="true" t="shared" si="0" ref="G11:G23">F11/E11*100</f>
        <v>#DIV/0!</v>
      </c>
    </row>
    <row r="12" spans="1:7" ht="21.75" customHeight="1" hidden="1">
      <c r="A12" s="181"/>
      <c r="B12" s="198" t="s">
        <v>616</v>
      </c>
      <c r="C12" s="198"/>
      <c r="D12" s="199" t="s">
        <v>617</v>
      </c>
      <c r="E12" s="210">
        <f>E13</f>
        <v>0</v>
      </c>
      <c r="F12" s="200">
        <f>F13</f>
        <v>0</v>
      </c>
      <c r="G12" s="192" t="e">
        <f t="shared" si="0"/>
        <v>#DIV/0!</v>
      </c>
    </row>
    <row r="13" spans="1:7" s="205" customFormat="1" ht="29.25" customHeight="1" hidden="1">
      <c r="A13" s="187"/>
      <c r="B13" s="202"/>
      <c r="C13" s="202" t="s">
        <v>618</v>
      </c>
      <c r="D13" s="206" t="s">
        <v>413</v>
      </c>
      <c r="E13" s="212">
        <v>0</v>
      </c>
      <c r="F13" s="204"/>
      <c r="G13" s="192" t="e">
        <f t="shared" si="0"/>
        <v>#DIV/0!</v>
      </c>
    </row>
    <row r="14" spans="1:7" ht="19.5" customHeight="1" hidden="1">
      <c r="A14" s="175" t="s">
        <v>67</v>
      </c>
      <c r="B14" s="194"/>
      <c r="C14" s="194"/>
      <c r="D14" s="207" t="s">
        <v>68</v>
      </c>
      <c r="E14" s="208">
        <f>SUM(E15,E18)</f>
        <v>0</v>
      </c>
      <c r="F14" s="209">
        <f>SUM(F15,F18)</f>
        <v>0</v>
      </c>
      <c r="G14" s="192" t="e">
        <f t="shared" si="0"/>
        <v>#DIV/0!</v>
      </c>
    </row>
    <row r="15" spans="1:7" ht="19.5" customHeight="1" hidden="1">
      <c r="A15" s="181"/>
      <c r="B15" s="198" t="s">
        <v>70</v>
      </c>
      <c r="C15" s="198"/>
      <c r="D15" s="183" t="s">
        <v>71</v>
      </c>
      <c r="E15" s="210">
        <f>SUM(E16)</f>
        <v>0</v>
      </c>
      <c r="F15" s="210">
        <f>SUM(F16)</f>
        <v>0</v>
      </c>
      <c r="G15" s="192" t="e">
        <f t="shared" si="0"/>
        <v>#DIV/0!</v>
      </c>
    </row>
    <row r="16" spans="1:7" s="205" customFormat="1" ht="20.25" customHeight="1" hidden="1">
      <c r="A16" s="187"/>
      <c r="B16" s="202"/>
      <c r="C16" s="202" t="s">
        <v>570</v>
      </c>
      <c r="D16" s="206" t="s">
        <v>569</v>
      </c>
      <c r="E16" s="204">
        <f>6D!E26</f>
        <v>0</v>
      </c>
      <c r="F16" s="204">
        <f>6D!F26</f>
        <v>0</v>
      </c>
      <c r="G16" s="192" t="e">
        <f t="shared" si="0"/>
        <v>#DIV/0!</v>
      </c>
    </row>
    <row r="17" spans="1:7" s="205" customFormat="1" ht="20.25" customHeight="1" hidden="1">
      <c r="A17" s="187"/>
      <c r="B17" s="202"/>
      <c r="C17" s="202" t="s">
        <v>612</v>
      </c>
      <c r="D17" s="206" t="s">
        <v>266</v>
      </c>
      <c r="E17" s="204">
        <v>0</v>
      </c>
      <c r="F17" s="204">
        <v>0</v>
      </c>
      <c r="G17" s="192" t="e">
        <f t="shared" si="0"/>
        <v>#DIV/0!</v>
      </c>
    </row>
    <row r="18" spans="1:7" ht="21.75" customHeight="1" hidden="1">
      <c r="A18" s="181"/>
      <c r="B18" s="213" t="s">
        <v>434</v>
      </c>
      <c r="C18" s="198"/>
      <c r="D18" s="183" t="s">
        <v>435</v>
      </c>
      <c r="E18" s="184">
        <f>SUM(E19,E21)</f>
        <v>0</v>
      </c>
      <c r="F18" s="184">
        <f>SUM(F19,F21)</f>
        <v>0</v>
      </c>
      <c r="G18" s="192" t="e">
        <f t="shared" si="0"/>
        <v>#DIV/0!</v>
      </c>
    </row>
    <row r="19" spans="1:7" s="205" customFormat="1" ht="54.75" customHeight="1" hidden="1">
      <c r="A19" s="187"/>
      <c r="B19" s="278"/>
      <c r="C19" s="202" t="s">
        <v>1321</v>
      </c>
      <c r="D19" s="206" t="s">
        <v>711</v>
      </c>
      <c r="E19" s="191"/>
      <c r="F19" s="191"/>
      <c r="G19" s="192" t="e">
        <f t="shared" si="0"/>
        <v>#DIV/0!</v>
      </c>
    </row>
    <row r="20" spans="1:7" s="205" customFormat="1" ht="66.75" customHeight="1" hidden="1">
      <c r="A20" s="187"/>
      <c r="B20" s="278"/>
      <c r="C20" s="202"/>
      <c r="D20" s="190" t="s">
        <v>790</v>
      </c>
      <c r="E20" s="191"/>
      <c r="F20" s="191"/>
      <c r="G20" s="192" t="e">
        <f t="shared" si="0"/>
        <v>#DIV/0!</v>
      </c>
    </row>
    <row r="21" spans="1:7" s="205" customFormat="1" ht="54" customHeight="1" hidden="1">
      <c r="A21" s="187"/>
      <c r="B21" s="278"/>
      <c r="C21" s="202" t="s">
        <v>1247</v>
      </c>
      <c r="D21" s="206" t="s">
        <v>711</v>
      </c>
      <c r="E21" s="191"/>
      <c r="F21" s="191"/>
      <c r="G21" s="192" t="e">
        <f t="shared" si="0"/>
        <v>#DIV/0!</v>
      </c>
    </row>
    <row r="22" spans="1:7" s="205" customFormat="1" ht="66.75" customHeight="1" hidden="1">
      <c r="A22" s="187"/>
      <c r="B22" s="278"/>
      <c r="C22" s="202"/>
      <c r="D22" s="190" t="s">
        <v>800</v>
      </c>
      <c r="E22" s="191"/>
      <c r="F22" s="191"/>
      <c r="G22" s="192" t="e">
        <f t="shared" si="0"/>
        <v>#DIV/0!</v>
      </c>
    </row>
    <row r="23" spans="1:7" s="197" customFormat="1" ht="15" customHeight="1">
      <c r="A23" s="175" t="s">
        <v>72</v>
      </c>
      <c r="B23" s="194"/>
      <c r="C23" s="194"/>
      <c r="D23" s="207" t="s">
        <v>73</v>
      </c>
      <c r="E23" s="196">
        <f>SUM(E24,E26)</f>
        <v>2060000</v>
      </c>
      <c r="F23" s="196">
        <f>SUM(F24,F26)</f>
        <v>331293.78</v>
      </c>
      <c r="G23" s="1346">
        <f t="shared" si="0"/>
        <v>16.08222233009709</v>
      </c>
    </row>
    <row r="24" spans="1:7" ht="16.5" customHeight="1">
      <c r="A24" s="181"/>
      <c r="B24" s="198" t="s">
        <v>415</v>
      </c>
      <c r="C24" s="198"/>
      <c r="D24" s="183" t="s">
        <v>416</v>
      </c>
      <c r="E24" s="200">
        <f>SUM(E25)</f>
        <v>0</v>
      </c>
      <c r="F24" s="200">
        <f>SUM(F25)</f>
        <v>296.02</v>
      </c>
      <c r="G24" s="185" t="s">
        <v>313</v>
      </c>
    </row>
    <row r="25" spans="1:7" ht="21" customHeight="1">
      <c r="A25" s="187"/>
      <c r="B25" s="202"/>
      <c r="C25" s="202" t="s">
        <v>570</v>
      </c>
      <c r="D25" s="206" t="s">
        <v>569</v>
      </c>
      <c r="E25" s="204">
        <f>6D!E41</f>
        <v>0</v>
      </c>
      <c r="F25" s="204">
        <f>6D!F41</f>
        <v>296.02</v>
      </c>
      <c r="G25" s="192" t="s">
        <v>313</v>
      </c>
    </row>
    <row r="26" spans="1:7" s="205" customFormat="1" ht="18" customHeight="1">
      <c r="A26" s="181"/>
      <c r="B26" s="198" t="s">
        <v>912</v>
      </c>
      <c r="C26" s="198"/>
      <c r="D26" s="183" t="s">
        <v>1433</v>
      </c>
      <c r="E26" s="200">
        <f>SUM(E27,E28)</f>
        <v>2060000</v>
      </c>
      <c r="F26" s="200">
        <f>SUM(F27,F28)</f>
        <v>330997.76</v>
      </c>
      <c r="G26" s="185">
        <f>F26/E26*100</f>
        <v>16.067852427184466</v>
      </c>
    </row>
    <row r="27" spans="1:7" s="205" customFormat="1" ht="29.25" customHeight="1" hidden="1">
      <c r="A27" s="187"/>
      <c r="B27" s="202"/>
      <c r="C27" s="202" t="s">
        <v>613</v>
      </c>
      <c r="D27" s="206" t="s">
        <v>1348</v>
      </c>
      <c r="E27" s="204">
        <v>0</v>
      </c>
      <c r="F27" s="204">
        <v>0</v>
      </c>
      <c r="G27" s="192" t="e">
        <f>F27/E27*100</f>
        <v>#DIV/0!</v>
      </c>
    </row>
    <row r="28" spans="1:7" s="205" customFormat="1" ht="51.75" customHeight="1">
      <c r="A28" s="187"/>
      <c r="B28" s="202"/>
      <c r="C28" s="202" t="s">
        <v>1321</v>
      </c>
      <c r="D28" s="206" t="s">
        <v>711</v>
      </c>
      <c r="E28" s="204">
        <f>6D!E49</f>
        <v>2060000</v>
      </c>
      <c r="F28" s="204">
        <f>6D!F49</f>
        <v>330997.76</v>
      </c>
      <c r="G28" s="192">
        <f>F28/E28*100</f>
        <v>16.067852427184466</v>
      </c>
    </row>
    <row r="29" spans="1:7" s="205" customFormat="1" ht="81" customHeight="1">
      <c r="A29" s="187"/>
      <c r="B29" s="202"/>
      <c r="C29" s="202"/>
      <c r="D29" s="190" t="s">
        <v>712</v>
      </c>
      <c r="E29" s="204"/>
      <c r="F29" s="204"/>
      <c r="G29" s="192"/>
    </row>
    <row r="30" spans="1:7" s="197" customFormat="1" ht="21" customHeight="1">
      <c r="A30" s="175" t="s">
        <v>74</v>
      </c>
      <c r="B30" s="194"/>
      <c r="C30" s="194"/>
      <c r="D30" s="195" t="s">
        <v>75</v>
      </c>
      <c r="E30" s="196">
        <f>SUM(E31)</f>
        <v>31286000</v>
      </c>
      <c r="F30" s="196">
        <f>SUM(F31)</f>
        <v>4848315.96</v>
      </c>
      <c r="G30" s="179">
        <f>F30/E30*100</f>
        <v>15.496758805855654</v>
      </c>
    </row>
    <row r="31" spans="1:7" ht="21" customHeight="1">
      <c r="A31" s="187"/>
      <c r="B31" s="198" t="s">
        <v>76</v>
      </c>
      <c r="C31" s="198"/>
      <c r="D31" s="199" t="s">
        <v>77</v>
      </c>
      <c r="E31" s="200">
        <f>SUM(E32,E33)</f>
        <v>31286000</v>
      </c>
      <c r="F31" s="200">
        <f>SUM(F32,F33)</f>
        <v>4848315.96</v>
      </c>
      <c r="G31" s="185">
        <f>F31/E31*100</f>
        <v>15.496758805855654</v>
      </c>
    </row>
    <row r="32" spans="1:7" s="205" customFormat="1" ht="42" customHeight="1">
      <c r="A32" s="187"/>
      <c r="B32" s="202"/>
      <c r="C32" s="202" t="s">
        <v>621</v>
      </c>
      <c r="D32" s="206" t="s">
        <v>272</v>
      </c>
      <c r="E32" s="204">
        <f>6D!E61</f>
        <v>200000</v>
      </c>
      <c r="F32" s="204">
        <f>6D!F61</f>
        <v>103374.95</v>
      </c>
      <c r="G32" s="192">
        <f>F32/E32*100</f>
        <v>51.68747499999999</v>
      </c>
    </row>
    <row r="33" spans="1:7" s="221" customFormat="1" ht="39" customHeight="1">
      <c r="A33" s="187"/>
      <c r="B33" s="202"/>
      <c r="C33" s="202" t="s">
        <v>622</v>
      </c>
      <c r="D33" s="206" t="s">
        <v>717</v>
      </c>
      <c r="E33" s="204">
        <f>6D!E62</f>
        <v>31086000</v>
      </c>
      <c r="F33" s="204">
        <f>6D!F62</f>
        <v>4744941.01</v>
      </c>
      <c r="G33" s="192">
        <f>F33/E33*100</f>
        <v>15.263916264556391</v>
      </c>
    </row>
    <row r="34" spans="1:7" s="205" customFormat="1" ht="8.25" customHeight="1" hidden="1">
      <c r="A34" s="214"/>
      <c r="B34" s="215"/>
      <c r="C34" s="189">
        <v>6290</v>
      </c>
      <c r="D34" s="206" t="s">
        <v>711</v>
      </c>
      <c r="E34" s="217">
        <v>0</v>
      </c>
      <c r="F34" s="217">
        <v>0</v>
      </c>
      <c r="G34" s="192" t="e">
        <f>F34/E34*100</f>
        <v>#DIV/0!</v>
      </c>
    </row>
    <row r="35" spans="1:7" s="205" customFormat="1" ht="24" customHeight="1">
      <c r="A35" s="228" t="s">
        <v>90</v>
      </c>
      <c r="B35" s="229"/>
      <c r="C35" s="229"/>
      <c r="D35" s="231" t="s">
        <v>91</v>
      </c>
      <c r="E35" s="209">
        <f>E36</f>
        <v>0</v>
      </c>
      <c r="F35" s="209">
        <f>F36</f>
        <v>40.98</v>
      </c>
      <c r="G35" s="179" t="s">
        <v>313</v>
      </c>
    </row>
    <row r="36" spans="1:8" s="205" customFormat="1" ht="21" customHeight="1">
      <c r="A36" s="222"/>
      <c r="B36" s="234" t="s">
        <v>101</v>
      </c>
      <c r="C36" s="234"/>
      <c r="D36" s="235" t="s">
        <v>401</v>
      </c>
      <c r="E36" s="226">
        <f>E37</f>
        <v>0</v>
      </c>
      <c r="F36" s="226">
        <f>F37</f>
        <v>40.98</v>
      </c>
      <c r="G36" s="185" t="s">
        <v>313</v>
      </c>
      <c r="H36" s="201"/>
    </row>
    <row r="37" spans="1:7" s="205" customFormat="1" ht="22.5" customHeight="1">
      <c r="A37" s="214"/>
      <c r="B37" s="215"/>
      <c r="C37" s="216" t="s">
        <v>570</v>
      </c>
      <c r="D37" s="190" t="s">
        <v>569</v>
      </c>
      <c r="E37" s="217">
        <f>6D!E87</f>
        <v>0</v>
      </c>
      <c r="F37" s="217">
        <f>6D!F87</f>
        <v>40.98</v>
      </c>
      <c r="G37" s="192" t="s">
        <v>313</v>
      </c>
    </row>
    <row r="38" spans="1:7" s="205" customFormat="1" ht="29.25" customHeight="1">
      <c r="A38" s="228" t="s">
        <v>216</v>
      </c>
      <c r="B38" s="229"/>
      <c r="C38" s="229"/>
      <c r="D38" s="244" t="s">
        <v>326</v>
      </c>
      <c r="E38" s="209">
        <f>SUM(E39,E42)</f>
        <v>2662885</v>
      </c>
      <c r="F38" s="209">
        <f>SUM(F39,F42)</f>
        <v>548869.72</v>
      </c>
      <c r="G38" s="179">
        <f>F38/E38*100</f>
        <v>20.6118446722258</v>
      </c>
    </row>
    <row r="39" spans="1:7" ht="18" customHeight="1">
      <c r="A39" s="222"/>
      <c r="B39" s="223" t="s">
        <v>1051</v>
      </c>
      <c r="C39" s="241"/>
      <c r="D39" s="225" t="s">
        <v>1052</v>
      </c>
      <c r="E39" s="226">
        <f>SUM(E40)</f>
        <v>2662885</v>
      </c>
      <c r="F39" s="226">
        <f>SUM(F40)</f>
        <v>547720.33</v>
      </c>
      <c r="G39" s="185">
        <f>F39/E39*100</f>
        <v>20.568681336219928</v>
      </c>
    </row>
    <row r="40" spans="1:7" ht="53.25" customHeight="1">
      <c r="A40" s="214"/>
      <c r="B40" s="215"/>
      <c r="C40" s="216" t="s">
        <v>1321</v>
      </c>
      <c r="D40" s="206" t="s">
        <v>711</v>
      </c>
      <c r="E40" s="217">
        <f>6D!E277</f>
        <v>2662885</v>
      </c>
      <c r="F40" s="217">
        <f>6D!F277</f>
        <v>547720.33</v>
      </c>
      <c r="G40" s="192">
        <f>F40/E40*100</f>
        <v>20.568681336219928</v>
      </c>
    </row>
    <row r="41" spans="1:7" ht="74.25" customHeight="1">
      <c r="A41" s="214"/>
      <c r="B41" s="215"/>
      <c r="C41" s="216"/>
      <c r="D41" s="190" t="s">
        <v>712</v>
      </c>
      <c r="E41" s="217"/>
      <c r="F41" s="217"/>
      <c r="G41" s="192"/>
    </row>
    <row r="42" spans="1:7" ht="20.25" customHeight="1">
      <c r="A42" s="266"/>
      <c r="B42" s="257" t="s">
        <v>220</v>
      </c>
      <c r="C42" s="257"/>
      <c r="D42" s="267" t="s">
        <v>1433</v>
      </c>
      <c r="E42" s="226">
        <f>SUM(E43)</f>
        <v>0</v>
      </c>
      <c r="F42" s="226">
        <f>SUM(F43)</f>
        <v>1149.39</v>
      </c>
      <c r="G42" s="211" t="s">
        <v>313</v>
      </c>
    </row>
    <row r="43" spans="1:7" s="205" customFormat="1" ht="21.75" customHeight="1">
      <c r="A43" s="268"/>
      <c r="B43" s="269"/>
      <c r="C43" s="408" t="s">
        <v>570</v>
      </c>
      <c r="D43" s="409" t="s">
        <v>569</v>
      </c>
      <c r="E43" s="271">
        <f>6D!E292</f>
        <v>0</v>
      </c>
      <c r="F43" s="271">
        <f>6D!F292</f>
        <v>1149.39</v>
      </c>
      <c r="G43" s="272" t="s">
        <v>313</v>
      </c>
    </row>
    <row r="44" spans="1:7" ht="41.25" customHeight="1" hidden="1">
      <c r="A44" s="268"/>
      <c r="B44" s="410"/>
      <c r="C44" s="411" t="s">
        <v>452</v>
      </c>
      <c r="D44" s="409" t="s">
        <v>453</v>
      </c>
      <c r="E44" s="412">
        <v>0</v>
      </c>
      <c r="F44" s="412"/>
      <c r="G44" s="413" t="e">
        <f aca="true" t="shared" si="1" ref="G44:G50">F44/E44*100</f>
        <v>#DIV/0!</v>
      </c>
    </row>
    <row r="45" spans="1:7" ht="21.75" customHeight="1" hidden="1">
      <c r="A45" s="222"/>
      <c r="B45" s="257" t="s">
        <v>1034</v>
      </c>
      <c r="C45" s="414"/>
      <c r="D45" s="415" t="s">
        <v>1433</v>
      </c>
      <c r="E45" s="260">
        <f>SUM(E46)</f>
        <v>0</v>
      </c>
      <c r="F45" s="260">
        <f>SUM(F46)</f>
        <v>0</v>
      </c>
      <c r="G45" s="211" t="e">
        <f t="shared" si="1"/>
        <v>#DIV/0!</v>
      </c>
    </row>
    <row r="46" spans="1:7" ht="44.25" customHeight="1" hidden="1">
      <c r="A46" s="268"/>
      <c r="B46" s="410"/>
      <c r="C46" s="411" t="s">
        <v>1035</v>
      </c>
      <c r="D46" s="416" t="s">
        <v>1048</v>
      </c>
      <c r="E46" s="412">
        <v>0</v>
      </c>
      <c r="F46" s="412"/>
      <c r="G46" s="413" t="e">
        <f t="shared" si="1"/>
        <v>#DIV/0!</v>
      </c>
    </row>
    <row r="47" spans="1:7" s="275" customFormat="1" ht="19.5" customHeight="1">
      <c r="A47" s="1418" t="s">
        <v>1384</v>
      </c>
      <c r="B47" s="1419"/>
      <c r="C47" s="1419"/>
      <c r="D47" s="1420"/>
      <c r="E47" s="273">
        <f>SUM(E48,E53)</f>
        <v>3284187</v>
      </c>
      <c r="F47" s="273">
        <f>SUM(F48,F53)</f>
        <v>2314812.2</v>
      </c>
      <c r="G47" s="274">
        <f t="shared" si="1"/>
        <v>70.48356868838468</v>
      </c>
    </row>
    <row r="48" spans="1:7" s="417" customFormat="1" ht="16.5" customHeight="1">
      <c r="A48" s="175" t="s">
        <v>67</v>
      </c>
      <c r="B48" s="194"/>
      <c r="C48" s="194"/>
      <c r="D48" s="207" t="s">
        <v>68</v>
      </c>
      <c r="E48" s="178">
        <f>SUM(E49)</f>
        <v>3284065</v>
      </c>
      <c r="F48" s="178">
        <f>SUM(F49)</f>
        <v>2314690.2</v>
      </c>
      <c r="G48" s="179">
        <f t="shared" si="1"/>
        <v>70.48247218005734</v>
      </c>
    </row>
    <row r="49" spans="1:7" s="277" customFormat="1" ht="39.75" customHeight="1">
      <c r="A49" s="181"/>
      <c r="B49" s="198" t="s">
        <v>69</v>
      </c>
      <c r="C49" s="198"/>
      <c r="D49" s="183" t="s">
        <v>654</v>
      </c>
      <c r="E49" s="184">
        <f>SUM(E50,E51)</f>
        <v>3284065</v>
      </c>
      <c r="F49" s="184">
        <f>SUM(F50,F51)</f>
        <v>2314690.2</v>
      </c>
      <c r="G49" s="185">
        <f t="shared" si="1"/>
        <v>70.48247218005734</v>
      </c>
    </row>
    <row r="50" spans="1:7" s="277" customFormat="1" ht="59.25" customHeight="1">
      <c r="A50" s="187"/>
      <c r="B50" s="188"/>
      <c r="C50" s="202" t="s">
        <v>674</v>
      </c>
      <c r="D50" s="206" t="s">
        <v>711</v>
      </c>
      <c r="E50" s="191">
        <f>6D!E332</f>
        <v>846820</v>
      </c>
      <c r="F50" s="191">
        <f>6D!F332</f>
        <v>674604.1</v>
      </c>
      <c r="G50" s="192">
        <f t="shared" si="1"/>
        <v>79.66322240854018</v>
      </c>
    </row>
    <row r="51" spans="1:7" s="418" customFormat="1" ht="57" customHeight="1">
      <c r="A51" s="294"/>
      <c r="B51" s="213"/>
      <c r="C51" s="202" t="s">
        <v>1321</v>
      </c>
      <c r="D51" s="206" t="s">
        <v>711</v>
      </c>
      <c r="E51" s="212">
        <f>6D!E333</f>
        <v>2437245</v>
      </c>
      <c r="F51" s="212">
        <f>6D!F333</f>
        <v>1640086.1</v>
      </c>
      <c r="G51" s="220">
        <f>F51/E51*100</f>
        <v>67.29262343342586</v>
      </c>
    </row>
    <row r="52" spans="1:7" s="418" customFormat="1" ht="80.25" customHeight="1">
      <c r="A52" s="294"/>
      <c r="B52" s="213"/>
      <c r="C52" s="202"/>
      <c r="D52" s="190" t="s">
        <v>712</v>
      </c>
      <c r="E52" s="212"/>
      <c r="F52" s="212"/>
      <c r="G52" s="220"/>
    </row>
    <row r="53" spans="1:7" s="277" customFormat="1" ht="21" customHeight="1">
      <c r="A53" s="175" t="s">
        <v>74</v>
      </c>
      <c r="B53" s="279"/>
      <c r="C53" s="194"/>
      <c r="D53" s="195" t="s">
        <v>75</v>
      </c>
      <c r="E53" s="196">
        <f>SUM(E54)</f>
        <v>122</v>
      </c>
      <c r="F53" s="196">
        <f>SUM(F54)</f>
        <v>122</v>
      </c>
      <c r="G53" s="179">
        <f>F53/E53*100</f>
        <v>100</v>
      </c>
    </row>
    <row r="54" spans="1:7" s="277" customFormat="1" ht="19.5" customHeight="1">
      <c r="A54" s="187"/>
      <c r="B54" s="213" t="s">
        <v>76</v>
      </c>
      <c r="C54" s="213"/>
      <c r="D54" s="280" t="s">
        <v>77</v>
      </c>
      <c r="E54" s="200">
        <f>SUM(E55)</f>
        <v>122</v>
      </c>
      <c r="F54" s="200">
        <f>SUM(F55)</f>
        <v>122</v>
      </c>
      <c r="G54" s="185">
        <f>F54/E54*100</f>
        <v>100</v>
      </c>
    </row>
    <row r="55" spans="1:7" s="221" customFormat="1" ht="53.25" customHeight="1" thickBot="1">
      <c r="A55" s="187"/>
      <c r="B55" s="188"/>
      <c r="C55" s="189">
        <v>6410</v>
      </c>
      <c r="D55" s="190" t="s">
        <v>1337</v>
      </c>
      <c r="E55" s="219">
        <f>6D!E341</f>
        <v>122</v>
      </c>
      <c r="F55" s="219">
        <f>6D!F341</f>
        <v>122</v>
      </c>
      <c r="G55" s="192">
        <f>F55/E55*100</f>
        <v>100</v>
      </c>
    </row>
    <row r="56" spans="1:7" s="277" customFormat="1" ht="19.5" customHeight="1" hidden="1">
      <c r="A56" s="175"/>
      <c r="B56" s="194"/>
      <c r="C56" s="281"/>
      <c r="D56" s="195"/>
      <c r="E56" s="196"/>
      <c r="F56" s="196"/>
      <c r="G56" s="179"/>
    </row>
    <row r="57" spans="1:7" s="277" customFormat="1" ht="17.25" customHeight="1" hidden="1">
      <c r="A57" s="181"/>
      <c r="B57" s="265"/>
      <c r="C57" s="281"/>
      <c r="D57" s="183"/>
      <c r="E57" s="200"/>
      <c r="F57" s="200"/>
      <c r="G57" s="185"/>
    </row>
    <row r="58" spans="1:7" s="221" customFormat="1" ht="41.25" customHeight="1" hidden="1" thickBot="1">
      <c r="A58" s="187"/>
      <c r="B58" s="202"/>
      <c r="C58" s="227"/>
      <c r="D58" s="285"/>
      <c r="E58" s="204"/>
      <c r="F58" s="204"/>
      <c r="G58" s="192"/>
    </row>
    <row r="59" spans="1:7" s="221" customFormat="1" ht="39" customHeight="1" hidden="1">
      <c r="A59" s="181"/>
      <c r="B59" s="198" t="s">
        <v>1200</v>
      </c>
      <c r="C59" s="265"/>
      <c r="D59" s="183" t="s">
        <v>1201</v>
      </c>
      <c r="E59" s="200">
        <f>SUM(E60)</f>
        <v>0</v>
      </c>
      <c r="F59" s="200">
        <f>SUM(F60)</f>
        <v>0</v>
      </c>
      <c r="G59" s="185" t="e">
        <f aca="true" t="shared" si="2" ref="G59:G68">F59/E59*100</f>
        <v>#DIV/0!</v>
      </c>
    </row>
    <row r="60" spans="1:7" s="221" customFormat="1" ht="31.5" customHeight="1" hidden="1">
      <c r="A60" s="187"/>
      <c r="B60" s="202"/>
      <c r="C60" s="227" t="s">
        <v>670</v>
      </c>
      <c r="D60" s="206" t="s">
        <v>262</v>
      </c>
      <c r="E60" s="204">
        <v>0</v>
      </c>
      <c r="F60" s="204"/>
      <c r="G60" s="192" t="e">
        <f t="shared" si="2"/>
        <v>#DIV/0!</v>
      </c>
    </row>
    <row r="61" spans="1:7" s="277" customFormat="1" ht="30" customHeight="1" hidden="1">
      <c r="A61" s="181"/>
      <c r="B61" s="198" t="s">
        <v>141</v>
      </c>
      <c r="C61" s="198"/>
      <c r="D61" s="183" t="s">
        <v>128</v>
      </c>
      <c r="E61" s="200">
        <f>SUM(E62)</f>
        <v>0</v>
      </c>
      <c r="F61" s="200">
        <f>SUM(F62)</f>
        <v>0</v>
      </c>
      <c r="G61" s="185" t="e">
        <f t="shared" si="2"/>
        <v>#DIV/0!</v>
      </c>
    </row>
    <row r="62" spans="1:7" s="277" customFormat="1" ht="33" customHeight="1" hidden="1">
      <c r="A62" s="187"/>
      <c r="B62" s="202"/>
      <c r="C62" s="202" t="s">
        <v>670</v>
      </c>
      <c r="D62" s="206" t="s">
        <v>262</v>
      </c>
      <c r="E62" s="204">
        <v>0</v>
      </c>
      <c r="F62" s="204"/>
      <c r="G62" s="192" t="e">
        <f t="shared" si="2"/>
        <v>#DIV/0!</v>
      </c>
    </row>
    <row r="63" spans="1:7" s="277" customFormat="1" ht="20.25" customHeight="1" hidden="1">
      <c r="A63" s="181"/>
      <c r="B63" s="198" t="s">
        <v>210</v>
      </c>
      <c r="C63" s="198"/>
      <c r="D63" s="183" t="s">
        <v>1024</v>
      </c>
      <c r="E63" s="200">
        <f>SUM(E64)</f>
        <v>0</v>
      </c>
      <c r="F63" s="200">
        <f>SUM(F64)</f>
        <v>0</v>
      </c>
      <c r="G63" s="185" t="e">
        <f t="shared" si="2"/>
        <v>#DIV/0!</v>
      </c>
    </row>
    <row r="64" spans="1:7" s="277" customFormat="1" ht="33" customHeight="1" hidden="1">
      <c r="A64" s="187"/>
      <c r="B64" s="202"/>
      <c r="C64" s="202" t="s">
        <v>670</v>
      </c>
      <c r="D64" s="206" t="s">
        <v>262</v>
      </c>
      <c r="E64" s="204">
        <v>0</v>
      </c>
      <c r="F64" s="204"/>
      <c r="G64" s="192" t="e">
        <f t="shared" si="2"/>
        <v>#DIV/0!</v>
      </c>
    </row>
    <row r="65" spans="1:7" s="277" customFormat="1" ht="21" customHeight="1" hidden="1">
      <c r="A65" s="181"/>
      <c r="B65" s="198" t="s">
        <v>1029</v>
      </c>
      <c r="C65" s="198"/>
      <c r="D65" s="183" t="s">
        <v>1433</v>
      </c>
      <c r="E65" s="184">
        <f>SUM(E66,E67)</f>
        <v>0</v>
      </c>
      <c r="F65" s="184">
        <f>SUM(F66,F67)</f>
        <v>0</v>
      </c>
      <c r="G65" s="185" t="e">
        <f t="shared" si="2"/>
        <v>#DIV/0!</v>
      </c>
    </row>
    <row r="66" spans="1:7" s="221" customFormat="1" ht="30" customHeight="1" hidden="1">
      <c r="A66" s="187"/>
      <c r="B66" s="202"/>
      <c r="C66" s="202" t="s">
        <v>670</v>
      </c>
      <c r="D66" s="206" t="s">
        <v>262</v>
      </c>
      <c r="E66" s="191">
        <v>0</v>
      </c>
      <c r="F66" s="191"/>
      <c r="G66" s="192" t="e">
        <f t="shared" si="2"/>
        <v>#DIV/0!</v>
      </c>
    </row>
    <row r="67" spans="1:7" s="221" customFormat="1" ht="44.25" customHeight="1" hidden="1">
      <c r="A67" s="187"/>
      <c r="B67" s="202"/>
      <c r="C67" s="202" t="s">
        <v>237</v>
      </c>
      <c r="D67" s="206" t="s">
        <v>1049</v>
      </c>
      <c r="E67" s="191">
        <v>0</v>
      </c>
      <c r="F67" s="191"/>
      <c r="G67" s="192" t="e">
        <f t="shared" si="2"/>
        <v>#DIV/0!</v>
      </c>
    </row>
    <row r="68" spans="1:7" s="300" customFormat="1" ht="21" customHeight="1" thickBot="1">
      <c r="A68" s="1352" t="s">
        <v>1385</v>
      </c>
      <c r="B68" s="1353"/>
      <c r="C68" s="1353"/>
      <c r="D68" s="1354"/>
      <c r="E68" s="298">
        <f>SUM(E7,E47)</f>
        <v>39333072</v>
      </c>
      <c r="F68" s="298">
        <f>SUM(F7,F47)</f>
        <v>8071282.46</v>
      </c>
      <c r="G68" s="299">
        <f t="shared" si="2"/>
        <v>20.520345982637714</v>
      </c>
    </row>
    <row r="69" spans="1:6" ht="19.5" customHeight="1">
      <c r="A69" s="419"/>
      <c r="B69" s="419"/>
      <c r="C69" s="419"/>
      <c r="D69" s="420" t="s">
        <v>869</v>
      </c>
      <c r="E69" s="421">
        <v>209541943.92</v>
      </c>
      <c r="F69" s="421">
        <v>186410240.81</v>
      </c>
    </row>
    <row r="70" spans="1:6" ht="19.5" customHeight="1">
      <c r="A70" s="419"/>
      <c r="B70" s="419"/>
      <c r="C70" s="419"/>
      <c r="D70" s="420" t="s">
        <v>933</v>
      </c>
      <c r="E70" s="423">
        <f>E69-E68</f>
        <v>170208871.92</v>
      </c>
      <c r="F70" s="423">
        <f>F69-F68</f>
        <v>178338958.35</v>
      </c>
    </row>
    <row r="71" spans="1:7" s="205" customFormat="1" ht="19.5" customHeight="1">
      <c r="A71" s="424"/>
      <c r="B71" s="424"/>
      <c r="C71" s="424"/>
      <c r="D71" s="425"/>
      <c r="E71" s="426"/>
      <c r="F71" s="427"/>
      <c r="G71" s="428"/>
    </row>
    <row r="72" spans="1:7" s="205" customFormat="1" ht="19.5" customHeight="1">
      <c r="A72" s="424"/>
      <c r="B72" s="424"/>
      <c r="C72" s="424"/>
      <c r="D72" s="425"/>
      <c r="E72" s="426"/>
      <c r="F72" s="426"/>
      <c r="G72" s="428"/>
    </row>
    <row r="73" spans="1:6" ht="19.5" customHeight="1">
      <c r="A73" s="419"/>
      <c r="B73" s="419"/>
      <c r="C73" s="419"/>
      <c r="D73" s="420"/>
      <c r="E73" s="429"/>
      <c r="F73" s="430"/>
    </row>
    <row r="74" spans="1:6" ht="19.5" customHeight="1">
      <c r="A74" s="419"/>
      <c r="B74" s="419"/>
      <c r="C74" s="419"/>
      <c r="D74" s="420"/>
      <c r="E74" s="429"/>
      <c r="F74" s="430"/>
    </row>
    <row r="75" spans="1:6" ht="19.5" customHeight="1">
      <c r="A75" s="419"/>
      <c r="B75" s="419"/>
      <c r="C75" s="419"/>
      <c r="D75" s="420"/>
      <c r="E75" s="429"/>
      <c r="F75" s="430"/>
    </row>
    <row r="76" spans="1:6" ht="19.5" customHeight="1">
      <c r="A76" s="419"/>
      <c r="B76" s="419"/>
      <c r="C76" s="419"/>
      <c r="D76" s="420"/>
      <c r="E76" s="429"/>
      <c r="F76" s="430"/>
    </row>
    <row r="77" spans="1:6" ht="19.5" customHeight="1">
      <c r="A77" s="419"/>
      <c r="B77" s="419"/>
      <c r="C77" s="419"/>
      <c r="D77" s="420"/>
      <c r="E77" s="429"/>
      <c r="F77" s="430"/>
    </row>
    <row r="78" spans="1:6" ht="19.5" customHeight="1">
      <c r="A78" s="419"/>
      <c r="B78" s="419"/>
      <c r="C78" s="419"/>
      <c r="D78" s="420"/>
      <c r="E78" s="429"/>
      <c r="F78" s="430"/>
    </row>
    <row r="79" spans="1:6" ht="19.5" customHeight="1">
      <c r="A79" s="419"/>
      <c r="B79" s="419"/>
      <c r="C79" s="419"/>
      <c r="D79" s="420"/>
      <c r="E79" s="429"/>
      <c r="F79" s="430"/>
    </row>
    <row r="80" spans="1:6" ht="19.5" customHeight="1">
      <c r="A80" s="419"/>
      <c r="B80" s="419"/>
      <c r="C80" s="419"/>
      <c r="D80" s="420"/>
      <c r="E80" s="429"/>
      <c r="F80" s="430"/>
    </row>
    <row r="81" spans="1:6" ht="19.5" customHeight="1">
      <c r="A81" s="419"/>
      <c r="B81" s="419"/>
      <c r="C81" s="419"/>
      <c r="D81" s="420"/>
      <c r="E81" s="429"/>
      <c r="F81" s="430"/>
    </row>
    <row r="82" spans="1:6" ht="19.5" customHeight="1">
      <c r="A82" s="419"/>
      <c r="B82" s="419"/>
      <c r="C82" s="419"/>
      <c r="D82" s="420"/>
      <c r="E82" s="429"/>
      <c r="F82" s="430"/>
    </row>
    <row r="83" spans="1:6" ht="19.5" customHeight="1">
      <c r="A83" s="419"/>
      <c r="B83" s="419"/>
      <c r="C83" s="419"/>
      <c r="D83" s="420"/>
      <c r="E83" s="429"/>
      <c r="F83" s="430"/>
    </row>
    <row r="84" spans="1:6" ht="19.5" customHeight="1">
      <c r="A84" s="419"/>
      <c r="B84" s="419"/>
      <c r="C84" s="419"/>
      <c r="D84" s="420"/>
      <c r="E84" s="429"/>
      <c r="F84" s="430"/>
    </row>
    <row r="85" spans="1:6" ht="19.5" customHeight="1">
      <c r="A85" s="419"/>
      <c r="B85" s="419"/>
      <c r="C85" s="419"/>
      <c r="D85" s="420"/>
      <c r="E85" s="429"/>
      <c r="F85" s="430"/>
    </row>
    <row r="86" spans="1:6" ht="19.5" customHeight="1">
      <c r="A86" s="419"/>
      <c r="B86" s="419"/>
      <c r="C86" s="419"/>
      <c r="D86" s="420"/>
      <c r="E86" s="429"/>
      <c r="F86" s="430"/>
    </row>
    <row r="87" spans="1:6" ht="19.5" customHeight="1">
      <c r="A87" s="419"/>
      <c r="B87" s="419"/>
      <c r="C87" s="419"/>
      <c r="D87" s="420"/>
      <c r="E87" s="429"/>
      <c r="F87" s="430"/>
    </row>
    <row r="88" spans="1:6" ht="19.5" customHeight="1">
      <c r="A88" s="419"/>
      <c r="B88" s="419"/>
      <c r="C88" s="419"/>
      <c r="D88" s="420"/>
      <c r="E88" s="429"/>
      <c r="F88" s="430"/>
    </row>
    <row r="89" spans="1:6" ht="19.5" customHeight="1">
      <c r="A89" s="419"/>
      <c r="B89" s="419"/>
      <c r="C89" s="419"/>
      <c r="D89" s="420"/>
      <c r="E89" s="429"/>
      <c r="F89" s="430"/>
    </row>
    <row r="90" spans="1:6" ht="19.5" customHeight="1">
      <c r="A90" s="419"/>
      <c r="B90" s="419"/>
      <c r="C90" s="419"/>
      <c r="D90" s="420"/>
      <c r="E90" s="429"/>
      <c r="F90" s="430"/>
    </row>
    <row r="91" spans="1:6" ht="19.5" customHeight="1">
      <c r="A91" s="419"/>
      <c r="B91" s="419"/>
      <c r="C91" s="419"/>
      <c r="D91" s="420"/>
      <c r="E91" s="429"/>
      <c r="F91" s="430"/>
    </row>
    <row r="92" spans="1:6" ht="19.5" customHeight="1">
      <c r="A92" s="419"/>
      <c r="B92" s="419"/>
      <c r="C92" s="419"/>
      <c r="D92" s="420"/>
      <c r="E92" s="429"/>
      <c r="F92" s="430"/>
    </row>
    <row r="93" spans="1:6" ht="19.5" customHeight="1">
      <c r="A93" s="419"/>
      <c r="B93" s="419"/>
      <c r="C93" s="419"/>
      <c r="D93" s="420"/>
      <c r="E93" s="429"/>
      <c r="F93" s="430"/>
    </row>
    <row r="94" spans="1:6" ht="19.5" customHeight="1">
      <c r="A94" s="419"/>
      <c r="B94" s="419"/>
      <c r="C94" s="419"/>
      <c r="D94" s="420"/>
      <c r="E94" s="429"/>
      <c r="F94" s="430"/>
    </row>
    <row r="95" spans="1:6" ht="19.5" customHeight="1">
      <c r="A95" s="419"/>
      <c r="B95" s="419"/>
      <c r="C95" s="419"/>
      <c r="D95" s="420"/>
      <c r="E95" s="429"/>
      <c r="F95" s="430"/>
    </row>
    <row r="96" spans="1:6" ht="19.5" customHeight="1">
      <c r="A96" s="419"/>
      <c r="B96" s="419"/>
      <c r="C96" s="419"/>
      <c r="D96" s="420"/>
      <c r="E96" s="429"/>
      <c r="F96" s="430"/>
    </row>
    <row r="97" spans="1:6" ht="19.5" customHeight="1">
      <c r="A97" s="419"/>
      <c r="B97" s="419"/>
      <c r="C97" s="419"/>
      <c r="D97" s="420"/>
      <c r="E97" s="429"/>
      <c r="F97" s="430"/>
    </row>
    <row r="98" spans="1:6" ht="19.5" customHeight="1">
      <c r="A98" s="419"/>
      <c r="B98" s="419"/>
      <c r="C98" s="419"/>
      <c r="D98" s="420"/>
      <c r="E98" s="429"/>
      <c r="F98" s="430"/>
    </row>
    <row r="99" spans="1:6" ht="19.5" customHeight="1">
      <c r="A99" s="419"/>
      <c r="B99" s="419"/>
      <c r="C99" s="419"/>
      <c r="D99" s="420"/>
      <c r="E99" s="429"/>
      <c r="F99" s="430"/>
    </row>
    <row r="100" spans="1:6" ht="19.5" customHeight="1">
      <c r="A100" s="419"/>
      <c r="B100" s="419"/>
      <c r="C100" s="419"/>
      <c r="D100" s="420"/>
      <c r="E100" s="429"/>
      <c r="F100" s="430"/>
    </row>
    <row r="101" spans="1:6" ht="19.5" customHeight="1">
      <c r="A101" s="419"/>
      <c r="B101" s="419"/>
      <c r="C101" s="419"/>
      <c r="D101" s="420"/>
      <c r="E101" s="429"/>
      <c r="F101" s="430"/>
    </row>
    <row r="102" spans="1:6" ht="19.5" customHeight="1">
      <c r="A102" s="419"/>
      <c r="B102" s="419"/>
      <c r="C102" s="419"/>
      <c r="D102" s="420"/>
      <c r="E102" s="429"/>
      <c r="F102" s="430"/>
    </row>
    <row r="103" spans="1:6" ht="19.5" customHeight="1">
      <c r="A103" s="419"/>
      <c r="B103" s="419"/>
      <c r="C103" s="419"/>
      <c r="D103" s="420"/>
      <c r="E103" s="429"/>
      <c r="F103" s="430"/>
    </row>
    <row r="104" spans="1:6" ht="19.5" customHeight="1">
      <c r="A104" s="419"/>
      <c r="B104" s="419"/>
      <c r="C104" s="419"/>
      <c r="D104" s="420"/>
      <c r="E104" s="429"/>
      <c r="F104" s="430"/>
    </row>
    <row r="105" spans="1:6" ht="19.5" customHeight="1">
      <c r="A105" s="419"/>
      <c r="B105" s="419"/>
      <c r="C105" s="419"/>
      <c r="D105" s="420"/>
      <c r="E105" s="429"/>
      <c r="F105" s="430"/>
    </row>
    <row r="106" spans="1:6" ht="19.5" customHeight="1">
      <c r="A106" s="419"/>
      <c r="B106" s="419"/>
      <c r="C106" s="419"/>
      <c r="D106" s="420"/>
      <c r="E106" s="429"/>
      <c r="F106" s="430"/>
    </row>
    <row r="107" spans="1:6" ht="19.5" customHeight="1">
      <c r="A107" s="419"/>
      <c r="B107" s="419"/>
      <c r="C107" s="419"/>
      <c r="D107" s="420"/>
      <c r="E107" s="429"/>
      <c r="F107" s="430"/>
    </row>
    <row r="108" spans="1:6" ht="19.5" customHeight="1">
      <c r="A108" s="419"/>
      <c r="B108" s="419"/>
      <c r="C108" s="419"/>
      <c r="D108" s="420"/>
      <c r="E108" s="429"/>
      <c r="F108" s="430"/>
    </row>
    <row r="109" spans="1:6" ht="19.5" customHeight="1">
      <c r="A109" s="419"/>
      <c r="B109" s="419"/>
      <c r="C109" s="419"/>
      <c r="D109" s="420"/>
      <c r="E109" s="429"/>
      <c r="F109" s="430"/>
    </row>
    <row r="110" spans="1:6" ht="19.5" customHeight="1">
      <c r="A110" s="419"/>
      <c r="B110" s="419"/>
      <c r="C110" s="419"/>
      <c r="D110" s="420"/>
      <c r="E110" s="429"/>
      <c r="F110" s="430"/>
    </row>
    <row r="111" spans="1:6" ht="19.5" customHeight="1">
      <c r="A111" s="419"/>
      <c r="B111" s="419"/>
      <c r="C111" s="419"/>
      <c r="D111" s="420"/>
      <c r="E111" s="429"/>
      <c r="F111" s="430"/>
    </row>
    <row r="112" spans="1:6" ht="19.5" customHeight="1">
      <c r="A112" s="419"/>
      <c r="B112" s="419"/>
      <c r="C112" s="419"/>
      <c r="D112" s="420"/>
      <c r="E112" s="429"/>
      <c r="F112" s="430"/>
    </row>
    <row r="113" spans="1:6" ht="19.5" customHeight="1">
      <c r="A113" s="419"/>
      <c r="B113" s="419"/>
      <c r="C113" s="419"/>
      <c r="D113" s="420"/>
      <c r="E113" s="429"/>
      <c r="F113" s="430"/>
    </row>
    <row r="114" spans="1:6" ht="19.5" customHeight="1">
      <c r="A114" s="419"/>
      <c r="B114" s="419"/>
      <c r="C114" s="419"/>
      <c r="D114" s="420"/>
      <c r="E114" s="429"/>
      <c r="F114" s="430"/>
    </row>
    <row r="115" spans="1:6" ht="19.5" customHeight="1">
      <c r="A115" s="419"/>
      <c r="B115" s="419"/>
      <c r="C115" s="419"/>
      <c r="D115" s="420"/>
      <c r="E115" s="429"/>
      <c r="F115" s="430"/>
    </row>
    <row r="116" spans="1:6" ht="19.5" customHeight="1">
      <c r="A116" s="419"/>
      <c r="B116" s="419"/>
      <c r="C116" s="419"/>
      <c r="D116" s="420"/>
      <c r="E116" s="429"/>
      <c r="F116" s="430"/>
    </row>
    <row r="117" spans="1:6" ht="19.5" customHeight="1">
      <c r="A117" s="419"/>
      <c r="B117" s="419"/>
      <c r="C117" s="419"/>
      <c r="D117" s="420"/>
      <c r="E117" s="429"/>
      <c r="F117" s="430"/>
    </row>
    <row r="118" spans="1:6" ht="19.5" customHeight="1">
      <c r="A118" s="419"/>
      <c r="B118" s="419"/>
      <c r="C118" s="419"/>
      <c r="D118" s="420"/>
      <c r="E118" s="429"/>
      <c r="F118" s="430"/>
    </row>
    <row r="119" spans="1:6" ht="19.5" customHeight="1">
      <c r="A119" s="419"/>
      <c r="B119" s="419"/>
      <c r="C119" s="419"/>
      <c r="D119" s="420"/>
      <c r="E119" s="429"/>
      <c r="F119" s="430"/>
    </row>
    <row r="120" spans="1:6" ht="19.5" customHeight="1">
      <c r="A120" s="419"/>
      <c r="B120" s="419"/>
      <c r="C120" s="419"/>
      <c r="D120" s="420"/>
      <c r="E120" s="429"/>
      <c r="F120" s="430"/>
    </row>
    <row r="121" spans="1:6" ht="19.5" customHeight="1">
      <c r="A121" s="419"/>
      <c r="B121" s="419"/>
      <c r="C121" s="419"/>
      <c r="D121" s="420"/>
      <c r="E121" s="429"/>
      <c r="F121" s="430"/>
    </row>
    <row r="122" spans="1:6" ht="19.5" customHeight="1">
      <c r="A122" s="419"/>
      <c r="B122" s="419"/>
      <c r="C122" s="419"/>
      <c r="D122" s="420"/>
      <c r="E122" s="429"/>
      <c r="F122" s="430"/>
    </row>
    <row r="123" spans="1:6" ht="19.5" customHeight="1">
      <c r="A123" s="419"/>
      <c r="B123" s="419"/>
      <c r="C123" s="419"/>
      <c r="D123" s="420"/>
      <c r="E123" s="429"/>
      <c r="F123" s="430"/>
    </row>
    <row r="124" spans="1:6" ht="19.5" customHeight="1">
      <c r="A124" s="419"/>
      <c r="B124" s="419"/>
      <c r="C124" s="419"/>
      <c r="D124" s="420"/>
      <c r="E124" s="429"/>
      <c r="F124" s="430"/>
    </row>
    <row r="125" spans="1:6" ht="19.5" customHeight="1">
      <c r="A125" s="419"/>
      <c r="B125" s="419"/>
      <c r="C125" s="419"/>
      <c r="D125" s="420"/>
      <c r="E125" s="429"/>
      <c r="F125" s="430"/>
    </row>
    <row r="126" spans="1:6" ht="19.5" customHeight="1">
      <c r="A126" s="419"/>
      <c r="B126" s="419"/>
      <c r="C126" s="419"/>
      <c r="D126" s="420"/>
      <c r="E126" s="429"/>
      <c r="F126" s="430"/>
    </row>
    <row r="127" spans="1:6" ht="19.5" customHeight="1">
      <c r="A127" s="419"/>
      <c r="B127" s="419"/>
      <c r="C127" s="419"/>
      <c r="D127" s="420"/>
      <c r="E127" s="429"/>
      <c r="F127" s="430"/>
    </row>
    <row r="128" spans="1:6" ht="19.5" customHeight="1">
      <c r="A128" s="419"/>
      <c r="B128" s="419"/>
      <c r="C128" s="419"/>
      <c r="D128" s="420"/>
      <c r="E128" s="429"/>
      <c r="F128" s="430"/>
    </row>
    <row r="129" spans="1:6" ht="19.5" customHeight="1">
      <c r="A129" s="419"/>
      <c r="B129" s="419"/>
      <c r="C129" s="419"/>
      <c r="D129" s="420"/>
      <c r="E129" s="429"/>
      <c r="F129" s="430"/>
    </row>
    <row r="130" spans="1:6" ht="19.5" customHeight="1">
      <c r="A130" s="419"/>
      <c r="B130" s="419"/>
      <c r="C130" s="419"/>
      <c r="D130" s="420"/>
      <c r="E130" s="429"/>
      <c r="F130" s="430"/>
    </row>
    <row r="131" spans="1:6" ht="19.5" customHeight="1">
      <c r="A131" s="419"/>
      <c r="B131" s="419"/>
      <c r="C131" s="419"/>
      <c r="D131" s="420"/>
      <c r="E131" s="429"/>
      <c r="F131" s="430"/>
    </row>
    <row r="132" spans="1:6" ht="19.5" customHeight="1">
      <c r="A132" s="419"/>
      <c r="B132" s="419"/>
      <c r="C132" s="419"/>
      <c r="D132" s="420"/>
      <c r="E132" s="429"/>
      <c r="F132" s="430"/>
    </row>
    <row r="133" spans="1:6" ht="19.5" customHeight="1">
      <c r="A133" s="419"/>
      <c r="B133" s="419"/>
      <c r="C133" s="419"/>
      <c r="D133" s="420"/>
      <c r="E133" s="429"/>
      <c r="F133" s="430"/>
    </row>
    <row r="134" spans="1:6" ht="19.5" customHeight="1">
      <c r="A134" s="419"/>
      <c r="B134" s="419"/>
      <c r="C134" s="419"/>
      <c r="D134" s="420"/>
      <c r="E134" s="429"/>
      <c r="F134" s="430"/>
    </row>
    <row r="135" spans="1:6" ht="19.5" customHeight="1">
      <c r="A135" s="419"/>
      <c r="B135" s="419"/>
      <c r="C135" s="419"/>
      <c r="D135" s="420"/>
      <c r="E135" s="429"/>
      <c r="F135" s="430"/>
    </row>
    <row r="136" spans="1:6" ht="19.5" customHeight="1">
      <c r="A136" s="419"/>
      <c r="B136" s="419"/>
      <c r="C136" s="419"/>
      <c r="D136" s="420"/>
      <c r="E136" s="429"/>
      <c r="F136" s="430"/>
    </row>
    <row r="137" spans="1:6" ht="19.5" customHeight="1">
      <c r="A137" s="419"/>
      <c r="B137" s="419"/>
      <c r="C137" s="419"/>
      <c r="D137" s="420"/>
      <c r="E137" s="429"/>
      <c r="F137" s="430"/>
    </row>
    <row r="138" spans="1:6" ht="19.5" customHeight="1">
      <c r="A138" s="419"/>
      <c r="B138" s="419"/>
      <c r="C138" s="419"/>
      <c r="D138" s="420"/>
      <c r="E138" s="429"/>
      <c r="F138" s="430"/>
    </row>
    <row r="139" spans="1:6" ht="19.5" customHeight="1">
      <c r="A139" s="419"/>
      <c r="B139" s="419"/>
      <c r="C139" s="419"/>
      <c r="D139" s="420"/>
      <c r="E139" s="429"/>
      <c r="F139" s="430"/>
    </row>
    <row r="140" spans="1:6" ht="19.5" customHeight="1">
      <c r="A140" s="419"/>
      <c r="B140" s="419"/>
      <c r="C140" s="419"/>
      <c r="D140" s="420"/>
      <c r="E140" s="429"/>
      <c r="F140" s="430"/>
    </row>
    <row r="141" spans="1:6" ht="19.5" customHeight="1">
      <c r="A141" s="419"/>
      <c r="B141" s="419"/>
      <c r="C141" s="419"/>
      <c r="D141" s="420"/>
      <c r="E141" s="429"/>
      <c r="F141" s="430"/>
    </row>
    <row r="142" spans="1:6" ht="19.5" customHeight="1">
      <c r="A142" s="419"/>
      <c r="B142" s="419"/>
      <c r="C142" s="419"/>
      <c r="D142" s="420"/>
      <c r="E142" s="429"/>
      <c r="F142" s="430"/>
    </row>
    <row r="143" spans="1:6" ht="19.5" customHeight="1">
      <c r="A143" s="419"/>
      <c r="B143" s="419"/>
      <c r="C143" s="419"/>
      <c r="D143" s="420"/>
      <c r="E143" s="429"/>
      <c r="F143" s="430"/>
    </row>
    <row r="144" spans="1:6" ht="19.5" customHeight="1">
      <c r="A144" s="419"/>
      <c r="B144" s="419"/>
      <c r="C144" s="419"/>
      <c r="D144" s="420"/>
      <c r="E144" s="429"/>
      <c r="F144" s="430"/>
    </row>
    <row r="145" spans="1:6" ht="19.5" customHeight="1">
      <c r="A145" s="419"/>
      <c r="B145" s="419"/>
      <c r="C145" s="419"/>
      <c r="D145" s="420"/>
      <c r="E145" s="429"/>
      <c r="F145" s="430"/>
    </row>
    <row r="146" spans="1:6" ht="19.5" customHeight="1">
      <c r="A146" s="419"/>
      <c r="B146" s="419"/>
      <c r="C146" s="419"/>
      <c r="D146" s="420"/>
      <c r="E146" s="429"/>
      <c r="F146" s="430"/>
    </row>
    <row r="147" spans="1:6" ht="19.5" customHeight="1">
      <c r="A147" s="419"/>
      <c r="B147" s="419"/>
      <c r="C147" s="419"/>
      <c r="D147" s="420"/>
      <c r="E147" s="429"/>
      <c r="F147" s="430"/>
    </row>
    <row r="148" spans="1:6" ht="19.5" customHeight="1">
      <c r="A148" s="419"/>
      <c r="B148" s="419"/>
      <c r="C148" s="419"/>
      <c r="D148" s="420"/>
      <c r="E148" s="429"/>
      <c r="F148" s="430"/>
    </row>
    <row r="149" spans="1:6" ht="19.5" customHeight="1">
      <c r="A149" s="419"/>
      <c r="B149" s="419"/>
      <c r="C149" s="419"/>
      <c r="D149" s="420"/>
      <c r="E149" s="429"/>
      <c r="F149" s="430"/>
    </row>
    <row r="150" spans="1:6" ht="19.5" customHeight="1">
      <c r="A150" s="419"/>
      <c r="B150" s="419"/>
      <c r="C150" s="419"/>
      <c r="D150" s="420"/>
      <c r="E150" s="429"/>
      <c r="F150" s="430"/>
    </row>
    <row r="151" spans="1:6" ht="19.5" customHeight="1">
      <c r="A151" s="419"/>
      <c r="B151" s="419"/>
      <c r="C151" s="419"/>
      <c r="D151" s="420"/>
      <c r="E151" s="429"/>
      <c r="F151" s="430"/>
    </row>
    <row r="152" spans="1:6" ht="19.5" customHeight="1">
      <c r="A152" s="419"/>
      <c r="B152" s="419"/>
      <c r="C152" s="419"/>
      <c r="D152" s="420"/>
      <c r="E152" s="429"/>
      <c r="F152" s="430"/>
    </row>
    <row r="153" spans="1:6" ht="19.5" customHeight="1">
      <c r="A153" s="419"/>
      <c r="B153" s="419"/>
      <c r="C153" s="419"/>
      <c r="D153" s="420"/>
      <c r="E153" s="429"/>
      <c r="F153" s="430"/>
    </row>
    <row r="154" spans="1:6" ht="19.5" customHeight="1">
      <c r="A154" s="419"/>
      <c r="B154" s="419"/>
      <c r="C154" s="419"/>
      <c r="D154" s="420"/>
      <c r="E154" s="429"/>
      <c r="F154" s="430"/>
    </row>
    <row r="155" spans="1:6" ht="19.5" customHeight="1">
      <c r="A155" s="419"/>
      <c r="B155" s="419"/>
      <c r="C155" s="419"/>
      <c r="D155" s="420"/>
      <c r="E155" s="429"/>
      <c r="F155" s="430"/>
    </row>
    <row r="156" spans="1:6" ht="19.5" customHeight="1">
      <c r="A156" s="419"/>
      <c r="B156" s="419"/>
      <c r="C156" s="419"/>
      <c r="D156" s="420"/>
      <c r="E156" s="429"/>
      <c r="F156" s="430"/>
    </row>
    <row r="157" spans="1:6" ht="19.5" customHeight="1">
      <c r="A157" s="419"/>
      <c r="B157" s="419"/>
      <c r="C157" s="419"/>
      <c r="D157" s="420"/>
      <c r="E157" s="429"/>
      <c r="F157" s="430"/>
    </row>
    <row r="158" spans="1:6" ht="19.5" customHeight="1">
      <c r="A158" s="419"/>
      <c r="B158" s="419"/>
      <c r="C158" s="419"/>
      <c r="D158" s="420"/>
      <c r="E158" s="262"/>
      <c r="F158" s="430"/>
    </row>
    <row r="159" spans="1:6" ht="19.5" customHeight="1">
      <c r="A159" s="419"/>
      <c r="B159" s="419"/>
      <c r="C159" s="419"/>
      <c r="D159" s="420"/>
      <c r="E159" s="262"/>
      <c r="F159" s="430"/>
    </row>
    <row r="160" spans="1:6" ht="19.5" customHeight="1">
      <c r="A160" s="419"/>
      <c r="B160" s="419"/>
      <c r="C160" s="419"/>
      <c r="D160" s="420"/>
      <c r="E160" s="262"/>
      <c r="F160" s="430"/>
    </row>
    <row r="161" spans="1:6" ht="19.5" customHeight="1">
      <c r="A161" s="419"/>
      <c r="B161" s="419"/>
      <c r="C161" s="419"/>
      <c r="D161" s="420"/>
      <c r="E161" s="262"/>
      <c r="F161" s="430"/>
    </row>
    <row r="162" spans="1:6" ht="19.5" customHeight="1">
      <c r="A162" s="419"/>
      <c r="B162" s="419"/>
      <c r="C162" s="419"/>
      <c r="D162" s="420"/>
      <c r="E162" s="262"/>
      <c r="F162" s="430"/>
    </row>
    <row r="163" spans="1:6" ht="19.5" customHeight="1">
      <c r="A163" s="419"/>
      <c r="B163" s="419"/>
      <c r="C163" s="419"/>
      <c r="D163" s="420"/>
      <c r="E163" s="262"/>
      <c r="F163" s="430"/>
    </row>
    <row r="164" spans="1:6" ht="19.5" customHeight="1">
      <c r="A164" s="419"/>
      <c r="B164" s="419"/>
      <c r="C164" s="419"/>
      <c r="D164" s="420"/>
      <c r="E164" s="262"/>
      <c r="F164" s="430"/>
    </row>
    <row r="165" spans="1:6" ht="19.5" customHeight="1">
      <c r="A165" s="419"/>
      <c r="B165" s="419"/>
      <c r="C165" s="419"/>
      <c r="D165" s="420"/>
      <c r="E165" s="262"/>
      <c r="F165" s="430"/>
    </row>
    <row r="166" spans="1:6" ht="19.5" customHeight="1">
      <c r="A166" s="419"/>
      <c r="B166" s="419"/>
      <c r="C166" s="419"/>
      <c r="D166" s="420"/>
      <c r="E166" s="262"/>
      <c r="F166" s="430"/>
    </row>
    <row r="167" spans="1:6" ht="19.5" customHeight="1">
      <c r="A167" s="419"/>
      <c r="B167" s="419"/>
      <c r="C167" s="419"/>
      <c r="D167" s="420"/>
      <c r="E167" s="262"/>
      <c r="F167" s="430"/>
    </row>
    <row r="168" spans="1:6" ht="19.5" customHeight="1">
      <c r="A168" s="419"/>
      <c r="B168" s="419"/>
      <c r="C168" s="419"/>
      <c r="D168" s="420"/>
      <c r="E168" s="262"/>
      <c r="F168" s="430"/>
    </row>
    <row r="169" spans="1:6" ht="19.5" customHeight="1">
      <c r="A169" s="419"/>
      <c r="B169" s="419"/>
      <c r="C169" s="419"/>
      <c r="D169" s="420"/>
      <c r="E169" s="262"/>
      <c r="F169" s="430"/>
    </row>
    <row r="170" spans="1:6" ht="19.5" customHeight="1">
      <c r="A170" s="419"/>
      <c r="B170" s="419"/>
      <c r="C170" s="419"/>
      <c r="D170" s="420"/>
      <c r="E170" s="262"/>
      <c r="F170" s="430"/>
    </row>
    <row r="171" spans="1:6" ht="19.5" customHeight="1">
      <c r="A171" s="419"/>
      <c r="B171" s="419"/>
      <c r="C171" s="419"/>
      <c r="D171" s="420"/>
      <c r="E171" s="262"/>
      <c r="F171" s="430"/>
    </row>
    <row r="172" spans="1:6" ht="19.5" customHeight="1">
      <c r="A172" s="419"/>
      <c r="B172" s="419"/>
      <c r="C172" s="419"/>
      <c r="D172" s="420"/>
      <c r="E172" s="262"/>
      <c r="F172" s="430"/>
    </row>
    <row r="173" spans="1:6" ht="19.5" customHeight="1">
      <c r="A173" s="419"/>
      <c r="B173" s="419"/>
      <c r="C173" s="419"/>
      <c r="D173" s="420"/>
      <c r="E173" s="262"/>
      <c r="F173" s="430"/>
    </row>
    <row r="174" spans="1:6" ht="19.5" customHeight="1">
      <c r="A174" s="419"/>
      <c r="B174" s="419"/>
      <c r="C174" s="419"/>
      <c r="D174" s="420"/>
      <c r="E174" s="262"/>
      <c r="F174" s="430"/>
    </row>
    <row r="175" spans="1:6" ht="19.5" customHeight="1">
      <c r="A175" s="419"/>
      <c r="B175" s="419"/>
      <c r="C175" s="419"/>
      <c r="D175" s="420"/>
      <c r="E175" s="262"/>
      <c r="F175" s="430"/>
    </row>
    <row r="176" spans="1:6" ht="19.5" customHeight="1">
      <c r="A176" s="419"/>
      <c r="B176" s="419"/>
      <c r="C176" s="419"/>
      <c r="D176" s="420"/>
      <c r="E176" s="262"/>
      <c r="F176" s="430"/>
    </row>
    <row r="177" spans="1:6" ht="19.5" customHeight="1">
      <c r="A177" s="419"/>
      <c r="B177" s="419"/>
      <c r="C177" s="419"/>
      <c r="D177" s="420"/>
      <c r="E177" s="262"/>
      <c r="F177" s="430"/>
    </row>
    <row r="178" spans="1:6" ht="19.5" customHeight="1">
      <c r="A178" s="419"/>
      <c r="B178" s="419"/>
      <c r="C178" s="419"/>
      <c r="D178" s="420"/>
      <c r="E178" s="262"/>
      <c r="F178" s="430"/>
    </row>
    <row r="179" spans="1:6" ht="19.5" customHeight="1">
      <c r="A179" s="419"/>
      <c r="B179" s="419"/>
      <c r="C179" s="419"/>
      <c r="D179" s="420"/>
      <c r="E179" s="262"/>
      <c r="F179" s="430"/>
    </row>
    <row r="180" spans="1:6" ht="19.5" customHeight="1">
      <c r="A180" s="419"/>
      <c r="B180" s="419"/>
      <c r="C180" s="419"/>
      <c r="D180" s="420"/>
      <c r="E180" s="262"/>
      <c r="F180" s="430"/>
    </row>
    <row r="181" spans="1:6" ht="19.5" customHeight="1">
      <c r="A181" s="419"/>
      <c r="B181" s="419"/>
      <c r="C181" s="419"/>
      <c r="D181" s="420"/>
      <c r="E181" s="262"/>
      <c r="F181" s="430"/>
    </row>
    <row r="182" spans="1:6" ht="19.5" customHeight="1">
      <c r="A182" s="419"/>
      <c r="B182" s="419"/>
      <c r="C182" s="419"/>
      <c r="D182" s="420"/>
      <c r="E182" s="262"/>
      <c r="F182" s="430"/>
    </row>
    <row r="183" spans="1:6" ht="19.5" customHeight="1">
      <c r="A183" s="419"/>
      <c r="B183" s="419"/>
      <c r="C183" s="419"/>
      <c r="D183" s="420"/>
      <c r="E183" s="262"/>
      <c r="F183" s="430"/>
    </row>
    <row r="184" spans="1:6" ht="19.5" customHeight="1">
      <c r="A184" s="419"/>
      <c r="B184" s="419"/>
      <c r="C184" s="419"/>
      <c r="D184" s="420"/>
      <c r="E184" s="262"/>
      <c r="F184" s="430"/>
    </row>
    <row r="185" spans="1:6" ht="19.5" customHeight="1">
      <c r="A185" s="419"/>
      <c r="B185" s="419"/>
      <c r="C185" s="419"/>
      <c r="D185" s="420"/>
      <c r="E185" s="262"/>
      <c r="F185" s="430"/>
    </row>
    <row r="186" spans="1:6" ht="19.5" customHeight="1">
      <c r="A186" s="419"/>
      <c r="B186" s="419"/>
      <c r="C186" s="419"/>
      <c r="D186" s="420"/>
      <c r="E186" s="262"/>
      <c r="F186" s="430"/>
    </row>
    <row r="187" spans="1:5" ht="19.5" customHeight="1">
      <c r="A187" s="419"/>
      <c r="B187" s="419"/>
      <c r="C187" s="419"/>
      <c r="D187" s="420"/>
      <c r="E187" s="262"/>
    </row>
    <row r="188" spans="1:5" ht="19.5" customHeight="1">
      <c r="A188" s="419"/>
      <c r="B188" s="419"/>
      <c r="C188" s="419"/>
      <c r="D188" s="420"/>
      <c r="E188" s="262"/>
    </row>
    <row r="189" spans="1:5" ht="19.5" customHeight="1">
      <c r="A189" s="419"/>
      <c r="B189" s="419"/>
      <c r="C189" s="419"/>
      <c r="D189" s="420"/>
      <c r="E189" s="262"/>
    </row>
    <row r="190" spans="1:5" ht="19.5" customHeight="1">
      <c r="A190" s="419"/>
      <c r="B190" s="419"/>
      <c r="C190" s="419"/>
      <c r="D190" s="420"/>
      <c r="E190" s="262"/>
    </row>
    <row r="191" spans="1:5" ht="19.5" customHeight="1">
      <c r="A191" s="419"/>
      <c r="B191" s="419"/>
      <c r="C191" s="419"/>
      <c r="D191" s="420"/>
      <c r="E191" s="262"/>
    </row>
    <row r="192" spans="1:5" ht="19.5" customHeight="1">
      <c r="A192" s="419"/>
      <c r="B192" s="419"/>
      <c r="C192" s="419"/>
      <c r="D192" s="420"/>
      <c r="E192" s="262"/>
    </row>
    <row r="193" spans="1:5" ht="19.5" customHeight="1">
      <c r="A193" s="419"/>
      <c r="B193" s="419"/>
      <c r="C193" s="419"/>
      <c r="D193" s="420"/>
      <c r="E193" s="262"/>
    </row>
    <row r="194" spans="1:5" ht="19.5" customHeight="1">
      <c r="A194" s="419"/>
      <c r="B194" s="419"/>
      <c r="C194" s="419"/>
      <c r="D194" s="420"/>
      <c r="E194" s="262"/>
    </row>
    <row r="195" spans="1:5" ht="19.5" customHeight="1">
      <c r="A195" s="419"/>
      <c r="B195" s="419"/>
      <c r="C195" s="419"/>
      <c r="D195" s="420"/>
      <c r="E195" s="262"/>
    </row>
    <row r="196" spans="1:5" ht="19.5" customHeight="1">
      <c r="A196" s="419"/>
      <c r="B196" s="419"/>
      <c r="C196" s="419"/>
      <c r="D196" s="420"/>
      <c r="E196" s="262"/>
    </row>
    <row r="197" spans="1:5" ht="19.5" customHeight="1">
      <c r="A197" s="419"/>
      <c r="B197" s="419"/>
      <c r="C197" s="419"/>
      <c r="D197" s="420"/>
      <c r="E197" s="262"/>
    </row>
    <row r="198" spans="1:5" ht="19.5" customHeight="1">
      <c r="A198" s="419"/>
      <c r="B198" s="419"/>
      <c r="C198" s="419"/>
      <c r="D198" s="420"/>
      <c r="E198" s="262"/>
    </row>
    <row r="199" spans="1:5" ht="19.5" customHeight="1">
      <c r="A199" s="419"/>
      <c r="B199" s="419"/>
      <c r="C199" s="419"/>
      <c r="D199" s="420"/>
      <c r="E199" s="262"/>
    </row>
    <row r="200" spans="1:5" ht="19.5" customHeight="1">
      <c r="A200" s="419"/>
      <c r="B200" s="419"/>
      <c r="C200" s="419"/>
      <c r="D200" s="420"/>
      <c r="E200" s="262"/>
    </row>
    <row r="201" spans="1:5" ht="19.5" customHeight="1">
      <c r="A201" s="419"/>
      <c r="B201" s="419"/>
      <c r="C201" s="419"/>
      <c r="D201" s="420"/>
      <c r="E201" s="262"/>
    </row>
    <row r="202" spans="1:5" ht="19.5" customHeight="1">
      <c r="A202" s="419"/>
      <c r="B202" s="419"/>
      <c r="C202" s="419"/>
      <c r="D202" s="420"/>
      <c r="E202" s="262"/>
    </row>
    <row r="203" spans="1:5" ht="19.5" customHeight="1">
      <c r="A203" s="419"/>
      <c r="B203" s="419"/>
      <c r="C203" s="419"/>
      <c r="D203" s="420"/>
      <c r="E203" s="262"/>
    </row>
    <row r="204" spans="1:5" ht="19.5" customHeight="1">
      <c r="A204" s="419"/>
      <c r="B204" s="419"/>
      <c r="C204" s="419"/>
      <c r="D204" s="420"/>
      <c r="E204" s="262"/>
    </row>
    <row r="205" spans="1:5" ht="19.5" customHeight="1">
      <c r="A205" s="419"/>
      <c r="B205" s="419"/>
      <c r="C205" s="419"/>
      <c r="D205" s="420"/>
      <c r="E205" s="262"/>
    </row>
    <row r="206" spans="1:5" ht="19.5" customHeight="1">
      <c r="A206" s="419"/>
      <c r="B206" s="419"/>
      <c r="C206" s="419"/>
      <c r="D206" s="420"/>
      <c r="E206" s="262"/>
    </row>
    <row r="207" spans="1:5" ht="19.5" customHeight="1">
      <c r="A207" s="419"/>
      <c r="B207" s="419"/>
      <c r="C207" s="419"/>
      <c r="D207" s="420"/>
      <c r="E207" s="262"/>
    </row>
    <row r="208" spans="1:5" ht="19.5" customHeight="1">
      <c r="A208" s="419"/>
      <c r="B208" s="419"/>
      <c r="C208" s="419"/>
      <c r="D208" s="420"/>
      <c r="E208" s="262"/>
    </row>
    <row r="209" spans="1:5" ht="19.5" customHeight="1">
      <c r="A209" s="419"/>
      <c r="B209" s="419"/>
      <c r="C209" s="419"/>
      <c r="D209" s="420"/>
      <c r="E209" s="262"/>
    </row>
    <row r="210" spans="1:5" ht="19.5" customHeight="1">
      <c r="A210" s="419"/>
      <c r="B210" s="419"/>
      <c r="C210" s="419"/>
      <c r="D210" s="420"/>
      <c r="E210" s="262"/>
    </row>
    <row r="211" spans="1:5" ht="19.5" customHeight="1">
      <c r="A211" s="419"/>
      <c r="B211" s="419"/>
      <c r="C211" s="419"/>
      <c r="D211" s="420"/>
      <c r="E211" s="262"/>
    </row>
    <row r="212" spans="1:5" ht="19.5" customHeight="1">
      <c r="A212" s="419"/>
      <c r="B212" s="419"/>
      <c r="C212" s="419"/>
      <c r="D212" s="420"/>
      <c r="E212" s="262"/>
    </row>
    <row r="213" spans="1:5" ht="19.5" customHeight="1">
      <c r="A213" s="419"/>
      <c r="B213" s="419"/>
      <c r="C213" s="419"/>
      <c r="D213" s="420"/>
      <c r="E213" s="262"/>
    </row>
    <row r="214" spans="1:5" ht="19.5" customHeight="1">
      <c r="A214" s="419"/>
      <c r="B214" s="419"/>
      <c r="C214" s="419"/>
      <c r="D214" s="420"/>
      <c r="E214" s="262"/>
    </row>
    <row r="215" spans="1:5" ht="19.5" customHeight="1">
      <c r="A215" s="419"/>
      <c r="B215" s="419"/>
      <c r="C215" s="419"/>
      <c r="D215" s="420"/>
      <c r="E215" s="262"/>
    </row>
    <row r="216" spans="1:5" ht="19.5" customHeight="1">
      <c r="A216" s="419"/>
      <c r="B216" s="419"/>
      <c r="C216" s="419"/>
      <c r="D216" s="420"/>
      <c r="E216" s="262"/>
    </row>
    <row r="217" spans="1:5" ht="19.5" customHeight="1">
      <c r="A217" s="419"/>
      <c r="B217" s="419"/>
      <c r="C217" s="419"/>
      <c r="D217" s="420"/>
      <c r="E217" s="262"/>
    </row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</sheetData>
  <sheetProtection password="CF93" sheet="1" formatRows="0" insertColumns="0" insertRows="0" insertHyperlinks="0" deleteColumns="0" deleteRows="0" sort="0" autoFilter="0" pivotTables="0"/>
  <mergeCells count="5">
    <mergeCell ref="F1:G1"/>
    <mergeCell ref="A3:G3"/>
    <mergeCell ref="A7:D7"/>
    <mergeCell ref="A68:D68"/>
    <mergeCell ref="A47:D47"/>
  </mergeCells>
  <printOptions horizontalCentered="1"/>
  <pageMargins left="0.787401574803149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H87"/>
  <sheetViews>
    <sheetView tabSelected="1" view="pageBreakPreview" zoomScaleSheetLayoutView="100" zoomScalePageLayoutView="0" workbookViewId="0" topLeftCell="A1">
      <pane ySplit="6" topLeftCell="BM7" activePane="bottomLeft" state="frozen"/>
      <selection pane="topLeft" activeCell="A1" sqref="A1"/>
      <selection pane="bottomLeft" activeCell="B8" sqref="B8"/>
    </sheetView>
  </sheetViews>
  <sheetFormatPr defaultColWidth="9.00390625" defaultRowHeight="12.75"/>
  <cols>
    <col min="1" max="1" width="45.125" style="434" customWidth="1"/>
    <col min="2" max="2" width="13.125" style="434" customWidth="1"/>
    <col min="3" max="3" width="13.00390625" style="434" customWidth="1"/>
    <col min="4" max="4" width="7.125" style="434" customWidth="1"/>
    <col min="5" max="5" width="8.25390625" style="434" customWidth="1"/>
    <col min="6" max="6" width="9.125" style="494" customWidth="1"/>
    <col min="7" max="7" width="13.625" style="434" customWidth="1"/>
    <col min="8" max="16384" width="9.125" style="434" customWidth="1"/>
  </cols>
  <sheetData>
    <row r="1" spans="1:6" ht="12.75">
      <c r="A1" s="433"/>
      <c r="B1" s="433"/>
      <c r="D1" s="1422" t="s">
        <v>907</v>
      </c>
      <c r="E1" s="1422"/>
      <c r="F1" s="434"/>
    </row>
    <row r="2" spans="1:6" ht="13.5" customHeight="1">
      <c r="A2" s="433"/>
      <c r="B2" s="433"/>
      <c r="F2" s="434"/>
    </row>
    <row r="3" spans="1:5" s="435" customFormat="1" ht="12.75">
      <c r="A3" s="1423" t="s">
        <v>296</v>
      </c>
      <c r="B3" s="1423"/>
      <c r="C3" s="1423"/>
      <c r="D3" s="1423"/>
      <c r="E3" s="1423"/>
    </row>
    <row r="4" spans="4:5" s="435" customFormat="1" ht="13.5" thickBot="1">
      <c r="D4" s="436"/>
      <c r="E4" s="436" t="s">
        <v>1426</v>
      </c>
    </row>
    <row r="5" spans="1:6" ht="26.25" customHeight="1">
      <c r="A5" s="437" t="s">
        <v>1365</v>
      </c>
      <c r="B5" s="438" t="s">
        <v>1429</v>
      </c>
      <c r="C5" s="439" t="s">
        <v>1430</v>
      </c>
      <c r="D5" s="440" t="s">
        <v>1266</v>
      </c>
      <c r="E5" s="441" t="s">
        <v>249</v>
      </c>
      <c r="F5" s="434"/>
    </row>
    <row r="6" spans="1:5" s="447" customFormat="1" ht="12.75" customHeight="1" thickBot="1">
      <c r="A6" s="442">
        <v>1</v>
      </c>
      <c r="B6" s="443">
        <v>2</v>
      </c>
      <c r="C6" s="444">
        <v>3</v>
      </c>
      <c r="D6" s="445">
        <v>4</v>
      </c>
      <c r="E6" s="446">
        <v>5</v>
      </c>
    </row>
    <row r="7" spans="1:5" s="447" customFormat="1" ht="8.25" customHeight="1">
      <c r="A7" s="448"/>
      <c r="B7" s="449"/>
      <c r="C7" s="450"/>
      <c r="D7" s="450"/>
      <c r="E7" s="451"/>
    </row>
    <row r="8" spans="1:6" ht="12.75">
      <c r="A8" s="452" t="s">
        <v>1069</v>
      </c>
      <c r="B8" s="453">
        <f>SUM(B10,B20,B33,B37,B39,B41,B43,B45)</f>
        <v>131997532</v>
      </c>
      <c r="C8" s="453">
        <f>SUM(C10,C20,C33,C37,C39,C41,C43,C45)</f>
        <v>110133188.31</v>
      </c>
      <c r="D8" s="454">
        <f>C8/B8*100</f>
        <v>83.43579356468574</v>
      </c>
      <c r="E8" s="455">
        <f>C8/$C$84*100</f>
        <v>59.08108257971409</v>
      </c>
      <c r="F8" s="434"/>
    </row>
    <row r="9" spans="1:6" ht="6.75" customHeight="1">
      <c r="A9" s="456"/>
      <c r="B9" s="457"/>
      <c r="C9" s="457"/>
      <c r="D9" s="458"/>
      <c r="E9" s="459"/>
      <c r="F9" s="434"/>
    </row>
    <row r="10" spans="1:8" ht="12.75">
      <c r="A10" s="456" t="s">
        <v>1070</v>
      </c>
      <c r="B10" s="457">
        <f>SUM(B11:B18)</f>
        <v>26639800</v>
      </c>
      <c r="C10" s="457">
        <f>SUM(C11:C18)</f>
        <v>28296562.430000003</v>
      </c>
      <c r="D10" s="458">
        <f aca="true" t="shared" si="0" ref="D10:D17">C10/B10*100</f>
        <v>106.21912488081745</v>
      </c>
      <c r="E10" s="459">
        <f aca="true" t="shared" si="1" ref="E10:E17">C10/$C$84*100</f>
        <v>15.179725269944521</v>
      </c>
      <c r="F10" s="434"/>
      <c r="G10" s="1161">
        <f>SUM(C10,C20)</f>
        <v>44723717.24</v>
      </c>
      <c r="H10" s="434">
        <f>G10/C84*100</f>
        <v>23.992092411695868</v>
      </c>
    </row>
    <row r="11" spans="1:6" ht="12.75">
      <c r="A11" s="460" t="s">
        <v>1372</v>
      </c>
      <c r="B11" s="461">
        <f>SUM(6D!E129+6D!E138)</f>
        <v>23150000</v>
      </c>
      <c r="C11" s="461">
        <f>SUM(6D!F129+6D!F138)</f>
        <v>21943131.740000002</v>
      </c>
      <c r="D11" s="462">
        <f t="shared" si="0"/>
        <v>94.78674617710584</v>
      </c>
      <c r="E11" s="463">
        <f t="shared" si="1"/>
        <v>11.771419662702812</v>
      </c>
      <c r="F11" s="434"/>
    </row>
    <row r="12" spans="1:6" ht="12.75">
      <c r="A12" s="460" t="s">
        <v>1373</v>
      </c>
      <c r="B12" s="461">
        <f>SUM(6D!E130,6D!E139)</f>
        <v>34200</v>
      </c>
      <c r="C12" s="461">
        <f>SUM(6D!F130,6D!F139)</f>
        <v>33006.46</v>
      </c>
      <c r="D12" s="462">
        <f t="shared" si="0"/>
        <v>96.51011695906433</v>
      </c>
      <c r="E12" s="463">
        <f t="shared" si="1"/>
        <v>0.01770635553957686</v>
      </c>
      <c r="F12" s="434"/>
    </row>
    <row r="13" spans="1:6" ht="12.75">
      <c r="A13" s="460" t="s">
        <v>1374</v>
      </c>
      <c r="B13" s="461">
        <f>SUM(6D!E131,6D!E140)</f>
        <v>60600</v>
      </c>
      <c r="C13" s="461">
        <f>SUM(6D!F131,6D!F140)</f>
        <v>55284.82</v>
      </c>
      <c r="D13" s="462">
        <f t="shared" si="0"/>
        <v>91.22907590759077</v>
      </c>
      <c r="E13" s="463">
        <f t="shared" si="1"/>
        <v>0.02965760880935155</v>
      </c>
      <c r="F13" s="434"/>
    </row>
    <row r="14" spans="1:6" ht="12.75">
      <c r="A14" s="460" t="s">
        <v>1375</v>
      </c>
      <c r="B14" s="461">
        <f>SUM(6D!E132,6D!E141)</f>
        <v>345000</v>
      </c>
      <c r="C14" s="461">
        <f>SUM(6D!F132,6D!F141)</f>
        <v>361449.83999999997</v>
      </c>
      <c r="D14" s="462">
        <f t="shared" si="0"/>
        <v>104.76806956521739</v>
      </c>
      <c r="E14" s="463">
        <f t="shared" si="1"/>
        <v>0.19390020549805007</v>
      </c>
      <c r="F14" s="434"/>
    </row>
    <row r="15" spans="1:6" ht="25.5" customHeight="1">
      <c r="A15" s="464" t="s">
        <v>458</v>
      </c>
      <c r="B15" s="465">
        <f>SUM(6D!E126)</f>
        <v>450000</v>
      </c>
      <c r="C15" s="465">
        <f>SUM(6D!F126)</f>
        <v>384129.37</v>
      </c>
      <c r="D15" s="462">
        <f t="shared" si="0"/>
        <v>85.36208222222223</v>
      </c>
      <c r="E15" s="463">
        <f t="shared" si="1"/>
        <v>0.20606666690137837</v>
      </c>
      <c r="F15" s="434"/>
    </row>
    <row r="16" spans="1:6" ht="12.75">
      <c r="A16" s="460" t="s">
        <v>1376</v>
      </c>
      <c r="B16" s="461">
        <f>SUM(6D!E142)</f>
        <v>220000</v>
      </c>
      <c r="C16" s="461">
        <f>SUM(6D!F142)</f>
        <v>231027.71</v>
      </c>
      <c r="D16" s="462">
        <f t="shared" si="0"/>
        <v>105.01259545454545</v>
      </c>
      <c r="E16" s="463">
        <f t="shared" si="1"/>
        <v>0.12393509551627943</v>
      </c>
      <c r="F16" s="434"/>
    </row>
    <row r="17" spans="1:6" ht="12.75">
      <c r="A17" s="460" t="s">
        <v>1377</v>
      </c>
      <c r="B17" s="461">
        <f>SUM(6D!E133,6D!E146)</f>
        <v>2380000</v>
      </c>
      <c r="C17" s="461">
        <f>SUM(6D!F133,6D!F146)</f>
        <v>5163484.09</v>
      </c>
      <c r="D17" s="462">
        <f t="shared" si="0"/>
        <v>216.9531130252101</v>
      </c>
      <c r="E17" s="463">
        <f t="shared" si="1"/>
        <v>2.769957308977954</v>
      </c>
      <c r="F17" s="434"/>
    </row>
    <row r="18" spans="1:6" ht="12.75">
      <c r="A18" s="460" t="s">
        <v>710</v>
      </c>
      <c r="B18" s="461">
        <f>SUM(6D!E134,6D!E147)</f>
        <v>0</v>
      </c>
      <c r="C18" s="461">
        <f>SUM(6D!F134,6D!F147)</f>
        <v>125048.4</v>
      </c>
      <c r="D18" s="466" t="s">
        <v>313</v>
      </c>
      <c r="E18" s="463">
        <f>C18/$C$84*100</f>
        <v>0.06708236599911724</v>
      </c>
      <c r="F18" s="434"/>
    </row>
    <row r="19" spans="1:6" ht="6" customHeight="1">
      <c r="A19" s="456"/>
      <c r="B19" s="457"/>
      <c r="C19" s="457"/>
      <c r="D19" s="458"/>
      <c r="E19" s="459"/>
      <c r="F19" s="434"/>
    </row>
    <row r="20" spans="1:6" ht="12.75">
      <c r="A20" s="456" t="s">
        <v>1366</v>
      </c>
      <c r="B20" s="457">
        <f>SUM(B21:B31)</f>
        <v>16456243</v>
      </c>
      <c r="C20" s="457">
        <f>SUM(C21:C31)</f>
        <v>16427154.809999999</v>
      </c>
      <c r="D20" s="458">
        <f aca="true" t="shared" si="2" ref="D20:D31">C20/B20*100</f>
        <v>99.82323918041315</v>
      </c>
      <c r="E20" s="459">
        <f aca="true" t="shared" si="3" ref="E20:E31">C20/$C$84*100</f>
        <v>8.812367141751345</v>
      </c>
      <c r="F20" s="434"/>
    </row>
    <row r="21" spans="1:6" ht="12.75" hidden="1">
      <c r="A21" s="460" t="s">
        <v>1267</v>
      </c>
      <c r="B21" s="461">
        <f>SUM(6D!E289)</f>
        <v>0</v>
      </c>
      <c r="C21" s="461">
        <f>SUM(6D!F289)</f>
        <v>0</v>
      </c>
      <c r="D21" s="462" t="e">
        <f t="shared" si="2"/>
        <v>#DIV/0!</v>
      </c>
      <c r="E21" s="463">
        <f t="shared" si="3"/>
        <v>0</v>
      </c>
      <c r="F21" s="434"/>
    </row>
    <row r="22" spans="1:6" ht="12.75">
      <c r="A22" s="460" t="s">
        <v>1378</v>
      </c>
      <c r="B22" s="461">
        <f>SUM(6D!E151)</f>
        <v>500000</v>
      </c>
      <c r="C22" s="461">
        <f>SUM(6D!F151)</f>
        <v>482803.42</v>
      </c>
      <c r="D22" s="462">
        <f t="shared" si="2"/>
        <v>96.560684</v>
      </c>
      <c r="E22" s="463">
        <f t="shared" si="3"/>
        <v>0.2590004808223497</v>
      </c>
      <c r="F22" s="434"/>
    </row>
    <row r="23" spans="1:6" ht="12.75">
      <c r="A23" s="460" t="s">
        <v>1379</v>
      </c>
      <c r="B23" s="461">
        <f>SUM(6D!E369)</f>
        <v>796740</v>
      </c>
      <c r="C23" s="461">
        <f>SUM(6D!F369)</f>
        <v>667408.55</v>
      </c>
      <c r="D23" s="462">
        <f t="shared" si="2"/>
        <v>83.76742099053645</v>
      </c>
      <c r="E23" s="463">
        <f t="shared" si="3"/>
        <v>0.35803212693677117</v>
      </c>
      <c r="F23" s="434"/>
    </row>
    <row r="24" spans="1:6" ht="12.75">
      <c r="A24" s="460" t="s">
        <v>939</v>
      </c>
      <c r="B24" s="461">
        <f>SUM(6D!E143)</f>
        <v>100000</v>
      </c>
      <c r="C24" s="461">
        <f>SUM(6D!F143)</f>
        <v>74544</v>
      </c>
      <c r="D24" s="462">
        <f t="shared" si="2"/>
        <v>74.544</v>
      </c>
      <c r="E24" s="463">
        <f t="shared" si="3"/>
        <v>0.0399892193025916</v>
      </c>
      <c r="F24" s="434"/>
    </row>
    <row r="25" spans="1:6" ht="12.75">
      <c r="A25" s="460" t="s">
        <v>1358</v>
      </c>
      <c r="B25" s="461">
        <f>SUM(6D!E144)</f>
        <v>3500000</v>
      </c>
      <c r="C25" s="461">
        <f>SUM(6D!F144)</f>
        <v>3356291.21</v>
      </c>
      <c r="D25" s="462">
        <f t="shared" si="2"/>
        <v>95.89403457142856</v>
      </c>
      <c r="E25" s="463">
        <f t="shared" si="3"/>
        <v>1.8004864944200811</v>
      </c>
      <c r="F25" s="434"/>
    </row>
    <row r="26" spans="1:6" ht="12.75">
      <c r="A26" s="460" t="s">
        <v>878</v>
      </c>
      <c r="B26" s="461">
        <f>SUM(6D!E145)</f>
        <v>570000</v>
      </c>
      <c r="C26" s="461">
        <f>SUM(6D!F145)</f>
        <v>560564</v>
      </c>
      <c r="D26" s="462">
        <f t="shared" si="2"/>
        <v>98.34456140350876</v>
      </c>
      <c r="E26" s="463">
        <f t="shared" si="3"/>
        <v>0.3007152383711359</v>
      </c>
      <c r="F26" s="434"/>
    </row>
    <row r="27" spans="1:6" ht="12.75">
      <c r="A27" s="460" t="s">
        <v>1386</v>
      </c>
      <c r="B27" s="461">
        <f>SUM(6D!E152)</f>
        <v>5000</v>
      </c>
      <c r="C27" s="461">
        <f>SUM(6D!F152)</f>
        <v>8821.5</v>
      </c>
      <c r="D27" s="462">
        <f t="shared" si="2"/>
        <v>176.43</v>
      </c>
      <c r="E27" s="463">
        <f t="shared" si="3"/>
        <v>0.004732304385031817</v>
      </c>
      <c r="F27" s="434"/>
    </row>
    <row r="28" spans="1:6" ht="12.75">
      <c r="A28" s="460" t="s">
        <v>1388</v>
      </c>
      <c r="B28" s="461">
        <f>SUM(6D!E153)</f>
        <v>1400000</v>
      </c>
      <c r="C28" s="461">
        <f>SUM(6D!F153)</f>
        <v>1535590.15</v>
      </c>
      <c r="D28" s="462">
        <f t="shared" si="2"/>
        <v>109.68501071428571</v>
      </c>
      <c r="E28" s="463">
        <f t="shared" si="3"/>
        <v>0.823769200301158</v>
      </c>
      <c r="F28" s="434"/>
    </row>
    <row r="29" spans="1:6" ht="12.75">
      <c r="A29" s="460" t="s">
        <v>317</v>
      </c>
      <c r="B29" s="461">
        <f>SUM(6D!E154)</f>
        <v>50000</v>
      </c>
      <c r="C29" s="461">
        <f>SUM(6D!F154)</f>
        <v>73557.39</v>
      </c>
      <c r="D29" s="462">
        <f t="shared" si="2"/>
        <v>147.11478</v>
      </c>
      <c r="E29" s="463">
        <f t="shared" si="3"/>
        <v>0.03945995117026532</v>
      </c>
      <c r="F29" s="434"/>
    </row>
    <row r="30" spans="1:6" ht="12.75">
      <c r="A30" s="460" t="s">
        <v>1389</v>
      </c>
      <c r="B30" s="461">
        <f>SUM(6D!E155)</f>
        <v>17000</v>
      </c>
      <c r="C30" s="461">
        <f>SUM(6D!F155)</f>
        <v>20257.82</v>
      </c>
      <c r="D30" s="462">
        <f t="shared" si="2"/>
        <v>119.16364705882351</v>
      </c>
      <c r="E30" s="463">
        <f t="shared" si="3"/>
        <v>0.010867332133671739</v>
      </c>
      <c r="F30" s="434"/>
    </row>
    <row r="31" spans="1:6" s="502" customFormat="1" ht="25.5">
      <c r="A31" s="498" t="s">
        <v>196</v>
      </c>
      <c r="B31" s="505">
        <f>SUM(6D!E13,6D!E32,6D!E156,6D!E169,6D!E184,6D!E188,6D!E286,6D!E354,6D!E370,6D!E449,6D!E84,6D!E136)</f>
        <v>9517503</v>
      </c>
      <c r="C31" s="505">
        <f>SUM(6D!F13,6D!F32,6D!F156,6D!F169,6D!F184,6D!F188,6D!F286,6D!F354,6D!F370,6D!F449,6D!F84,6D!F136)</f>
        <v>9647316.769999998</v>
      </c>
      <c r="D31" s="500">
        <f t="shared" si="2"/>
        <v>101.36394777075455</v>
      </c>
      <c r="E31" s="501">
        <f t="shared" si="3"/>
        <v>5.1753147939082895</v>
      </c>
      <c r="F31" s="502" t="s">
        <v>935</v>
      </c>
    </row>
    <row r="32" spans="1:6" ht="4.5" customHeight="1">
      <c r="A32" s="456"/>
      <c r="B32" s="457"/>
      <c r="C32" s="457"/>
      <c r="D32" s="458"/>
      <c r="E32" s="459"/>
      <c r="F32" s="434"/>
    </row>
    <row r="33" spans="1:6" ht="25.5">
      <c r="A33" s="467" t="s">
        <v>527</v>
      </c>
      <c r="B33" s="457">
        <f>B34+B35</f>
        <v>29494813</v>
      </c>
      <c r="C33" s="457">
        <f>C34+C35</f>
        <v>28918025.75</v>
      </c>
      <c r="D33" s="458">
        <f>C33/B33*100</f>
        <v>98.0444451368449</v>
      </c>
      <c r="E33" s="459">
        <f>C33/$C$84*100</f>
        <v>15.513110022466476</v>
      </c>
      <c r="F33" s="434"/>
    </row>
    <row r="34" spans="1:6" ht="12.75">
      <c r="A34" s="460" t="s">
        <v>1390</v>
      </c>
      <c r="B34" s="461">
        <f>SUM(6D!E160,6D!E372)</f>
        <v>28194813</v>
      </c>
      <c r="C34" s="461">
        <f>SUM(6D!F160,6D!F372)</f>
        <v>27584508</v>
      </c>
      <c r="D34" s="462">
        <f>C34/B34*100</f>
        <v>97.83539972405563</v>
      </c>
      <c r="E34" s="463">
        <f>C34/$C$84*100</f>
        <v>14.79774280647795</v>
      </c>
      <c r="F34" s="434"/>
    </row>
    <row r="35" spans="1:6" ht="12.75">
      <c r="A35" s="460" t="s">
        <v>1391</v>
      </c>
      <c r="B35" s="461">
        <f>SUM(6D!E161,6D!E373)</f>
        <v>1300000</v>
      </c>
      <c r="C35" s="461">
        <f>SUM(6D!F161,6D!F373)</f>
        <v>1333517.75</v>
      </c>
      <c r="D35" s="462">
        <f>C35/B35*100</f>
        <v>102.57828846153846</v>
      </c>
      <c r="E35" s="463">
        <f>C35/$C$84*100</f>
        <v>0.7153672159885238</v>
      </c>
      <c r="F35" s="434"/>
    </row>
    <row r="36" spans="1:6" ht="3" customHeight="1">
      <c r="A36" s="456"/>
      <c r="B36" s="457"/>
      <c r="C36" s="457"/>
      <c r="D36" s="462"/>
      <c r="E36" s="459"/>
      <c r="F36" s="434"/>
    </row>
    <row r="37" spans="1:6" ht="25.5" hidden="1">
      <c r="A37" s="467" t="s">
        <v>763</v>
      </c>
      <c r="B37" s="468">
        <f>SUM(6D!E54,6D!E21,6D!E272)</f>
        <v>0</v>
      </c>
      <c r="C37" s="468">
        <f>SUM(6D!F54,6D!F21,6D!F272)</f>
        <v>0</v>
      </c>
      <c r="D37" s="469" t="e">
        <f>C37/B37*100</f>
        <v>#DIV/0!</v>
      </c>
      <c r="E37" s="459">
        <f>C37/$C$84*100</f>
        <v>0</v>
      </c>
      <c r="F37" s="434"/>
    </row>
    <row r="38" spans="1:6" ht="3" customHeight="1">
      <c r="A38" s="456"/>
      <c r="B38" s="457"/>
      <c r="C38" s="457"/>
      <c r="D38" s="458"/>
      <c r="E38" s="459"/>
      <c r="F38" s="434"/>
    </row>
    <row r="39" spans="1:6" ht="12.75">
      <c r="A39" s="456" t="s">
        <v>828</v>
      </c>
      <c r="B39" s="457">
        <f>SUM(6D!E14,6D!E26,6D!E33,6D!E41,6D!E57,6D!E60,6D!E61,6D!E62,6D!E85,6D!E87,6D!E170,6D!E270,6D!E291,6D!E292,6D!E355)</f>
        <v>35233628</v>
      </c>
      <c r="C39" s="457">
        <f>SUM(6D!F14,6D!F26,6D!F33,6D!F41,6D!F57,6D!F60,6D!F61,6D!F62,6D!F85,6D!F87,6D!F170,6D!F270,6D!F291,6D!F292,6D!F355)</f>
        <v>8659027.750000002</v>
      </c>
      <c r="D39" s="458">
        <f>C39/B39*100</f>
        <v>24.576032164499217</v>
      </c>
      <c r="E39" s="459">
        <f>C39/$C$84*100</f>
        <v>4.645145949264546</v>
      </c>
      <c r="F39" s="434"/>
    </row>
    <row r="40" spans="1:6" ht="3" customHeight="1">
      <c r="A40" s="456"/>
      <c r="B40" s="457"/>
      <c r="C40" s="457"/>
      <c r="D40" s="458"/>
      <c r="E40" s="459"/>
      <c r="F40" s="434"/>
    </row>
    <row r="41" spans="1:6" ht="25.5" customHeight="1">
      <c r="A41" s="467" t="s">
        <v>829</v>
      </c>
      <c r="B41" s="468">
        <f>SUM(6D!E171,6D!E259)</f>
        <v>300000</v>
      </c>
      <c r="C41" s="468">
        <f>SUM(6D!F171,6D!F259)</f>
        <v>617183.91</v>
      </c>
      <c r="D41" s="458">
        <f>C41/B41*100</f>
        <v>205.72797</v>
      </c>
      <c r="E41" s="459">
        <f>C41/$C$84*100</f>
        <v>0.33108905783189735</v>
      </c>
      <c r="F41" s="434"/>
    </row>
    <row r="42" spans="1:6" ht="1.5" customHeight="1">
      <c r="A42" s="456" t="s">
        <v>1368</v>
      </c>
      <c r="B42" s="457"/>
      <c r="C42" s="457"/>
      <c r="D42" s="458"/>
      <c r="E42" s="459"/>
      <c r="F42" s="434"/>
    </row>
    <row r="43" spans="1:6" ht="25.5" customHeight="1">
      <c r="A43" s="467" t="s">
        <v>830</v>
      </c>
      <c r="B43" s="468">
        <f>SUM(6D!E15,6D!E27,6D!E34,6D!E42,6D!E63,6D!E88,6D!E89,6D!E127,6D!E135,6D!E148,6D!E149,6D!E157,6D!E158,6D!E200,6D!E221,6D!E242,6D!E247,6D!E287,6D!E293,6D!E329,6D!E356)</f>
        <v>215509</v>
      </c>
      <c r="C43" s="468">
        <f>SUM(6D!F15,6D!F27,6D!F34,6D!F42,6D!F63,6D!F88,6D!F89,6D!F127,6D!F135,6D!F148,6D!F149,6D!F157,6D!F158,6D!F200,6D!F221,6D!F242,6D!F247,6D!F287,6D!F293,6D!F329,6D!F356)</f>
        <v>237097.35</v>
      </c>
      <c r="D43" s="458">
        <f>C43/B43*100</f>
        <v>110.01737746451425</v>
      </c>
      <c r="E43" s="459">
        <f>C43/$C$84*100</f>
        <v>0.12719116126332525</v>
      </c>
      <c r="F43" s="434"/>
    </row>
    <row r="44" spans="1:6" ht="2.25" customHeight="1">
      <c r="A44" s="456"/>
      <c r="B44" s="457"/>
      <c r="C44" s="457"/>
      <c r="D44" s="458"/>
      <c r="E44" s="459"/>
      <c r="F44" s="434"/>
    </row>
    <row r="45" spans="1:6" ht="18" customHeight="1">
      <c r="A45" s="467" t="s">
        <v>831</v>
      </c>
      <c r="B45" s="468">
        <f>SUM(B46,B47,B48,B49,B50,B51,B52,B53,B54,B55,B56)</f>
        <v>23657539</v>
      </c>
      <c r="C45" s="468">
        <f>SUM(C46,C47,C48,C49,C50,C51,C52,C53,C54,C55,C56)</f>
        <v>26978136.31</v>
      </c>
      <c r="D45" s="458">
        <f aca="true" t="shared" si="4" ref="D45:D56">C45/B45*100</f>
        <v>114.03610624925949</v>
      </c>
      <c r="E45" s="459">
        <f aca="true" t="shared" si="5" ref="E45:E56">C45/$C$84*100</f>
        <v>14.472453977191982</v>
      </c>
      <c r="F45" s="434"/>
    </row>
    <row r="46" spans="1:6" s="502" customFormat="1" ht="14.25" customHeight="1">
      <c r="A46" s="498" t="s">
        <v>585</v>
      </c>
      <c r="B46" s="499">
        <f>SUM(6D!E24,6D!E25,6D!E31,6D!E47,6D!E58,6D!E59,6D!E68,6D!E73,6D!E75,6D!E78,6D!E119,6D!E168,6D!E180,6D!E183,6D!E210,6D!E250,6D!E275,6D!E284,6D!E285,6D!E300,6D!E301,6D!E306,6D!E307,6D!E323,6D!E327,6D!E328,6D!E346)</f>
        <v>392000</v>
      </c>
      <c r="C46" s="499">
        <f>SUM(6D!F24,6D!F25,6D!F31,6D!F47,6D!F58,6D!F59,6D!F68,6D!F73,6D!F75,6D!F78,6D!F119,6D!F168,6D!F180,6D!F183,6D!F210,6D!F250,6D!F275,6D!F284,6D!F285,6D!F300,6D!F301,6D!F306,6D!F307,6D!F323,6D!F327,6D!F328,6D!F346)</f>
        <v>598975.13</v>
      </c>
      <c r="D46" s="500">
        <f t="shared" si="4"/>
        <v>152.7997780612245</v>
      </c>
      <c r="E46" s="501">
        <f t="shared" si="5"/>
        <v>0.32132093569392994</v>
      </c>
      <c r="F46" s="502" t="s">
        <v>935</v>
      </c>
    </row>
    <row r="47" spans="1:5" s="502" customFormat="1" ht="14.25" customHeight="1">
      <c r="A47" s="503" t="s">
        <v>1393</v>
      </c>
      <c r="B47" s="499">
        <f>SUM(6D!E79,6D!E86,6D!E246,6D!E215)</f>
        <v>304600</v>
      </c>
      <c r="C47" s="499">
        <f>SUM(6D!F79,6D!F86,6D!F246,6D!F215)</f>
        <v>354409.29000000004</v>
      </c>
      <c r="D47" s="500">
        <f t="shared" si="4"/>
        <v>116.35236047275117</v>
      </c>
      <c r="E47" s="501">
        <f t="shared" si="5"/>
        <v>0.1901232939027391</v>
      </c>
    </row>
    <row r="48" spans="1:5" s="504" customFormat="1" ht="14.25" customHeight="1">
      <c r="A48" s="503" t="s">
        <v>243</v>
      </c>
      <c r="B48" s="500">
        <f>SUM(6D!E91,6D!E225,6D!E357)</f>
        <v>2250032</v>
      </c>
      <c r="C48" s="500">
        <f>SUM(6D!F91,6D!F225,6D!F357)</f>
        <v>2803284.87</v>
      </c>
      <c r="D48" s="500">
        <f t="shared" si="4"/>
        <v>124.58866673896193</v>
      </c>
      <c r="E48" s="501">
        <f t="shared" si="5"/>
        <v>1.5038255719315703</v>
      </c>
    </row>
    <row r="49" spans="1:5" s="504" customFormat="1" ht="14.25" customHeight="1">
      <c r="A49" s="503" t="s">
        <v>137</v>
      </c>
      <c r="B49" s="500">
        <f>SUM(6D!E421)</f>
        <v>128400</v>
      </c>
      <c r="C49" s="500">
        <f>SUM(6D!F421)</f>
        <v>128400</v>
      </c>
      <c r="D49" s="500">
        <f t="shared" si="4"/>
        <v>100</v>
      </c>
      <c r="E49" s="501">
        <f t="shared" si="5"/>
        <v>0.0688803358882373</v>
      </c>
    </row>
    <row r="50" spans="1:6" s="502" customFormat="1" ht="13.5" customHeight="1">
      <c r="A50" s="503" t="s">
        <v>1396</v>
      </c>
      <c r="B50" s="505">
        <f>SUM(6D!E35,6D!E37,6D!E44,6D!E49,6D!E70,6D!E103,6D!E104,6D!E123,6D!E186,6D!E194,6D!E253,6D!E277,6D!E324,6D!E332,6D!E333)</f>
        <v>8088300</v>
      </c>
      <c r="C50" s="505">
        <f>SUM(6D!F35,6D!F37,6D!F44,6D!F49,6D!F70,6D!F103,6D!F104,6D!F123,6D!F186,6D!F194,6D!F253,6D!F277,6D!F324,6D!F332,6D!F333)</f>
        <v>3275269.86</v>
      </c>
      <c r="D50" s="500">
        <f t="shared" si="4"/>
        <v>40.49392159044546</v>
      </c>
      <c r="E50" s="501">
        <f t="shared" si="5"/>
        <v>1.7570224928459495</v>
      </c>
      <c r="F50" s="502" t="s">
        <v>935</v>
      </c>
    </row>
    <row r="51" spans="1:5" s="502" customFormat="1" ht="13.5" customHeight="1">
      <c r="A51" s="503" t="s">
        <v>1237</v>
      </c>
      <c r="B51" s="506">
        <f>6D!E316+6D!E310+6D!E96</f>
        <v>130000</v>
      </c>
      <c r="C51" s="506">
        <f>6D!F316+6D!F310+6D!F96</f>
        <v>130000</v>
      </c>
      <c r="D51" s="500">
        <f t="shared" si="4"/>
        <v>100</v>
      </c>
      <c r="E51" s="501">
        <f>C51/$C$84*100</f>
        <v>0.06973865783076985</v>
      </c>
    </row>
    <row r="52" spans="1:5" s="502" customFormat="1" ht="13.5" customHeight="1" hidden="1">
      <c r="A52" s="503" t="s">
        <v>258</v>
      </c>
      <c r="B52" s="505">
        <f>6D!E309+6D!E273+6D!E276</f>
        <v>0</v>
      </c>
      <c r="C52" s="505">
        <f>6D!F309+6D!F273+6D!F276</f>
        <v>0</v>
      </c>
      <c r="D52" s="507" t="s">
        <v>313</v>
      </c>
      <c r="E52" s="501">
        <f>C52/$C$84*100</f>
        <v>0</v>
      </c>
    </row>
    <row r="53" spans="1:5" s="502" customFormat="1" ht="13.5" customHeight="1" hidden="1">
      <c r="A53" s="503" t="s">
        <v>941</v>
      </c>
      <c r="B53" s="505">
        <f>6D!E223</f>
        <v>0</v>
      </c>
      <c r="C53" s="505">
        <f>6D!F223</f>
        <v>0</v>
      </c>
      <c r="D53" s="500" t="e">
        <f t="shared" si="4"/>
        <v>#DIV/0!</v>
      </c>
      <c r="E53" s="501">
        <f t="shared" si="5"/>
        <v>0</v>
      </c>
    </row>
    <row r="54" spans="1:5" s="502" customFormat="1" ht="13.5" customHeight="1">
      <c r="A54" s="503" t="s">
        <v>1302</v>
      </c>
      <c r="B54" s="505">
        <f>SUM(6D!E55,6D!E181,6D!E395,6D!E202,6D!E226,6D!E231,6D!E236,6D!E264,6D!E298,6D!E314,6D!E398)</f>
        <v>54000</v>
      </c>
      <c r="C54" s="505">
        <f>SUM(6D!F55,6D!F181,6D!F395,6D!F202,6D!F226,6D!F231,6D!F236,6D!F264,6D!F298,6D!F314,6D!F398)</f>
        <v>41588.49999999999</v>
      </c>
      <c r="D54" s="500">
        <f t="shared" si="4"/>
        <v>77.01574074074072</v>
      </c>
      <c r="E54" s="501">
        <f t="shared" si="5"/>
        <v>0.022310201316884395</v>
      </c>
    </row>
    <row r="55" spans="1:6" s="502" customFormat="1" ht="27" customHeight="1">
      <c r="A55" s="498" t="s">
        <v>934</v>
      </c>
      <c r="B55" s="505">
        <f>SUM(6D!E29,6D!E174,6D!E331)</f>
        <v>0</v>
      </c>
      <c r="C55" s="505">
        <f>SUM(6D!F29,6D!F174,6D!F331)</f>
        <v>530323.99</v>
      </c>
      <c r="D55" s="507" t="s">
        <v>313</v>
      </c>
      <c r="E55" s="501">
        <f t="shared" si="5"/>
        <v>0.28449294829275856</v>
      </c>
      <c r="F55" s="502" t="s">
        <v>935</v>
      </c>
    </row>
    <row r="56" spans="1:6" s="502" customFormat="1" ht="13.5" customHeight="1">
      <c r="A56" s="503" t="s">
        <v>138</v>
      </c>
      <c r="B56" s="505">
        <f>SUM(6D!E18,6D!E28,6D!E43,6D!E48,6D!E64,6D!E69,6D!E95,6D!E98,6D!E115,6D!E121,6D!E90,6D!E172,6D!E185,6D!E189,6D!E198,6D!E201,6D!E204,6D!E211,6D!E213,6D!E216,6D!E219,6D!E222,6D!E228,6D!E233,6D!E238,6D!E243,6D!E258)+6D!E271+6D!E280+6D!E282+6D!E294+6D!E297+6D!E303+6D!E308+6D!E313+6D!E330+6D!E401+6D!E405+6D!E419+6D!E445+6D!E447+6D!E76+6D!E256</f>
        <v>12310207</v>
      </c>
      <c r="C56" s="505">
        <f>SUM(6D!F18,6D!F28,6D!F43,6D!F48,6D!F64,6D!F69,6D!F95,6D!F98,6D!F115,6D!F121,6D!F90,6D!F172,6D!F185,6D!F189,6D!F198,6D!F201,6D!F204,6D!F211,6D!F213,6D!F216,6D!F219,6D!F222,6D!F228,6D!F233,6D!F238,6D!F243,6D!F258)+6D!F271+6D!F280+6D!F282+6D!F294+6D!F297+6D!F303+6D!F308+6D!F313+6D!F330+6D!F401+6D!F405+6D!F419+6D!F445+6D!F447+6D!F76+6D!F256</f>
        <v>19115884.669999998</v>
      </c>
      <c r="D56" s="500">
        <f t="shared" si="4"/>
        <v>155.28483534029928</v>
      </c>
      <c r="E56" s="501">
        <f t="shared" si="5"/>
        <v>10.254739539489144</v>
      </c>
      <c r="F56" s="502" t="s">
        <v>935</v>
      </c>
    </row>
    <row r="57" spans="1:5" s="472" customFormat="1" ht="18" customHeight="1">
      <c r="A57" s="470"/>
      <c r="B57" s="471"/>
      <c r="C57" s="471"/>
      <c r="D57" s="462"/>
      <c r="E57" s="463"/>
    </row>
    <row r="58" spans="1:5" s="435" customFormat="1" ht="12.75">
      <c r="A58" s="473" t="s">
        <v>1371</v>
      </c>
      <c r="B58" s="453">
        <f>SUM(B59,B60,B64,B65)</f>
        <v>57198703</v>
      </c>
      <c r="C58" s="453">
        <f>SUM(C59,C60,C64,C65)</f>
        <v>57221275</v>
      </c>
      <c r="D58" s="454">
        <f aca="true" t="shared" si="6" ref="D58:D65">C58/B58*100</f>
        <v>100.03946243326531</v>
      </c>
      <c r="E58" s="455">
        <f aca="true" t="shared" si="7" ref="E58:E65">C58/$C$84*100</f>
        <v>30.696422445118348</v>
      </c>
    </row>
    <row r="59" spans="1:6" ht="12.75">
      <c r="A59" s="474" t="s">
        <v>1397</v>
      </c>
      <c r="B59" s="457">
        <f>SUM(6D!E164,6D!E376)</f>
        <v>31294012</v>
      </c>
      <c r="C59" s="457">
        <f>SUM(6D!F164,6D!F376)</f>
        <v>31316584</v>
      </c>
      <c r="D59" s="458">
        <f t="shared" si="6"/>
        <v>100.0721288149311</v>
      </c>
      <c r="E59" s="459">
        <f t="shared" si="7"/>
        <v>16.7998195077274</v>
      </c>
      <c r="F59" s="434"/>
    </row>
    <row r="60" spans="1:6" ht="12.75">
      <c r="A60" s="474" t="s">
        <v>1398</v>
      </c>
      <c r="B60" s="457">
        <f>SUM(B61,B62,B63)</f>
        <v>22000000</v>
      </c>
      <c r="C60" s="457">
        <f>SUM(C61,C62,C63)</f>
        <v>22000000</v>
      </c>
      <c r="D60" s="458">
        <f t="shared" si="6"/>
        <v>100</v>
      </c>
      <c r="E60" s="459">
        <f t="shared" si="7"/>
        <v>11.80192670982259</v>
      </c>
      <c r="F60" s="434"/>
    </row>
    <row r="61" spans="1:5" s="477" customFormat="1" ht="15" customHeight="1">
      <c r="A61" s="475" t="s">
        <v>1234</v>
      </c>
      <c r="B61" s="476">
        <f>SUM(6D!E378)</f>
        <v>22000000</v>
      </c>
      <c r="C61" s="476">
        <f>SUM(6D!F378)</f>
        <v>22000000</v>
      </c>
      <c r="D61" s="462">
        <f t="shared" si="6"/>
        <v>100</v>
      </c>
      <c r="E61" s="463">
        <f t="shared" si="7"/>
        <v>11.80192670982259</v>
      </c>
    </row>
    <row r="62" spans="1:5" s="477" customFormat="1" ht="15" customHeight="1" hidden="1">
      <c r="A62" s="475" t="s">
        <v>798</v>
      </c>
      <c r="B62" s="476">
        <f>SUM(6D!E166)</f>
        <v>0</v>
      </c>
      <c r="C62" s="476">
        <f>SUM(6D!F166)</f>
        <v>0</v>
      </c>
      <c r="D62" s="462" t="e">
        <f t="shared" si="6"/>
        <v>#DIV/0!</v>
      </c>
      <c r="E62" s="463">
        <f t="shared" si="7"/>
        <v>0</v>
      </c>
    </row>
    <row r="63" spans="1:5" s="477" customFormat="1" ht="15" customHeight="1" hidden="1">
      <c r="A63" s="475" t="s">
        <v>1235</v>
      </c>
      <c r="B63" s="476">
        <f>SUM(6D!E379)</f>
        <v>0</v>
      </c>
      <c r="C63" s="476">
        <f>SUM(6D!F379)</f>
        <v>0</v>
      </c>
      <c r="D63" s="462" t="e">
        <f t="shared" si="6"/>
        <v>#DIV/0!</v>
      </c>
      <c r="E63" s="463">
        <f t="shared" si="7"/>
        <v>0</v>
      </c>
    </row>
    <row r="64" spans="1:5" s="477" customFormat="1" ht="12.75">
      <c r="A64" s="478" t="s">
        <v>706</v>
      </c>
      <c r="B64" s="479">
        <f>SUM(6D!E382)</f>
        <v>3587205</v>
      </c>
      <c r="C64" s="479">
        <f>SUM(6D!F382)</f>
        <v>3587205</v>
      </c>
      <c r="D64" s="458">
        <f t="shared" si="6"/>
        <v>100</v>
      </c>
      <c r="E64" s="459">
        <f t="shared" si="7"/>
        <v>1.924360477414052</v>
      </c>
    </row>
    <row r="65" spans="1:5" s="477" customFormat="1" ht="12.75">
      <c r="A65" s="478" t="s">
        <v>1233</v>
      </c>
      <c r="B65" s="480">
        <f>6D!E381</f>
        <v>317486</v>
      </c>
      <c r="C65" s="480">
        <f>6D!F381</f>
        <v>317486</v>
      </c>
      <c r="D65" s="458">
        <f t="shared" si="6"/>
        <v>100</v>
      </c>
      <c r="E65" s="459">
        <f t="shared" si="7"/>
        <v>0.17031575015430614</v>
      </c>
    </row>
    <row r="66" spans="1:5" s="477" customFormat="1" ht="12.75">
      <c r="A66" s="478"/>
      <c r="B66" s="479"/>
      <c r="C66" s="479"/>
      <c r="D66" s="458"/>
      <c r="E66" s="459"/>
    </row>
    <row r="67" spans="1:5" s="477" customFormat="1" ht="12.75">
      <c r="A67" s="481" t="s">
        <v>136</v>
      </c>
      <c r="B67" s="482">
        <f>SUM(B68,B72,B76,B80)</f>
        <v>20345708.92</v>
      </c>
      <c r="C67" s="482">
        <f>SUM(C68,C72,C76,C80)</f>
        <v>19055777.499999996</v>
      </c>
      <c r="D67" s="454">
        <f>C67/B67*100</f>
        <v>93.65993377241335</v>
      </c>
      <c r="E67" s="455">
        <f>C67/$C$84*100</f>
        <v>10.222494975167558</v>
      </c>
    </row>
    <row r="68" spans="1:5" s="435" customFormat="1" ht="25.5">
      <c r="A68" s="483" t="s">
        <v>940</v>
      </c>
      <c r="B68" s="457">
        <f>B69+B70</f>
        <v>7807132</v>
      </c>
      <c r="C68" s="457">
        <f>C69+C70</f>
        <v>6689568.350000001</v>
      </c>
      <c r="D68" s="458">
        <f>C68/B68*100</f>
        <v>85.68534962646976</v>
      </c>
      <c r="E68" s="459">
        <f>C68/$C$84*100</f>
        <v>3.5886270630476744</v>
      </c>
    </row>
    <row r="69" spans="1:6" ht="12.75">
      <c r="A69" s="484" t="s">
        <v>1399</v>
      </c>
      <c r="B69" s="461">
        <f>SUM(6D!E337,6D!E386,6D!E388,6D!E391,6D!E392,6D!E410,6D!E412,6D!E425,6D!E427,6D!E431,6D!E432,6D!E435,6D!E441,6D!E442)</f>
        <v>1342914</v>
      </c>
      <c r="C69" s="461">
        <f>SUM(6D!F337,6D!F386,6D!F388,6D!F391,6D!F392,6D!F410,6D!F412,6D!F425,6D!F427,6D!F431,6D!F432,6D!F435,6D!F441,6D!F442)</f>
        <v>611387.38</v>
      </c>
      <c r="D69" s="462">
        <f>C69/B69*100</f>
        <v>45.526919817650274</v>
      </c>
      <c r="E69" s="463">
        <f>C69/$C$84*100</f>
        <v>0.3279795022759297</v>
      </c>
      <c r="F69" s="434"/>
    </row>
    <row r="70" spans="1:5" s="477" customFormat="1" ht="12.75">
      <c r="A70" s="475" t="s">
        <v>1400</v>
      </c>
      <c r="B70" s="476">
        <f>SUM(6D!E51,6D!E99,6D!E101,6D!E173,6D!E175,6D!E178,6D!E193,6D!E195,6D!E230,6D!E235,6D!E240,6D!E244,6D!E252,6D!E260,6D!E262,6D!E267,6D!E311)</f>
        <v>6464218</v>
      </c>
      <c r="C70" s="476">
        <f>SUM(6D!F51,6D!F99,6D!F101,6D!F173,6D!F175,6D!F178,6D!F193,6D!F195,6D!F230,6D!F235,6D!F240,6D!F244,6D!F252,6D!F260,6D!F262,6D!F267,6D!F311)</f>
        <v>6078180.970000001</v>
      </c>
      <c r="D70" s="462">
        <f>C70/B70*100</f>
        <v>94.02809388544756</v>
      </c>
      <c r="E70" s="463">
        <f>C70/$C$84*100</f>
        <v>3.2606475607717447</v>
      </c>
    </row>
    <row r="71" spans="1:5" s="477" customFormat="1" ht="12.75">
      <c r="A71" s="478"/>
      <c r="B71" s="479"/>
      <c r="C71" s="479"/>
      <c r="D71" s="458"/>
      <c r="E71" s="459"/>
    </row>
    <row r="72" spans="1:5" s="485" customFormat="1" ht="15" customHeight="1">
      <c r="A72" s="483" t="s">
        <v>1404</v>
      </c>
      <c r="B72" s="479">
        <f>SUM(B73,B74)</f>
        <v>12380789.92</v>
      </c>
      <c r="C72" s="479">
        <f>SUM(C73,C74)</f>
        <v>12222342.209999999</v>
      </c>
      <c r="D72" s="458">
        <f>C72/B72*100</f>
        <v>98.72021324145042</v>
      </c>
      <c r="E72" s="459">
        <f>C72/$C$84*100</f>
        <v>6.556690317490502</v>
      </c>
    </row>
    <row r="73" spans="1:6" ht="12.75">
      <c r="A73" s="484" t="s">
        <v>1402</v>
      </c>
      <c r="B73" s="461">
        <f>SUM(6D!E320,6D!E340,6D!E341,6D!E344,6D!E347,6D!E349,6D!E352,6D!E359,6D!E363,6D!E364,6D!E366,6D!E397,6D!E403,6D!E408,6D!E417,6D!E423)</f>
        <v>5769314</v>
      </c>
      <c r="C73" s="461">
        <f>SUM(6D!F320,6D!F340,6D!F341,6D!F344,6D!F347,6D!F349,6D!F352,6D!F359,6D!F363,6D!F364,6D!F366,6D!F397,6D!F403,6D!F408,6D!F417,6D!F423)</f>
        <v>5677791.5</v>
      </c>
      <c r="D73" s="462">
        <f>C73/B73*100</f>
        <v>98.41363288598957</v>
      </c>
      <c r="E73" s="463">
        <f>C73/$C$84*100</f>
        <v>3.0458581434842578</v>
      </c>
      <c r="F73" s="434"/>
    </row>
    <row r="74" spans="1:6" ht="12.75">
      <c r="A74" s="475" t="s">
        <v>1403</v>
      </c>
      <c r="B74" s="461">
        <f>SUM(6D!E10,6D!E65,6D!E82,6D!E93,6D!E108,6D!E110,6D!E112,6D!E117,6D!E191,6D!E206,6D!E217,6D!E224,6D!E229,6D!E234,6D!E248)</f>
        <v>6611475.92</v>
      </c>
      <c r="C74" s="461">
        <f>SUM(6D!F10,6D!F65,6D!F82,6D!F93,6D!F108,6D!F110,6D!F112,6D!F117,6D!F191,6D!F206,6D!F217,6D!F224,6D!F229,6D!F234,6D!F248)</f>
        <v>6544550.709999999</v>
      </c>
      <c r="D74" s="462">
        <f>C74/B74*100</f>
        <v>98.9877417567604</v>
      </c>
      <c r="E74" s="463">
        <f>C74/$C$84*100</f>
        <v>3.5108321740062447</v>
      </c>
      <c r="F74" s="434"/>
    </row>
    <row r="75" spans="1:6" ht="12.75">
      <c r="A75" s="474"/>
      <c r="B75" s="457"/>
      <c r="C75" s="457"/>
      <c r="D75" s="458"/>
      <c r="E75" s="459"/>
      <c r="F75" s="434"/>
    </row>
    <row r="76" spans="1:5" s="435" customFormat="1" ht="25.5">
      <c r="A76" s="483" t="s">
        <v>528</v>
      </c>
      <c r="B76" s="457">
        <f>B77+B78</f>
        <v>83150</v>
      </c>
      <c r="C76" s="457">
        <f>C77+C78</f>
        <v>82569.56000000001</v>
      </c>
      <c r="D76" s="458">
        <f>C76/B76*100</f>
        <v>99.30193625977152</v>
      </c>
      <c r="E76" s="459">
        <f>C76/$C$84*100</f>
        <v>0.044294540708286326</v>
      </c>
    </row>
    <row r="77" spans="1:6" ht="12.75">
      <c r="A77" s="484" t="s">
        <v>1402</v>
      </c>
      <c r="B77" s="461">
        <f>SUM(6D!E335,6D!E360,6D!E414,)</f>
        <v>38150</v>
      </c>
      <c r="C77" s="461">
        <f>SUM(6D!F335,6D!F360,6D!F414,)</f>
        <v>38145.91</v>
      </c>
      <c r="D77" s="462">
        <f>C77/B77*100</f>
        <v>99.98927916120579</v>
      </c>
      <c r="E77" s="463">
        <f>C77/$C$84*100</f>
        <v>0.02046341973179494</v>
      </c>
      <c r="F77" s="434"/>
    </row>
    <row r="78" spans="1:6" ht="12.75">
      <c r="A78" s="475" t="s">
        <v>1403</v>
      </c>
      <c r="B78" s="461">
        <f>SUM(6D!E66,6D!E192,6D!E207,6D!E251)</f>
        <v>45000</v>
      </c>
      <c r="C78" s="461">
        <f>SUM(6D!F66,6D!F192,6D!F207,6D!F251)</f>
        <v>44423.65000000001</v>
      </c>
      <c r="D78" s="462">
        <f>C78/B78*100</f>
        <v>98.71922222222224</v>
      </c>
      <c r="E78" s="463">
        <f>C78/$C$84*100</f>
        <v>0.02383112097649138</v>
      </c>
      <c r="F78" s="434"/>
    </row>
    <row r="79" spans="1:6" ht="12.75">
      <c r="A79" s="475"/>
      <c r="B79" s="461"/>
      <c r="C79" s="461"/>
      <c r="D79" s="462"/>
      <c r="E79" s="463"/>
      <c r="F79" s="434"/>
    </row>
    <row r="80" spans="1:5" s="435" customFormat="1" ht="25.5">
      <c r="A80" s="483" t="s">
        <v>209</v>
      </c>
      <c r="B80" s="457">
        <f>SUM(B81,B82)</f>
        <v>74637</v>
      </c>
      <c r="C80" s="457">
        <f>SUM(C81,C82)</f>
        <v>61297.38</v>
      </c>
      <c r="D80" s="458">
        <f>C80/B80*100</f>
        <v>82.12733630772941</v>
      </c>
      <c r="E80" s="459">
        <f>C80/$C$84*100</f>
        <v>0.0328830539210975</v>
      </c>
    </row>
    <row r="81" spans="1:6" ht="12.75">
      <c r="A81" s="484" t="s">
        <v>1402</v>
      </c>
      <c r="B81" s="461">
        <f>SUM(6D!E406,6D!E436,6D!E438)</f>
        <v>74637</v>
      </c>
      <c r="C81" s="461">
        <f>SUM(6D!F406,6D!F436,6D!F438)</f>
        <v>61297.38</v>
      </c>
      <c r="D81" s="462">
        <f>C81/B81*100</f>
        <v>82.12733630772941</v>
      </c>
      <c r="E81" s="463">
        <f>C81/$C$84*100</f>
        <v>0.0328830539210975</v>
      </c>
      <c r="F81" s="434"/>
    </row>
    <row r="82" spans="1:6" ht="12.75" hidden="1">
      <c r="A82" s="484" t="s">
        <v>1403</v>
      </c>
      <c r="B82" s="461">
        <f>SUM(6D!E122)</f>
        <v>0</v>
      </c>
      <c r="C82" s="461">
        <f>SUM(6D!F122)</f>
        <v>0</v>
      </c>
      <c r="D82" s="466" t="s">
        <v>313</v>
      </c>
      <c r="E82" s="463">
        <f>C82/$C$84*100</f>
        <v>0</v>
      </c>
      <c r="F82" s="434"/>
    </row>
    <row r="83" spans="1:6" ht="13.5" thickBot="1">
      <c r="A83" s="456"/>
      <c r="B83" s="457"/>
      <c r="C83" s="457"/>
      <c r="D83" s="486"/>
      <c r="E83" s="459"/>
      <c r="F83" s="434"/>
    </row>
    <row r="84" spans="1:5" s="491" customFormat="1" ht="23.25" customHeight="1" thickBot="1">
      <c r="A84" s="487" t="s">
        <v>1394</v>
      </c>
      <c r="B84" s="488">
        <f>SUM(B8,B58,B67)</f>
        <v>209541943.92000002</v>
      </c>
      <c r="C84" s="488">
        <f>SUM(C8,C58,C67)</f>
        <v>186410240.81</v>
      </c>
      <c r="D84" s="489">
        <f>C84/B84*100</f>
        <v>88.96082441669466</v>
      </c>
      <c r="E84" s="490">
        <f>C84/$C$84*100</f>
        <v>100</v>
      </c>
    </row>
    <row r="85" spans="1:6" ht="12.75">
      <c r="A85" s="436" t="s">
        <v>206</v>
      </c>
      <c r="B85" s="421">
        <v>209541943.92</v>
      </c>
      <c r="C85" s="421">
        <v>186410240.81</v>
      </c>
      <c r="F85" s="434"/>
    </row>
    <row r="86" spans="1:3" s="497" customFormat="1" ht="12.75">
      <c r="A86" s="495" t="s">
        <v>1392</v>
      </c>
      <c r="B86" s="496">
        <f>B85-B84</f>
        <v>0</v>
      </c>
      <c r="C86" s="496">
        <f>C85-C84</f>
        <v>0</v>
      </c>
    </row>
    <row r="87" spans="1:3" ht="12.75">
      <c r="A87" s="492"/>
      <c r="B87" s="492"/>
      <c r="C87" s="493"/>
    </row>
    <row r="129" s="447" customFormat="1" ht="12.75"/>
    <row r="130" s="447" customFormat="1" ht="12.75" customHeight="1"/>
    <row r="185" s="447" customFormat="1" ht="12.75"/>
    <row r="186" s="447" customFormat="1" ht="12.75" customHeight="1"/>
  </sheetData>
  <sheetProtection password="CF93" sheet="1" formatRows="0" insertColumns="0" insertRows="0" insertHyperlinks="0" deleteColumns="0" deleteRows="0" sort="0" autoFilter="0" pivotTables="0"/>
  <mergeCells count="2">
    <mergeCell ref="D1:E1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794"/>
  <sheetViews>
    <sheetView view="pageBreakPreview" zoomScale="110" zoomScaleSheetLayoutView="110" zoomScalePageLayoutView="0" workbookViewId="0" topLeftCell="A1">
      <pane ySplit="6" topLeftCell="BM745" activePane="bottomLeft" state="frozen"/>
      <selection pane="topLeft" activeCell="A1" sqref="A1"/>
      <selection pane="bottomLeft" activeCell="C155" sqref="C155"/>
    </sheetView>
  </sheetViews>
  <sheetFormatPr defaultColWidth="9.00390625" defaultRowHeight="18.75" customHeight="1"/>
  <cols>
    <col min="1" max="1" width="5.25390625" style="736" customWidth="1"/>
    <col min="2" max="2" width="8.00390625" style="736" customWidth="1"/>
    <col min="3" max="3" width="39.25390625" style="737" customWidth="1"/>
    <col min="4" max="4" width="14.75390625" style="738" customWidth="1"/>
    <col min="5" max="5" width="13.875" style="738" customWidth="1"/>
    <col min="6" max="6" width="5.75390625" style="738" customWidth="1"/>
    <col min="7" max="7" width="13.00390625" style="165" customWidth="1"/>
    <col min="8" max="8" width="13.625" style="156" customWidth="1"/>
    <col min="9" max="16384" width="9.125" style="738" customWidth="1"/>
  </cols>
  <sheetData>
    <row r="1" spans="5:6" ht="18.75" customHeight="1">
      <c r="E1" s="1382" t="s">
        <v>852</v>
      </c>
      <c r="F1" s="1382"/>
    </row>
    <row r="2" ht="21.75" customHeight="1"/>
    <row r="3" spans="1:8" s="739" customFormat="1" ht="18.75" customHeight="1">
      <c r="A3" s="1370" t="s">
        <v>297</v>
      </c>
      <c r="B3" s="1370"/>
      <c r="C3" s="1370"/>
      <c r="D3" s="1370"/>
      <c r="E3" s="1370"/>
      <c r="G3" s="165"/>
      <c r="H3" s="159"/>
    </row>
    <row r="4" spans="1:8" s="739" customFormat="1" ht="13.5" customHeight="1" thickBot="1">
      <c r="A4" s="740"/>
      <c r="B4" s="740"/>
      <c r="C4" s="741"/>
      <c r="D4" s="740"/>
      <c r="E4" s="740"/>
      <c r="F4" s="307" t="s">
        <v>1426</v>
      </c>
      <c r="G4" s="165"/>
      <c r="H4" s="159"/>
    </row>
    <row r="5" spans="1:8" s="739" customFormat="1" ht="18.75" customHeight="1">
      <c r="A5" s="742" t="s">
        <v>890</v>
      </c>
      <c r="B5" s="743" t="s">
        <v>1427</v>
      </c>
      <c r="C5" s="743" t="s">
        <v>1428</v>
      </c>
      <c r="D5" s="588" t="s">
        <v>1429</v>
      </c>
      <c r="E5" s="588" t="s">
        <v>1430</v>
      </c>
      <c r="F5" s="744" t="s">
        <v>1431</v>
      </c>
      <c r="G5" s="165"/>
      <c r="H5" s="159"/>
    </row>
    <row r="6" spans="1:8" s="171" customFormat="1" ht="11.25" customHeight="1" thickBot="1">
      <c r="A6" s="166">
        <v>1</v>
      </c>
      <c r="B6" s="167">
        <v>2</v>
      </c>
      <c r="C6" s="167">
        <v>3</v>
      </c>
      <c r="D6" s="169">
        <v>4</v>
      </c>
      <c r="E6" s="169">
        <v>5</v>
      </c>
      <c r="F6" s="313">
        <v>6</v>
      </c>
      <c r="G6" s="165"/>
      <c r="H6" s="165"/>
    </row>
    <row r="7" spans="1:6" s="165" customFormat="1" ht="19.5" customHeight="1">
      <c r="A7" s="1427" t="s">
        <v>93</v>
      </c>
      <c r="B7" s="1428"/>
      <c r="C7" s="1428"/>
      <c r="D7" s="273">
        <f>SUM(D8,D21,D26,D31,D37,D56,D66,D82,D98,D142,D159,D183,D189,D193,D198,D253,D279,D340,D355,D383,D415,D441)</f>
        <v>136751374.92000002</v>
      </c>
      <c r="E7" s="273">
        <f>SUM(E8,E21,E26,E31,E37,E56,E66,E82,E98,E142,E159,E183,E189,E193,E198,E253,E279,E340,E355,E383,E415,E441)</f>
        <v>117193248.10000001</v>
      </c>
      <c r="F7" s="745">
        <f>E7/D7*100</f>
        <v>85.69804008812227</v>
      </c>
    </row>
    <row r="8" spans="1:7" s="518" customFormat="1" ht="18.75" customHeight="1">
      <c r="A8" s="746" t="s">
        <v>1432</v>
      </c>
      <c r="B8" s="747"/>
      <c r="C8" s="748" t="s">
        <v>891</v>
      </c>
      <c r="D8" s="749">
        <f>SUM(D9,D14,D17)</f>
        <v>109264.92</v>
      </c>
      <c r="E8" s="749">
        <f>SUM(E9,E14,E17)</f>
        <v>98577.97</v>
      </c>
      <c r="F8" s="750">
        <f>E8/D8*100</f>
        <v>90.21923047214055</v>
      </c>
      <c r="G8" s="519"/>
    </row>
    <row r="9" spans="1:7" s="515" customFormat="1" ht="18.75" customHeight="1">
      <c r="A9" s="751"/>
      <c r="B9" s="752" t="s">
        <v>892</v>
      </c>
      <c r="C9" s="753" t="s">
        <v>893</v>
      </c>
      <c r="D9" s="754">
        <f>D10</f>
        <v>65000</v>
      </c>
      <c r="E9" s="754">
        <f>E10</f>
        <v>61446.8</v>
      </c>
      <c r="F9" s="755">
        <f aca="true" t="shared" si="0" ref="F9:F27">E9/D9*100</f>
        <v>94.53353846153847</v>
      </c>
      <c r="G9" s="756"/>
    </row>
    <row r="10" spans="1:7" s="763" customFormat="1" ht="18.75" customHeight="1">
      <c r="A10" s="757"/>
      <c r="B10" s="758"/>
      <c r="C10" s="759" t="s">
        <v>360</v>
      </c>
      <c r="D10" s="760">
        <f>SUM(D11)</f>
        <v>65000</v>
      </c>
      <c r="E10" s="760">
        <f>SUM(E11)</f>
        <v>61446.8</v>
      </c>
      <c r="F10" s="761">
        <f t="shared" si="0"/>
        <v>94.53353846153847</v>
      </c>
      <c r="G10" s="762"/>
    </row>
    <row r="11" spans="1:7" s="770" customFormat="1" ht="18" customHeight="1">
      <c r="A11" s="764"/>
      <c r="B11" s="765"/>
      <c r="C11" s="766" t="s">
        <v>466</v>
      </c>
      <c r="D11" s="767">
        <f>SUM(D12,D13)</f>
        <v>65000</v>
      </c>
      <c r="E11" s="767">
        <f>SUM(E12,E13)</f>
        <v>61446.8</v>
      </c>
      <c r="F11" s="768">
        <f>E11/D11*100</f>
        <v>94.53353846153847</v>
      </c>
      <c r="G11" s="769"/>
    </row>
    <row r="12" spans="1:7" s="776" customFormat="1" ht="18.75" customHeight="1">
      <c r="A12" s="771"/>
      <c r="B12" s="772"/>
      <c r="C12" s="773" t="s">
        <v>910</v>
      </c>
      <c r="D12" s="774">
        <v>56000</v>
      </c>
      <c r="E12" s="774">
        <v>55725</v>
      </c>
      <c r="F12" s="775">
        <f>E12/D12*100</f>
        <v>99.50892857142857</v>
      </c>
      <c r="G12" s="769"/>
    </row>
    <row r="13" spans="1:7" s="776" customFormat="1" ht="18.75" customHeight="1">
      <c r="A13" s="771"/>
      <c r="B13" s="772"/>
      <c r="C13" s="773" t="s">
        <v>467</v>
      </c>
      <c r="D13" s="774">
        <v>9000</v>
      </c>
      <c r="E13" s="774">
        <v>5721.8</v>
      </c>
      <c r="F13" s="775">
        <f>E13/D13*100</f>
        <v>63.57555555555556</v>
      </c>
      <c r="G13" s="769"/>
    </row>
    <row r="14" spans="1:7" s="515" customFormat="1" ht="18.75" customHeight="1">
      <c r="A14" s="751"/>
      <c r="B14" s="752" t="s">
        <v>894</v>
      </c>
      <c r="C14" s="777" t="s">
        <v>895</v>
      </c>
      <c r="D14" s="754">
        <f>D15</f>
        <v>1000</v>
      </c>
      <c r="E14" s="754">
        <f>E15</f>
        <v>467.85</v>
      </c>
      <c r="F14" s="755">
        <f t="shared" si="0"/>
        <v>46.785000000000004</v>
      </c>
      <c r="G14" s="519"/>
    </row>
    <row r="15" spans="1:7" s="781" customFormat="1" ht="18.75" customHeight="1">
      <c r="A15" s="778"/>
      <c r="B15" s="779"/>
      <c r="C15" s="759" t="s">
        <v>360</v>
      </c>
      <c r="D15" s="760">
        <f>SUM(D16)</f>
        <v>1000</v>
      </c>
      <c r="E15" s="760">
        <f>SUM(E16)</f>
        <v>467.85</v>
      </c>
      <c r="F15" s="761">
        <f t="shared" si="0"/>
        <v>46.785000000000004</v>
      </c>
      <c r="G15" s="780"/>
    </row>
    <row r="16" spans="1:7" s="770" customFormat="1" ht="18.75" customHeight="1">
      <c r="A16" s="764"/>
      <c r="B16" s="765"/>
      <c r="C16" s="766" t="s">
        <v>468</v>
      </c>
      <c r="D16" s="767">
        <v>1000</v>
      </c>
      <c r="E16" s="767">
        <v>467.85</v>
      </c>
      <c r="F16" s="768">
        <f t="shared" si="0"/>
        <v>46.785000000000004</v>
      </c>
      <c r="G16" s="782"/>
    </row>
    <row r="17" spans="1:8" s="514" customFormat="1" ht="18.75" customHeight="1">
      <c r="A17" s="751"/>
      <c r="B17" s="752" t="s">
        <v>896</v>
      </c>
      <c r="C17" s="783" t="s">
        <v>1433</v>
      </c>
      <c r="D17" s="754">
        <f>D18</f>
        <v>43264.92</v>
      </c>
      <c r="E17" s="754">
        <f>E18</f>
        <v>36663.32</v>
      </c>
      <c r="F17" s="755">
        <f t="shared" si="0"/>
        <v>84.74144873028773</v>
      </c>
      <c r="G17" s="519"/>
      <c r="H17" s="515"/>
    </row>
    <row r="18" spans="1:7" s="763" customFormat="1" ht="18.75" customHeight="1">
      <c r="A18" s="757"/>
      <c r="B18" s="758"/>
      <c r="C18" s="759" t="s">
        <v>360</v>
      </c>
      <c r="D18" s="760">
        <f>SUM(D19)</f>
        <v>43264.92</v>
      </c>
      <c r="E18" s="760">
        <f>SUM(E19)</f>
        <v>36663.32</v>
      </c>
      <c r="F18" s="761">
        <f>E18/D18*100</f>
        <v>84.74144873028773</v>
      </c>
      <c r="G18" s="762"/>
    </row>
    <row r="19" spans="1:7" s="770" customFormat="1" ht="18" customHeight="1">
      <c r="A19" s="764"/>
      <c r="B19" s="765"/>
      <c r="C19" s="766" t="s">
        <v>466</v>
      </c>
      <c r="D19" s="767">
        <f>SUM(D20)</f>
        <v>43264.92</v>
      </c>
      <c r="E19" s="767">
        <f>SUM(E20)</f>
        <v>36663.32</v>
      </c>
      <c r="F19" s="768">
        <f>E19/D19*100</f>
        <v>84.74144873028773</v>
      </c>
      <c r="G19" s="769"/>
    </row>
    <row r="20" spans="1:7" s="776" customFormat="1" ht="18.75" customHeight="1">
      <c r="A20" s="771"/>
      <c r="B20" s="772"/>
      <c r="C20" s="773" t="s">
        <v>467</v>
      </c>
      <c r="D20" s="774">
        <v>43264.92</v>
      </c>
      <c r="E20" s="774">
        <v>36663.32</v>
      </c>
      <c r="F20" s="775">
        <f>E20/D20*100</f>
        <v>84.74144873028773</v>
      </c>
      <c r="G20" s="769"/>
    </row>
    <row r="21" spans="1:7" s="518" customFormat="1" ht="18.75" customHeight="1">
      <c r="A21" s="746" t="s">
        <v>1434</v>
      </c>
      <c r="B21" s="747"/>
      <c r="C21" s="784" t="s">
        <v>897</v>
      </c>
      <c r="D21" s="749">
        <f>SUM(D22)</f>
        <v>36020</v>
      </c>
      <c r="E21" s="749">
        <f>SUM(E22)</f>
        <v>3660</v>
      </c>
      <c r="F21" s="750">
        <f t="shared" si="0"/>
        <v>10.161021654636313</v>
      </c>
      <c r="G21" s="519"/>
    </row>
    <row r="22" spans="1:8" s="514" customFormat="1" ht="18.75" customHeight="1">
      <c r="A22" s="751"/>
      <c r="B22" s="752" t="s">
        <v>1435</v>
      </c>
      <c r="C22" s="783" t="s">
        <v>1433</v>
      </c>
      <c r="D22" s="754">
        <f>D25</f>
        <v>36020</v>
      </c>
      <c r="E22" s="754">
        <f>E25</f>
        <v>3660</v>
      </c>
      <c r="F22" s="755">
        <f t="shared" si="0"/>
        <v>10.161021654636313</v>
      </c>
      <c r="G22" s="519"/>
      <c r="H22" s="515"/>
    </row>
    <row r="23" spans="1:7" s="763" customFormat="1" ht="18.75" customHeight="1">
      <c r="A23" s="757"/>
      <c r="B23" s="758"/>
      <c r="C23" s="759" t="s">
        <v>360</v>
      </c>
      <c r="D23" s="760">
        <f>SUM(D24)</f>
        <v>36020</v>
      </c>
      <c r="E23" s="760">
        <f>SUM(E24)</f>
        <v>3660</v>
      </c>
      <c r="F23" s="761">
        <f t="shared" si="0"/>
        <v>10.161021654636313</v>
      </c>
      <c r="G23" s="762"/>
    </row>
    <row r="24" spans="1:7" s="770" customFormat="1" ht="18" customHeight="1">
      <c r="A24" s="764"/>
      <c r="B24" s="765"/>
      <c r="C24" s="766" t="s">
        <v>466</v>
      </c>
      <c r="D24" s="767">
        <f>SUM(D25)</f>
        <v>36020</v>
      </c>
      <c r="E24" s="767">
        <f>SUM(E25)</f>
        <v>3660</v>
      </c>
      <c r="F24" s="768">
        <f>E24/D24*100</f>
        <v>10.161021654636313</v>
      </c>
      <c r="G24" s="769"/>
    </row>
    <row r="25" spans="1:7" s="776" customFormat="1" ht="18.75" customHeight="1">
      <c r="A25" s="771"/>
      <c r="B25" s="772"/>
      <c r="C25" s="773" t="s">
        <v>467</v>
      </c>
      <c r="D25" s="774">
        <v>36020</v>
      </c>
      <c r="E25" s="774">
        <v>3660</v>
      </c>
      <c r="F25" s="775">
        <f>E25/D25*100</f>
        <v>10.161021654636313</v>
      </c>
      <c r="G25" s="769"/>
    </row>
    <row r="26" spans="1:7" s="518" customFormat="1" ht="29.25" customHeight="1">
      <c r="A26" s="785" t="s">
        <v>419</v>
      </c>
      <c r="B26" s="747"/>
      <c r="C26" s="748" t="s">
        <v>898</v>
      </c>
      <c r="D26" s="749">
        <f>D27</f>
        <v>5451737</v>
      </c>
      <c r="E26" s="749">
        <f>E27</f>
        <v>5428777.97</v>
      </c>
      <c r="F26" s="750">
        <f t="shared" si="0"/>
        <v>99.57886761595432</v>
      </c>
      <c r="G26" s="519"/>
    </row>
    <row r="27" spans="1:8" s="514" customFormat="1" ht="18.75" customHeight="1">
      <c r="A27" s="751"/>
      <c r="B27" s="752" t="s">
        <v>899</v>
      </c>
      <c r="C27" s="783" t="s">
        <v>900</v>
      </c>
      <c r="D27" s="754">
        <f>D30</f>
        <v>5451737</v>
      </c>
      <c r="E27" s="754">
        <f>E30</f>
        <v>5428777.97</v>
      </c>
      <c r="F27" s="755">
        <f t="shared" si="0"/>
        <v>99.57886761595432</v>
      </c>
      <c r="G27" s="519"/>
      <c r="H27" s="515"/>
    </row>
    <row r="28" spans="1:7" s="763" customFormat="1" ht="18.75" customHeight="1">
      <c r="A28" s="757"/>
      <c r="B28" s="758"/>
      <c r="C28" s="759" t="s">
        <v>360</v>
      </c>
      <c r="D28" s="760">
        <f>SUM(D29)</f>
        <v>5451737</v>
      </c>
      <c r="E28" s="760">
        <f>SUM(E29)</f>
        <v>5428777.97</v>
      </c>
      <c r="F28" s="761">
        <f aca="true" t="shared" si="1" ref="F28:F36">E28/D28*100</f>
        <v>99.57886761595432</v>
      </c>
      <c r="G28" s="762"/>
    </row>
    <row r="29" spans="1:7" s="770" customFormat="1" ht="18" customHeight="1">
      <c r="A29" s="764"/>
      <c r="B29" s="765"/>
      <c r="C29" s="766" t="s">
        <v>466</v>
      </c>
      <c r="D29" s="767">
        <f>SUM(D30)</f>
        <v>5451737</v>
      </c>
      <c r="E29" s="767">
        <f>SUM(E30)</f>
        <v>5428777.97</v>
      </c>
      <c r="F29" s="768">
        <f t="shared" si="1"/>
        <v>99.57886761595432</v>
      </c>
      <c r="G29" s="769"/>
    </row>
    <row r="30" spans="1:7" s="776" customFormat="1" ht="18.75" customHeight="1">
      <c r="A30" s="771"/>
      <c r="B30" s="772"/>
      <c r="C30" s="773" t="s">
        <v>467</v>
      </c>
      <c r="D30" s="774">
        <v>5451737</v>
      </c>
      <c r="E30" s="774">
        <v>5428777.97</v>
      </c>
      <c r="F30" s="775">
        <f t="shared" si="1"/>
        <v>99.57886761595432</v>
      </c>
      <c r="G30" s="769"/>
    </row>
    <row r="31" spans="1:7" s="518" customFormat="1" ht="18.75" customHeight="1">
      <c r="A31" s="746" t="s">
        <v>1436</v>
      </c>
      <c r="B31" s="747"/>
      <c r="C31" s="784" t="s">
        <v>901</v>
      </c>
      <c r="D31" s="749">
        <f aca="true" t="shared" si="2" ref="D31:E33">SUM(D32)</f>
        <v>400000</v>
      </c>
      <c r="E31" s="749">
        <f t="shared" si="2"/>
        <v>342917.33999999997</v>
      </c>
      <c r="F31" s="750">
        <f t="shared" si="1"/>
        <v>85.72933499999999</v>
      </c>
      <c r="G31" s="519"/>
    </row>
    <row r="32" spans="1:8" s="514" customFormat="1" ht="18.75" customHeight="1">
      <c r="A32" s="751"/>
      <c r="B32" s="752" t="s">
        <v>908</v>
      </c>
      <c r="C32" s="783" t="s">
        <v>1433</v>
      </c>
      <c r="D32" s="754">
        <f t="shared" si="2"/>
        <v>400000</v>
      </c>
      <c r="E32" s="754">
        <f t="shared" si="2"/>
        <v>342917.33999999997</v>
      </c>
      <c r="F32" s="755">
        <f t="shared" si="1"/>
        <v>85.72933499999999</v>
      </c>
      <c r="G32" s="519"/>
      <c r="H32" s="515"/>
    </row>
    <row r="33" spans="1:7" s="763" customFormat="1" ht="18.75" customHeight="1">
      <c r="A33" s="757"/>
      <c r="B33" s="758"/>
      <c r="C33" s="759" t="s">
        <v>360</v>
      </c>
      <c r="D33" s="760">
        <f t="shared" si="2"/>
        <v>400000</v>
      </c>
      <c r="E33" s="760">
        <f t="shared" si="2"/>
        <v>342917.33999999997</v>
      </c>
      <c r="F33" s="761">
        <f t="shared" si="1"/>
        <v>85.72933499999999</v>
      </c>
      <c r="G33" s="762"/>
    </row>
    <row r="34" spans="1:7" s="770" customFormat="1" ht="18" customHeight="1">
      <c r="A34" s="764"/>
      <c r="B34" s="765"/>
      <c r="C34" s="766" t="s">
        <v>466</v>
      </c>
      <c r="D34" s="767">
        <f>SUM(D35,D36)</f>
        <v>400000</v>
      </c>
      <c r="E34" s="767">
        <f>SUM(E35,E36)</f>
        <v>342917.33999999997</v>
      </c>
      <c r="F34" s="768">
        <f t="shared" si="1"/>
        <v>85.72933499999999</v>
      </c>
      <c r="G34" s="769"/>
    </row>
    <row r="35" spans="1:7" s="776" customFormat="1" ht="18.75" customHeight="1">
      <c r="A35" s="771"/>
      <c r="B35" s="772"/>
      <c r="C35" s="773" t="s">
        <v>910</v>
      </c>
      <c r="D35" s="774">
        <v>200488</v>
      </c>
      <c r="E35" s="774">
        <v>156540.77</v>
      </c>
      <c r="F35" s="775">
        <f t="shared" si="1"/>
        <v>78.07987011691472</v>
      </c>
      <c r="G35" s="769"/>
    </row>
    <row r="36" spans="1:7" s="776" customFormat="1" ht="18.75" customHeight="1">
      <c r="A36" s="771"/>
      <c r="B36" s="772"/>
      <c r="C36" s="773" t="s">
        <v>467</v>
      </c>
      <c r="D36" s="774">
        <v>199512</v>
      </c>
      <c r="E36" s="774">
        <v>186376.57</v>
      </c>
      <c r="F36" s="775">
        <f t="shared" si="1"/>
        <v>93.41622057821084</v>
      </c>
      <c r="G36" s="769"/>
    </row>
    <row r="37" spans="1:7" s="518" customFormat="1" ht="18.75" customHeight="1">
      <c r="A37" s="746" t="s">
        <v>67</v>
      </c>
      <c r="B37" s="747"/>
      <c r="C37" s="784" t="s">
        <v>68</v>
      </c>
      <c r="D37" s="749">
        <f>SUM(D38,D44,D51)</f>
        <v>14606067</v>
      </c>
      <c r="E37" s="749">
        <f>SUM(E38,E44,E51)</f>
        <v>9612951.799999999</v>
      </c>
      <c r="F37" s="750">
        <f aca="true" t="shared" si="3" ref="F37:F44">E37/D37*100</f>
        <v>65.81478641717855</v>
      </c>
      <c r="G37" s="519"/>
    </row>
    <row r="38" spans="1:7" s="515" customFormat="1" ht="18.75" customHeight="1">
      <c r="A38" s="751"/>
      <c r="B38" s="752" t="s">
        <v>1420</v>
      </c>
      <c r="C38" s="783" t="s">
        <v>1421</v>
      </c>
      <c r="D38" s="754">
        <f>SUM(D39,D42)</f>
        <v>3461677</v>
      </c>
      <c r="E38" s="754">
        <f>SUM(E39,E42)</f>
        <v>2892751.11</v>
      </c>
      <c r="F38" s="755">
        <f t="shared" si="3"/>
        <v>83.56502094216185</v>
      </c>
      <c r="G38" s="519"/>
    </row>
    <row r="39" spans="1:7" s="763" customFormat="1" ht="18.75" customHeight="1">
      <c r="A39" s="757"/>
      <c r="B39" s="758"/>
      <c r="C39" s="759" t="s">
        <v>360</v>
      </c>
      <c r="D39" s="760">
        <f>SUM(D40)</f>
        <v>2900000</v>
      </c>
      <c r="E39" s="760">
        <f>SUM(E40)</f>
        <v>2892751.11</v>
      </c>
      <c r="F39" s="761">
        <f t="shared" si="3"/>
        <v>99.75003827586207</v>
      </c>
      <c r="G39" s="762"/>
    </row>
    <row r="40" spans="1:7" s="770" customFormat="1" ht="18" customHeight="1">
      <c r="A40" s="764"/>
      <c r="B40" s="765"/>
      <c r="C40" s="766" t="s">
        <v>466</v>
      </c>
      <c r="D40" s="767">
        <f>SUM(D41)</f>
        <v>2900000</v>
      </c>
      <c r="E40" s="767">
        <f>SUM(E41)</f>
        <v>2892751.11</v>
      </c>
      <c r="F40" s="768">
        <f>E40/D40*100</f>
        <v>99.75003827586207</v>
      </c>
      <c r="G40" s="769"/>
    </row>
    <row r="41" spans="1:7" s="776" customFormat="1" ht="18.75" customHeight="1">
      <c r="A41" s="771"/>
      <c r="B41" s="772"/>
      <c r="C41" s="773" t="s">
        <v>467</v>
      </c>
      <c r="D41" s="774">
        <v>2900000</v>
      </c>
      <c r="E41" s="774">
        <v>2892751.11</v>
      </c>
      <c r="F41" s="775">
        <f>E41/D41*100</f>
        <v>99.75003827586207</v>
      </c>
      <c r="G41" s="769"/>
    </row>
    <row r="42" spans="1:7" s="763" customFormat="1" ht="18.75" customHeight="1">
      <c r="A42" s="757"/>
      <c r="B42" s="758"/>
      <c r="C42" s="759" t="s">
        <v>469</v>
      </c>
      <c r="D42" s="760">
        <f>SUM(D43)</f>
        <v>561677</v>
      </c>
      <c r="E42" s="760">
        <f>SUM(E43)</f>
        <v>0</v>
      </c>
      <c r="F42" s="761">
        <f>E42/D42*100</f>
        <v>0</v>
      </c>
      <c r="G42" s="762"/>
    </row>
    <row r="43" spans="1:7" s="770" customFormat="1" ht="18" customHeight="1">
      <c r="A43" s="764"/>
      <c r="B43" s="765"/>
      <c r="C43" s="766" t="s">
        <v>470</v>
      </c>
      <c r="D43" s="767">
        <v>561677</v>
      </c>
      <c r="E43" s="767">
        <v>0</v>
      </c>
      <c r="F43" s="768">
        <f>E43/D43*100</f>
        <v>0</v>
      </c>
      <c r="G43" s="769"/>
    </row>
    <row r="44" spans="1:7" s="515" customFormat="1" ht="18.75" customHeight="1">
      <c r="A44" s="751"/>
      <c r="B44" s="752" t="s">
        <v>70</v>
      </c>
      <c r="C44" s="753" t="s">
        <v>71</v>
      </c>
      <c r="D44" s="754">
        <f>SUM(D45,D49)</f>
        <v>10728000</v>
      </c>
      <c r="E44" s="754">
        <f>SUM(E45,E49)</f>
        <v>6422882.57</v>
      </c>
      <c r="F44" s="755">
        <f t="shared" si="3"/>
        <v>59.87027004101417</v>
      </c>
      <c r="G44" s="519"/>
    </row>
    <row r="45" spans="1:7" s="763" customFormat="1" ht="18.75" customHeight="1">
      <c r="A45" s="757"/>
      <c r="B45" s="758"/>
      <c r="C45" s="759" t="s">
        <v>360</v>
      </c>
      <c r="D45" s="760">
        <f>SUM(D46)</f>
        <v>3384000</v>
      </c>
      <c r="E45" s="760">
        <f>SUM(E46)</f>
        <v>2846892.83</v>
      </c>
      <c r="F45" s="761">
        <f aca="true" t="shared" si="4" ref="F45:F61">E45/D45*100</f>
        <v>84.12803871158393</v>
      </c>
      <c r="G45" s="762"/>
    </row>
    <row r="46" spans="1:7" s="770" customFormat="1" ht="18" customHeight="1">
      <c r="A46" s="764"/>
      <c r="B46" s="765"/>
      <c r="C46" s="766" t="s">
        <v>466</v>
      </c>
      <c r="D46" s="767">
        <f>SUM(D47,D48)</f>
        <v>3384000</v>
      </c>
      <c r="E46" s="767">
        <f>SUM(E47,E48)</f>
        <v>2846892.83</v>
      </c>
      <c r="F46" s="768">
        <f t="shared" si="4"/>
        <v>84.12803871158393</v>
      </c>
      <c r="G46" s="769"/>
    </row>
    <row r="47" spans="1:7" s="776" customFormat="1" ht="18.75" customHeight="1">
      <c r="A47" s="771"/>
      <c r="B47" s="772"/>
      <c r="C47" s="773" t="s">
        <v>910</v>
      </c>
      <c r="D47" s="774">
        <v>36500</v>
      </c>
      <c r="E47" s="774">
        <v>35527.89</v>
      </c>
      <c r="F47" s="775">
        <f t="shared" si="4"/>
        <v>97.33668493150685</v>
      </c>
      <c r="G47" s="769"/>
    </row>
    <row r="48" spans="1:7" s="776" customFormat="1" ht="18.75" customHeight="1">
      <c r="A48" s="771"/>
      <c r="B48" s="772"/>
      <c r="C48" s="773" t="s">
        <v>467</v>
      </c>
      <c r="D48" s="774">
        <v>3347500</v>
      </c>
      <c r="E48" s="774">
        <v>2811364.94</v>
      </c>
      <c r="F48" s="775">
        <f t="shared" si="4"/>
        <v>83.98401613144138</v>
      </c>
      <c r="G48" s="769"/>
    </row>
    <row r="49" spans="1:7" s="763" customFormat="1" ht="18.75" customHeight="1">
      <c r="A49" s="757"/>
      <c r="B49" s="758"/>
      <c r="C49" s="759" t="s">
        <v>469</v>
      </c>
      <c r="D49" s="760">
        <f>SUM(D50)</f>
        <v>7344000</v>
      </c>
      <c r="E49" s="760">
        <f>SUM(E50)</f>
        <v>3575989.74</v>
      </c>
      <c r="F49" s="761">
        <f t="shared" si="4"/>
        <v>48.69267075163399</v>
      </c>
      <c r="G49" s="762"/>
    </row>
    <row r="50" spans="1:7" s="770" customFormat="1" ht="18" customHeight="1">
      <c r="A50" s="764"/>
      <c r="B50" s="765"/>
      <c r="C50" s="766" t="s">
        <v>471</v>
      </c>
      <c r="D50" s="767">
        <v>7344000</v>
      </c>
      <c r="E50" s="767">
        <v>3575989.74</v>
      </c>
      <c r="F50" s="768">
        <f t="shared" si="4"/>
        <v>48.69267075163399</v>
      </c>
      <c r="G50" s="769"/>
    </row>
    <row r="51" spans="1:7" s="770" customFormat="1" ht="18.75" customHeight="1">
      <c r="A51" s="786"/>
      <c r="B51" s="752" t="s">
        <v>434</v>
      </c>
      <c r="C51" s="783" t="s">
        <v>435</v>
      </c>
      <c r="D51" s="754">
        <f>SUM(D52)</f>
        <v>416390</v>
      </c>
      <c r="E51" s="754">
        <f>SUM(E52)</f>
        <v>297318.12</v>
      </c>
      <c r="F51" s="755">
        <f t="shared" si="4"/>
        <v>71.40376089723577</v>
      </c>
      <c r="G51" s="769"/>
    </row>
    <row r="52" spans="1:7" s="763" customFormat="1" ht="18.75" customHeight="1">
      <c r="A52" s="757"/>
      <c r="B52" s="758"/>
      <c r="C52" s="759" t="s">
        <v>360</v>
      </c>
      <c r="D52" s="760">
        <f>SUM(D53)</f>
        <v>416390</v>
      </c>
      <c r="E52" s="760">
        <f>SUM(E53)</f>
        <v>297318.12</v>
      </c>
      <c r="F52" s="761">
        <f t="shared" si="4"/>
        <v>71.40376089723577</v>
      </c>
      <c r="G52" s="762"/>
    </row>
    <row r="53" spans="1:7" s="770" customFormat="1" ht="18" customHeight="1">
      <c r="A53" s="764"/>
      <c r="B53" s="765"/>
      <c r="C53" s="766" t="s">
        <v>466</v>
      </c>
      <c r="D53" s="767">
        <f>SUM(D54,D55)</f>
        <v>416390</v>
      </c>
      <c r="E53" s="767">
        <f>SUM(E54,E55)</f>
        <v>297318.12</v>
      </c>
      <c r="F53" s="768">
        <f t="shared" si="4"/>
        <v>71.40376089723577</v>
      </c>
      <c r="G53" s="769"/>
    </row>
    <row r="54" spans="1:7" s="776" customFormat="1" ht="18.75" customHeight="1">
      <c r="A54" s="771"/>
      <c r="B54" s="772"/>
      <c r="C54" s="773" t="s">
        <v>910</v>
      </c>
      <c r="D54" s="774">
        <v>164587</v>
      </c>
      <c r="E54" s="774">
        <v>162742.88</v>
      </c>
      <c r="F54" s="775">
        <f t="shared" si="4"/>
        <v>98.87954698730763</v>
      </c>
      <c r="G54" s="769"/>
    </row>
    <row r="55" spans="1:7" s="776" customFormat="1" ht="18.75" customHeight="1">
      <c r="A55" s="771"/>
      <c r="B55" s="772"/>
      <c r="C55" s="773" t="s">
        <v>467</v>
      </c>
      <c r="D55" s="774">
        <v>251803</v>
      </c>
      <c r="E55" s="774">
        <v>134575.24</v>
      </c>
      <c r="F55" s="775">
        <f t="shared" si="4"/>
        <v>53.44465316139998</v>
      </c>
      <c r="G55" s="769"/>
    </row>
    <row r="56" spans="1:7" s="518" customFormat="1" ht="18.75" customHeight="1">
      <c r="A56" s="787" t="s">
        <v>72</v>
      </c>
      <c r="B56" s="747"/>
      <c r="C56" s="784" t="s">
        <v>73</v>
      </c>
      <c r="D56" s="749">
        <f>D57+D63</f>
        <v>5761100</v>
      </c>
      <c r="E56" s="749">
        <f>E57+E63</f>
        <v>3699323.44</v>
      </c>
      <c r="F56" s="750">
        <f t="shared" si="4"/>
        <v>64.21210254986028</v>
      </c>
      <c r="G56" s="519"/>
    </row>
    <row r="57" spans="1:7" s="515" customFormat="1" ht="18.75" customHeight="1">
      <c r="A57" s="786"/>
      <c r="B57" s="752" t="s">
        <v>415</v>
      </c>
      <c r="C57" s="783" t="s">
        <v>416</v>
      </c>
      <c r="D57" s="754">
        <f>SUM(D58)</f>
        <v>481000</v>
      </c>
      <c r="E57" s="754">
        <f>SUM(E58)</f>
        <v>337300.65</v>
      </c>
      <c r="F57" s="755">
        <f t="shared" si="4"/>
        <v>70.12487525987527</v>
      </c>
      <c r="G57" s="519"/>
    </row>
    <row r="58" spans="1:7" s="763" customFormat="1" ht="18.75" customHeight="1">
      <c r="A58" s="757"/>
      <c r="B58" s="758"/>
      <c r="C58" s="759" t="s">
        <v>360</v>
      </c>
      <c r="D58" s="760">
        <f>SUM(D59,D62)</f>
        <v>481000</v>
      </c>
      <c r="E58" s="760">
        <f>SUM(E59,E62)</f>
        <v>337300.65</v>
      </c>
      <c r="F58" s="761">
        <f t="shared" si="4"/>
        <v>70.12487525987527</v>
      </c>
      <c r="G58" s="762"/>
    </row>
    <row r="59" spans="1:7" s="770" customFormat="1" ht="18" customHeight="1">
      <c r="A59" s="764"/>
      <c r="B59" s="765"/>
      <c r="C59" s="766" t="s">
        <v>466</v>
      </c>
      <c r="D59" s="767">
        <f>SUM(D60,D61)</f>
        <v>336700</v>
      </c>
      <c r="E59" s="767">
        <f>SUM(E60,E61)</f>
        <v>289649.99</v>
      </c>
      <c r="F59" s="768">
        <f t="shared" si="4"/>
        <v>86.02613305613306</v>
      </c>
      <c r="G59" s="769"/>
    </row>
    <row r="60" spans="1:7" s="776" customFormat="1" ht="18.75" customHeight="1">
      <c r="A60" s="771"/>
      <c r="B60" s="772"/>
      <c r="C60" s="773" t="s">
        <v>910</v>
      </c>
      <c r="D60" s="774">
        <v>20000</v>
      </c>
      <c r="E60" s="774">
        <v>12350</v>
      </c>
      <c r="F60" s="775">
        <f t="shared" si="4"/>
        <v>61.75000000000001</v>
      </c>
      <c r="G60" s="769"/>
    </row>
    <row r="61" spans="1:7" s="776" customFormat="1" ht="18.75" customHeight="1">
      <c r="A61" s="771"/>
      <c r="B61" s="772"/>
      <c r="C61" s="773" t="s">
        <v>467</v>
      </c>
      <c r="D61" s="774">
        <v>316700</v>
      </c>
      <c r="E61" s="774">
        <v>277299.99</v>
      </c>
      <c r="F61" s="775">
        <f t="shared" si="4"/>
        <v>87.55920113672244</v>
      </c>
      <c r="G61" s="769"/>
    </row>
    <row r="62" spans="1:7" s="770" customFormat="1" ht="18" customHeight="1">
      <c r="A62" s="764"/>
      <c r="B62" s="765"/>
      <c r="C62" s="766" t="s">
        <v>495</v>
      </c>
      <c r="D62" s="767">
        <v>144300</v>
      </c>
      <c r="E62" s="767">
        <v>47650.66</v>
      </c>
      <c r="F62" s="768">
        <f>E62/D62*100</f>
        <v>33.021940401940405</v>
      </c>
      <c r="G62" s="769"/>
    </row>
    <row r="63" spans="1:7" s="515" customFormat="1" ht="18.75" customHeight="1">
      <c r="A63" s="786"/>
      <c r="B63" s="752" t="s">
        <v>912</v>
      </c>
      <c r="C63" s="783" t="s">
        <v>913</v>
      </c>
      <c r="D63" s="754">
        <f>SUM(D64)</f>
        <v>5280100</v>
      </c>
      <c r="E63" s="754">
        <f>SUM(E64)</f>
        <v>3362022.79</v>
      </c>
      <c r="F63" s="755">
        <f aca="true" t="shared" si="5" ref="F63:F84">E63/D63*100</f>
        <v>63.67346811613417</v>
      </c>
      <c r="G63" s="519"/>
    </row>
    <row r="64" spans="1:7" s="763" customFormat="1" ht="18.75" customHeight="1">
      <c r="A64" s="757"/>
      <c r="B64" s="758"/>
      <c r="C64" s="759" t="s">
        <v>469</v>
      </c>
      <c r="D64" s="760">
        <f>SUM(D65)</f>
        <v>5280100</v>
      </c>
      <c r="E64" s="760">
        <f>SUM(E65)</f>
        <v>3362022.79</v>
      </c>
      <c r="F64" s="761">
        <f t="shared" si="5"/>
        <v>63.67346811613417</v>
      </c>
      <c r="G64" s="762"/>
    </row>
    <row r="65" spans="1:7" s="770" customFormat="1" ht="18" customHeight="1">
      <c r="A65" s="764"/>
      <c r="B65" s="765"/>
      <c r="C65" s="766" t="s">
        <v>471</v>
      </c>
      <c r="D65" s="767">
        <v>5280100</v>
      </c>
      <c r="E65" s="767">
        <v>3362022.79</v>
      </c>
      <c r="F65" s="768">
        <f>E65/D65*100</f>
        <v>63.67346811613417</v>
      </c>
      <c r="G65" s="769"/>
    </row>
    <row r="66" spans="1:7" s="518" customFormat="1" ht="18" customHeight="1">
      <c r="A66" s="787" t="s">
        <v>74</v>
      </c>
      <c r="B66" s="747"/>
      <c r="C66" s="784" t="s">
        <v>75</v>
      </c>
      <c r="D66" s="749">
        <f>D72+D79+D67</f>
        <v>5584256</v>
      </c>
      <c r="E66" s="749">
        <f>E72+E79+E67</f>
        <v>2654779.78</v>
      </c>
      <c r="F66" s="750">
        <f t="shared" si="5"/>
        <v>47.54043833234006</v>
      </c>
      <c r="G66" s="519"/>
    </row>
    <row r="67" spans="1:7" s="515" customFormat="1" ht="18.75" customHeight="1">
      <c r="A67" s="786"/>
      <c r="B67" s="752" t="s">
        <v>914</v>
      </c>
      <c r="C67" s="783" t="s">
        <v>917</v>
      </c>
      <c r="D67" s="754">
        <f>SUM(D68,D70)</f>
        <v>1222000</v>
      </c>
      <c r="E67" s="754">
        <f>SUM(E68,E70)</f>
        <v>731758.5</v>
      </c>
      <c r="F67" s="755">
        <f t="shared" si="5"/>
        <v>59.88203764320785</v>
      </c>
      <c r="G67" s="519"/>
    </row>
    <row r="68" spans="1:7" s="781" customFormat="1" ht="18.75" customHeight="1">
      <c r="A68" s="778"/>
      <c r="B68" s="779"/>
      <c r="C68" s="759" t="s">
        <v>360</v>
      </c>
      <c r="D68" s="760">
        <f>SUM(D69)</f>
        <v>400000</v>
      </c>
      <c r="E68" s="760">
        <f>SUM(E69)</f>
        <v>400000</v>
      </c>
      <c r="F68" s="761">
        <f t="shared" si="5"/>
        <v>100</v>
      </c>
      <c r="G68" s="780"/>
    </row>
    <row r="69" spans="1:7" s="770" customFormat="1" ht="18.75" customHeight="1">
      <c r="A69" s="764"/>
      <c r="B69" s="765"/>
      <c r="C69" s="766" t="s">
        <v>468</v>
      </c>
      <c r="D69" s="767">
        <v>400000</v>
      </c>
      <c r="E69" s="767">
        <v>400000</v>
      </c>
      <c r="F69" s="768">
        <f t="shared" si="5"/>
        <v>100</v>
      </c>
      <c r="G69" s="782"/>
    </row>
    <row r="70" spans="1:7" s="763" customFormat="1" ht="18.75" customHeight="1">
      <c r="A70" s="757"/>
      <c r="B70" s="758"/>
      <c r="C70" s="759" t="s">
        <v>469</v>
      </c>
      <c r="D70" s="760">
        <f>SUM(D71)</f>
        <v>822000</v>
      </c>
      <c r="E70" s="760">
        <f>SUM(E71)</f>
        <v>331758.5</v>
      </c>
      <c r="F70" s="761">
        <f>E70/D70*100</f>
        <v>40.35991484184915</v>
      </c>
      <c r="G70" s="762"/>
    </row>
    <row r="71" spans="1:7" s="770" customFormat="1" ht="18" customHeight="1">
      <c r="A71" s="764"/>
      <c r="B71" s="765"/>
      <c r="C71" s="766" t="s">
        <v>492</v>
      </c>
      <c r="D71" s="767">
        <v>822000</v>
      </c>
      <c r="E71" s="767">
        <v>331758.5</v>
      </c>
      <c r="F71" s="768">
        <f>E71/D71*100</f>
        <v>40.35991484184915</v>
      </c>
      <c r="G71" s="769"/>
    </row>
    <row r="72" spans="1:7" s="515" customFormat="1" ht="17.25" customHeight="1">
      <c r="A72" s="786"/>
      <c r="B72" s="752" t="s">
        <v>76</v>
      </c>
      <c r="C72" s="753" t="s">
        <v>77</v>
      </c>
      <c r="D72" s="754">
        <f>SUM(D73,D77)</f>
        <v>4312256</v>
      </c>
      <c r="E72" s="754">
        <f>SUM(E73,E77)</f>
        <v>1890996.2799999998</v>
      </c>
      <c r="F72" s="755">
        <f t="shared" si="5"/>
        <v>43.85167021623948</v>
      </c>
      <c r="G72" s="519"/>
    </row>
    <row r="73" spans="1:7" s="763" customFormat="1" ht="18.75" customHeight="1">
      <c r="A73" s="757"/>
      <c r="B73" s="758"/>
      <c r="C73" s="759" t="s">
        <v>360</v>
      </c>
      <c r="D73" s="760">
        <f>SUM(D74)</f>
        <v>1729256</v>
      </c>
      <c r="E73" s="760">
        <f>SUM(E74)</f>
        <v>862401.9099999999</v>
      </c>
      <c r="F73" s="761">
        <f t="shared" si="5"/>
        <v>49.87126891564927</v>
      </c>
      <c r="G73" s="762"/>
    </row>
    <row r="74" spans="1:7" s="770" customFormat="1" ht="18" customHeight="1">
      <c r="A74" s="764"/>
      <c r="B74" s="765"/>
      <c r="C74" s="766" t="s">
        <v>466</v>
      </c>
      <c r="D74" s="767">
        <f>SUM(D75,D76)</f>
        <v>1729256</v>
      </c>
      <c r="E74" s="767">
        <f>SUM(E75,E76)</f>
        <v>862401.9099999999</v>
      </c>
      <c r="F74" s="768">
        <f>E74/D74*100</f>
        <v>49.87126891564927</v>
      </c>
      <c r="G74" s="769"/>
    </row>
    <row r="75" spans="1:7" s="776" customFormat="1" ht="18.75" customHeight="1">
      <c r="A75" s="771"/>
      <c r="B75" s="772"/>
      <c r="C75" s="773" t="s">
        <v>910</v>
      </c>
      <c r="D75" s="774">
        <v>13726</v>
      </c>
      <c r="E75" s="774">
        <v>13716.71</v>
      </c>
      <c r="F75" s="775">
        <f>E75/D75*100</f>
        <v>99.9323182281801</v>
      </c>
      <c r="G75" s="769"/>
    </row>
    <row r="76" spans="1:7" s="776" customFormat="1" ht="18.75" customHeight="1">
      <c r="A76" s="771"/>
      <c r="B76" s="772"/>
      <c r="C76" s="773" t="s">
        <v>467</v>
      </c>
      <c r="D76" s="774">
        <v>1715530</v>
      </c>
      <c r="E76" s="774">
        <v>848685.2</v>
      </c>
      <c r="F76" s="775">
        <f>E76/D76*100</f>
        <v>49.470729162416276</v>
      </c>
      <c r="G76" s="769"/>
    </row>
    <row r="77" spans="1:7" s="763" customFormat="1" ht="18.75" customHeight="1">
      <c r="A77" s="757"/>
      <c r="B77" s="758"/>
      <c r="C77" s="759" t="s">
        <v>469</v>
      </c>
      <c r="D77" s="760">
        <f>SUM(D78)</f>
        <v>2583000</v>
      </c>
      <c r="E77" s="760">
        <f>SUM(E78)</f>
        <v>1028594.37</v>
      </c>
      <c r="F77" s="761">
        <f>E77/D77*100</f>
        <v>39.82169454123113</v>
      </c>
      <c r="G77" s="762"/>
    </row>
    <row r="78" spans="1:7" s="770" customFormat="1" ht="18" customHeight="1">
      <c r="A78" s="764"/>
      <c r="B78" s="765"/>
      <c r="C78" s="766" t="s">
        <v>470</v>
      </c>
      <c r="D78" s="767">
        <v>2583000</v>
      </c>
      <c r="E78" s="767">
        <v>1028594.37</v>
      </c>
      <c r="F78" s="768">
        <f>E78/D78*100</f>
        <v>39.82169454123113</v>
      </c>
      <c r="G78" s="769"/>
    </row>
    <row r="79" spans="1:7" s="515" customFormat="1" ht="18.75" customHeight="1">
      <c r="A79" s="786"/>
      <c r="B79" s="752" t="s">
        <v>918</v>
      </c>
      <c r="C79" s="783" t="s">
        <v>1433</v>
      </c>
      <c r="D79" s="754">
        <f>SUM(D80)</f>
        <v>50000</v>
      </c>
      <c r="E79" s="754">
        <f>SUM(E80)</f>
        <v>32025</v>
      </c>
      <c r="F79" s="755">
        <f t="shared" si="5"/>
        <v>64.05</v>
      </c>
      <c r="G79" s="519"/>
    </row>
    <row r="80" spans="1:7" s="763" customFormat="1" ht="18.75" customHeight="1">
      <c r="A80" s="757"/>
      <c r="B80" s="758"/>
      <c r="C80" s="759" t="s">
        <v>469</v>
      </c>
      <c r="D80" s="760">
        <f>SUM(D81)</f>
        <v>50000</v>
      </c>
      <c r="E80" s="760">
        <f>SUM(E81)</f>
        <v>32025</v>
      </c>
      <c r="F80" s="761">
        <f t="shared" si="5"/>
        <v>64.05</v>
      </c>
      <c r="G80" s="762"/>
    </row>
    <row r="81" spans="1:7" s="770" customFormat="1" ht="18" customHeight="1">
      <c r="A81" s="764"/>
      <c r="B81" s="765"/>
      <c r="C81" s="766" t="s">
        <v>471</v>
      </c>
      <c r="D81" s="767">
        <v>50000</v>
      </c>
      <c r="E81" s="767">
        <v>32025</v>
      </c>
      <c r="F81" s="768">
        <f>E81/D81*100</f>
        <v>64.05</v>
      </c>
      <c r="G81" s="769"/>
    </row>
    <row r="82" spans="1:7" s="518" customFormat="1" ht="18.75" customHeight="1">
      <c r="A82" s="787" t="s">
        <v>78</v>
      </c>
      <c r="B82" s="747"/>
      <c r="C82" s="748" t="s">
        <v>79</v>
      </c>
      <c r="D82" s="749">
        <f>SUM(D83,D88,D92)</f>
        <v>1539895</v>
      </c>
      <c r="E82" s="749">
        <f>SUM(E83,E88,E92)</f>
        <v>795545.76</v>
      </c>
      <c r="F82" s="750">
        <f>E82/D82*100</f>
        <v>51.66233801655308</v>
      </c>
      <c r="G82" s="519"/>
    </row>
    <row r="83" spans="1:7" s="515" customFormat="1" ht="18.75" customHeight="1">
      <c r="A83" s="786"/>
      <c r="B83" s="752" t="s">
        <v>919</v>
      </c>
      <c r="C83" s="753" t="s">
        <v>920</v>
      </c>
      <c r="D83" s="754">
        <f>SUM(D84)</f>
        <v>484350</v>
      </c>
      <c r="E83" s="754">
        <f>SUM(E84)</f>
        <v>105769.17</v>
      </c>
      <c r="F83" s="755">
        <f t="shared" si="5"/>
        <v>21.83734283059771</v>
      </c>
      <c r="G83" s="519"/>
    </row>
    <row r="84" spans="1:7" s="763" customFormat="1" ht="18.75" customHeight="1">
      <c r="A84" s="757"/>
      <c r="B84" s="758"/>
      <c r="C84" s="759" t="s">
        <v>360</v>
      </c>
      <c r="D84" s="760">
        <f>SUM(D85)</f>
        <v>484350</v>
      </c>
      <c r="E84" s="760">
        <f>SUM(E85)</f>
        <v>105769.17</v>
      </c>
      <c r="F84" s="761">
        <f t="shared" si="5"/>
        <v>21.83734283059771</v>
      </c>
      <c r="G84" s="762"/>
    </row>
    <row r="85" spans="1:7" s="770" customFormat="1" ht="18" customHeight="1">
      <c r="A85" s="764"/>
      <c r="B85" s="765"/>
      <c r="C85" s="766" t="s">
        <v>466</v>
      </c>
      <c r="D85" s="767">
        <f>SUM(D86,D87)</f>
        <v>484350</v>
      </c>
      <c r="E85" s="767">
        <f>SUM(E86,E87)</f>
        <v>105769.17</v>
      </c>
      <c r="F85" s="768">
        <f aca="true" t="shared" si="6" ref="F85:F117">E85/D85*100</f>
        <v>21.83734283059771</v>
      </c>
      <c r="G85" s="769"/>
    </row>
    <row r="86" spans="1:7" s="776" customFormat="1" ht="18.75" customHeight="1">
      <c r="A86" s="771"/>
      <c r="B86" s="772"/>
      <c r="C86" s="773" t="s">
        <v>910</v>
      </c>
      <c r="D86" s="774">
        <v>5000</v>
      </c>
      <c r="E86" s="774">
        <v>2071.4</v>
      </c>
      <c r="F86" s="775">
        <f t="shared" si="6"/>
        <v>41.428000000000004</v>
      </c>
      <c r="G86" s="769"/>
    </row>
    <row r="87" spans="1:7" s="776" customFormat="1" ht="18.75" customHeight="1">
      <c r="A87" s="771"/>
      <c r="B87" s="772"/>
      <c r="C87" s="773" t="s">
        <v>467</v>
      </c>
      <c r="D87" s="774">
        <v>479350</v>
      </c>
      <c r="E87" s="774">
        <v>103697.77</v>
      </c>
      <c r="F87" s="775">
        <f t="shared" si="6"/>
        <v>21.632996766454575</v>
      </c>
      <c r="G87" s="769"/>
    </row>
    <row r="88" spans="1:7" s="515" customFormat="1" ht="18.75" customHeight="1">
      <c r="A88" s="786"/>
      <c r="B88" s="752" t="s">
        <v>81</v>
      </c>
      <c r="C88" s="753" t="s">
        <v>82</v>
      </c>
      <c r="D88" s="754">
        <f aca="true" t="shared" si="7" ref="D88:E90">SUM(D89)</f>
        <v>135000</v>
      </c>
      <c r="E88" s="754">
        <f t="shared" si="7"/>
        <v>59226.59</v>
      </c>
      <c r="F88" s="755">
        <f t="shared" si="6"/>
        <v>43.87154814814814</v>
      </c>
      <c r="G88" s="519"/>
    </row>
    <row r="89" spans="1:7" s="763" customFormat="1" ht="18.75" customHeight="1">
      <c r="A89" s="757"/>
      <c r="B89" s="758"/>
      <c r="C89" s="759" t="s">
        <v>360</v>
      </c>
      <c r="D89" s="760">
        <f t="shared" si="7"/>
        <v>135000</v>
      </c>
      <c r="E89" s="760">
        <f t="shared" si="7"/>
        <v>59226.59</v>
      </c>
      <c r="F89" s="761">
        <f t="shared" si="6"/>
        <v>43.87154814814814</v>
      </c>
      <c r="G89" s="762"/>
    </row>
    <row r="90" spans="1:7" s="770" customFormat="1" ht="18" customHeight="1">
      <c r="A90" s="764"/>
      <c r="B90" s="765"/>
      <c r="C90" s="766" t="s">
        <v>466</v>
      </c>
      <c r="D90" s="767">
        <f t="shared" si="7"/>
        <v>135000</v>
      </c>
      <c r="E90" s="767">
        <f t="shared" si="7"/>
        <v>59226.59</v>
      </c>
      <c r="F90" s="768">
        <f t="shared" si="6"/>
        <v>43.87154814814814</v>
      </c>
      <c r="G90" s="769"/>
    </row>
    <row r="91" spans="1:7" s="776" customFormat="1" ht="18.75" customHeight="1">
      <c r="A91" s="771"/>
      <c r="B91" s="772"/>
      <c r="C91" s="773" t="s">
        <v>467</v>
      </c>
      <c r="D91" s="774">
        <v>135000</v>
      </c>
      <c r="E91" s="774">
        <v>59226.59</v>
      </c>
      <c r="F91" s="775">
        <f t="shared" si="6"/>
        <v>43.87154814814814</v>
      </c>
      <c r="G91" s="769"/>
    </row>
    <row r="92" spans="1:8" s="514" customFormat="1" ht="18.75" customHeight="1">
      <c r="A92" s="786"/>
      <c r="B92" s="752" t="s">
        <v>88</v>
      </c>
      <c r="C92" s="788" t="s">
        <v>89</v>
      </c>
      <c r="D92" s="754">
        <f>SUM(D93,D96)</f>
        <v>920545</v>
      </c>
      <c r="E92" s="754">
        <f>SUM(E93,E96)</f>
        <v>630550</v>
      </c>
      <c r="F92" s="755">
        <f t="shared" si="6"/>
        <v>68.49746617492897</v>
      </c>
      <c r="G92" s="519"/>
      <c r="H92" s="515"/>
    </row>
    <row r="93" spans="1:7" s="763" customFormat="1" ht="18.75" customHeight="1">
      <c r="A93" s="757"/>
      <c r="B93" s="758"/>
      <c r="C93" s="759" t="s">
        <v>360</v>
      </c>
      <c r="D93" s="760">
        <f>SUM(D94)</f>
        <v>358545</v>
      </c>
      <c r="E93" s="760">
        <f>SUM(E94)</f>
        <v>355353.55</v>
      </c>
      <c r="F93" s="761">
        <f t="shared" si="6"/>
        <v>99.10988857744495</v>
      </c>
      <c r="G93" s="762"/>
    </row>
    <row r="94" spans="1:7" s="770" customFormat="1" ht="18" customHeight="1">
      <c r="A94" s="764"/>
      <c r="B94" s="765"/>
      <c r="C94" s="766" t="s">
        <v>466</v>
      </c>
      <c r="D94" s="767">
        <f>SUM(D95)</f>
        <v>358545</v>
      </c>
      <c r="E94" s="767">
        <f>SUM(E95)</f>
        <v>355353.55</v>
      </c>
      <c r="F94" s="768">
        <f t="shared" si="6"/>
        <v>99.10988857744495</v>
      </c>
      <c r="G94" s="769"/>
    </row>
    <row r="95" spans="1:7" s="776" customFormat="1" ht="18.75" customHeight="1">
      <c r="A95" s="771"/>
      <c r="B95" s="772"/>
      <c r="C95" s="773" t="s">
        <v>467</v>
      </c>
      <c r="D95" s="774">
        <v>358545</v>
      </c>
      <c r="E95" s="774">
        <v>355353.55</v>
      </c>
      <c r="F95" s="775">
        <f t="shared" si="6"/>
        <v>99.10988857744495</v>
      </c>
      <c r="G95" s="769"/>
    </row>
    <row r="96" spans="1:7" s="763" customFormat="1" ht="18.75" customHeight="1">
      <c r="A96" s="757"/>
      <c r="B96" s="758"/>
      <c r="C96" s="759" t="s">
        <v>469</v>
      </c>
      <c r="D96" s="760">
        <f>SUM(D97)</f>
        <v>562000</v>
      </c>
      <c r="E96" s="760">
        <f>SUM(E97)</f>
        <v>275196.45</v>
      </c>
      <c r="F96" s="761">
        <f t="shared" si="6"/>
        <v>48.96733985765125</v>
      </c>
      <c r="G96" s="762"/>
    </row>
    <row r="97" spans="1:7" s="770" customFormat="1" ht="18" customHeight="1">
      <c r="A97" s="764"/>
      <c r="B97" s="765"/>
      <c r="C97" s="766" t="s">
        <v>471</v>
      </c>
      <c r="D97" s="767">
        <v>562000</v>
      </c>
      <c r="E97" s="767">
        <v>275196.45</v>
      </c>
      <c r="F97" s="768">
        <f t="shared" si="6"/>
        <v>48.96733985765125</v>
      </c>
      <c r="G97" s="769"/>
    </row>
    <row r="98" spans="1:7" s="518" customFormat="1" ht="18.75" customHeight="1">
      <c r="A98" s="787" t="s">
        <v>90</v>
      </c>
      <c r="B98" s="747"/>
      <c r="C98" s="784" t="s">
        <v>91</v>
      </c>
      <c r="D98" s="749">
        <f>SUM(D99,D104,D112,D120,D126,D131)</f>
        <v>15489940</v>
      </c>
      <c r="E98" s="749">
        <f>SUM(E99,E104,E112,E120,E126,E131)</f>
        <v>13870250.539999997</v>
      </c>
      <c r="F98" s="750">
        <f t="shared" si="6"/>
        <v>89.54360404236554</v>
      </c>
      <c r="G98" s="519"/>
    </row>
    <row r="99" spans="1:7" s="515" customFormat="1" ht="18.75" customHeight="1">
      <c r="A99" s="786"/>
      <c r="B99" s="752" t="s">
        <v>92</v>
      </c>
      <c r="C99" s="788" t="s">
        <v>98</v>
      </c>
      <c r="D99" s="754">
        <f>D100</f>
        <v>369700</v>
      </c>
      <c r="E99" s="754">
        <f>E100</f>
        <v>369699.7</v>
      </c>
      <c r="F99" s="755">
        <f t="shared" si="6"/>
        <v>99.99991885312416</v>
      </c>
      <c r="G99" s="519"/>
    </row>
    <row r="100" spans="1:7" s="763" customFormat="1" ht="18.75" customHeight="1">
      <c r="A100" s="757"/>
      <c r="B100" s="758"/>
      <c r="C100" s="759" t="s">
        <v>360</v>
      </c>
      <c r="D100" s="760">
        <f>SUM(D101)</f>
        <v>369700</v>
      </c>
      <c r="E100" s="760">
        <f>SUM(E101)</f>
        <v>369699.7</v>
      </c>
      <c r="F100" s="761">
        <f t="shared" si="6"/>
        <v>99.99991885312416</v>
      </c>
      <c r="G100" s="762"/>
    </row>
    <row r="101" spans="1:7" s="770" customFormat="1" ht="18" customHeight="1">
      <c r="A101" s="764"/>
      <c r="B101" s="765"/>
      <c r="C101" s="766" t="s">
        <v>466</v>
      </c>
      <c r="D101" s="767">
        <f>SUM(D102,D103)</f>
        <v>369700</v>
      </c>
      <c r="E101" s="767">
        <f>SUM(E102,E103)</f>
        <v>369699.7</v>
      </c>
      <c r="F101" s="768">
        <f t="shared" si="6"/>
        <v>99.99991885312416</v>
      </c>
      <c r="G101" s="769"/>
    </row>
    <row r="102" spans="1:7" s="776" customFormat="1" ht="18.75" customHeight="1">
      <c r="A102" s="771"/>
      <c r="B102" s="772"/>
      <c r="C102" s="773" t="s">
        <v>910</v>
      </c>
      <c r="D102" s="774">
        <v>363125</v>
      </c>
      <c r="E102" s="774">
        <v>363124.7</v>
      </c>
      <c r="F102" s="775">
        <f t="shared" si="6"/>
        <v>99.999917383821</v>
      </c>
      <c r="G102" s="769"/>
    </row>
    <row r="103" spans="1:7" s="776" customFormat="1" ht="18.75" customHeight="1">
      <c r="A103" s="771"/>
      <c r="B103" s="772"/>
      <c r="C103" s="773" t="s">
        <v>467</v>
      </c>
      <c r="D103" s="774">
        <v>6575</v>
      </c>
      <c r="E103" s="774">
        <v>6575</v>
      </c>
      <c r="F103" s="775">
        <f t="shared" si="6"/>
        <v>100</v>
      </c>
      <c r="G103" s="769"/>
    </row>
    <row r="104" spans="1:7" s="515" customFormat="1" ht="18.75" customHeight="1">
      <c r="A104" s="786"/>
      <c r="B104" s="752" t="s">
        <v>921</v>
      </c>
      <c r="C104" s="783" t="s">
        <v>922</v>
      </c>
      <c r="D104" s="754">
        <f>SUM(D105,D110)</f>
        <v>505000</v>
      </c>
      <c r="E104" s="754">
        <f>SUM(E105,E110)</f>
        <v>498384.4</v>
      </c>
      <c r="F104" s="755">
        <f t="shared" si="6"/>
        <v>98.68998019801981</v>
      </c>
      <c r="G104" s="519"/>
    </row>
    <row r="105" spans="1:7" s="763" customFormat="1" ht="18.75" customHeight="1">
      <c r="A105" s="757"/>
      <c r="B105" s="758"/>
      <c r="C105" s="759" t="s">
        <v>360</v>
      </c>
      <c r="D105" s="760">
        <f>SUM(D106,D109)</f>
        <v>501000</v>
      </c>
      <c r="E105" s="760">
        <f>SUM(E106,E109)</f>
        <v>494405.4</v>
      </c>
      <c r="F105" s="761">
        <f t="shared" si="6"/>
        <v>98.6837125748503</v>
      </c>
      <c r="G105" s="762"/>
    </row>
    <row r="106" spans="1:7" s="770" customFormat="1" ht="18" customHeight="1">
      <c r="A106" s="764"/>
      <c r="B106" s="765"/>
      <c r="C106" s="766" t="s">
        <v>466</v>
      </c>
      <c r="D106" s="767">
        <f>SUM(D107,D108)</f>
        <v>52700</v>
      </c>
      <c r="E106" s="767">
        <f>SUM(E107,E108)</f>
        <v>50233.69</v>
      </c>
      <c r="F106" s="768">
        <f t="shared" si="6"/>
        <v>95.32009487666035</v>
      </c>
      <c r="G106" s="769"/>
    </row>
    <row r="107" spans="1:7" s="776" customFormat="1" ht="18.75" customHeight="1">
      <c r="A107" s="771"/>
      <c r="B107" s="772"/>
      <c r="C107" s="773" t="s">
        <v>910</v>
      </c>
      <c r="D107" s="774">
        <v>1500</v>
      </c>
      <c r="E107" s="774">
        <v>1500</v>
      </c>
      <c r="F107" s="775">
        <f>E107/D107*100</f>
        <v>100</v>
      </c>
      <c r="G107" s="769"/>
    </row>
    <row r="108" spans="1:7" s="776" customFormat="1" ht="18.75" customHeight="1">
      <c r="A108" s="771"/>
      <c r="B108" s="772"/>
      <c r="C108" s="773" t="s">
        <v>467</v>
      </c>
      <c r="D108" s="774">
        <v>51200</v>
      </c>
      <c r="E108" s="774">
        <v>48733.69</v>
      </c>
      <c r="F108" s="775">
        <f t="shared" si="6"/>
        <v>95.18298828125</v>
      </c>
      <c r="G108" s="769"/>
    </row>
    <row r="109" spans="1:7" s="770" customFormat="1" ht="18.75" customHeight="1">
      <c r="A109" s="789"/>
      <c r="B109" s="765"/>
      <c r="C109" s="790" t="s">
        <v>487</v>
      </c>
      <c r="D109" s="767">
        <v>448300</v>
      </c>
      <c r="E109" s="767">
        <v>444171.71</v>
      </c>
      <c r="F109" s="768">
        <f t="shared" si="6"/>
        <v>99.07912335489628</v>
      </c>
      <c r="G109" s="769"/>
    </row>
    <row r="110" spans="1:7" s="763" customFormat="1" ht="18.75" customHeight="1">
      <c r="A110" s="757"/>
      <c r="B110" s="758"/>
      <c r="C110" s="759" t="s">
        <v>469</v>
      </c>
      <c r="D110" s="760">
        <f>SUM(D111)</f>
        <v>4000</v>
      </c>
      <c r="E110" s="760">
        <f>SUM(E111)</f>
        <v>3979</v>
      </c>
      <c r="F110" s="761">
        <f t="shared" si="6"/>
        <v>99.47500000000001</v>
      </c>
      <c r="G110" s="762"/>
    </row>
    <row r="111" spans="1:7" s="770" customFormat="1" ht="18" customHeight="1">
      <c r="A111" s="764"/>
      <c r="B111" s="765"/>
      <c r="C111" s="766" t="s">
        <v>470</v>
      </c>
      <c r="D111" s="767">
        <v>4000</v>
      </c>
      <c r="E111" s="767">
        <v>3979</v>
      </c>
      <c r="F111" s="768">
        <f t="shared" si="6"/>
        <v>99.47500000000001</v>
      </c>
      <c r="G111" s="769"/>
    </row>
    <row r="112" spans="1:7" s="515" customFormat="1" ht="18.75" customHeight="1">
      <c r="A112" s="786"/>
      <c r="B112" s="752" t="s">
        <v>101</v>
      </c>
      <c r="C112" s="783" t="s">
        <v>401</v>
      </c>
      <c r="D112" s="754">
        <f>SUM(D113,D118)</f>
        <v>11825078</v>
      </c>
      <c r="E112" s="754">
        <f>SUM(E113,E118)</f>
        <v>11131260.669999998</v>
      </c>
      <c r="F112" s="755">
        <f t="shared" si="6"/>
        <v>94.13266170421876</v>
      </c>
      <c r="G112" s="519"/>
    </row>
    <row r="113" spans="1:7" s="763" customFormat="1" ht="18.75" customHeight="1">
      <c r="A113" s="757"/>
      <c r="B113" s="758"/>
      <c r="C113" s="759" t="s">
        <v>360</v>
      </c>
      <c r="D113" s="760">
        <f>SUM(D114,D117)</f>
        <v>11797228</v>
      </c>
      <c r="E113" s="760">
        <f>SUM(E114,E117)</f>
        <v>11127380.669999998</v>
      </c>
      <c r="F113" s="761">
        <f t="shared" si="6"/>
        <v>94.32199386160883</v>
      </c>
      <c r="G113" s="762"/>
    </row>
    <row r="114" spans="1:7" s="770" customFormat="1" ht="18" customHeight="1">
      <c r="A114" s="764"/>
      <c r="B114" s="765"/>
      <c r="C114" s="766" t="s">
        <v>466</v>
      </c>
      <c r="D114" s="767">
        <f>SUM(D115,D116)</f>
        <v>11791228</v>
      </c>
      <c r="E114" s="767">
        <f>SUM(E115,E116)</f>
        <v>11122025.879999999</v>
      </c>
      <c r="F114" s="768">
        <f t="shared" si="6"/>
        <v>94.32457654113719</v>
      </c>
      <c r="G114" s="769"/>
    </row>
    <row r="115" spans="1:7" s="776" customFormat="1" ht="18.75" customHeight="1">
      <c r="A115" s="771"/>
      <c r="B115" s="772"/>
      <c r="C115" s="773" t="s">
        <v>910</v>
      </c>
      <c r="D115" s="774">
        <v>9519537</v>
      </c>
      <c r="E115" s="774">
        <v>9058518.69</v>
      </c>
      <c r="F115" s="775">
        <f t="shared" si="6"/>
        <v>95.15713516319123</v>
      </c>
      <c r="G115" s="769"/>
    </row>
    <row r="116" spans="1:7" s="776" customFormat="1" ht="18.75" customHeight="1">
      <c r="A116" s="771"/>
      <c r="B116" s="772"/>
      <c r="C116" s="773" t="s">
        <v>467</v>
      </c>
      <c r="D116" s="774">
        <v>2271691</v>
      </c>
      <c r="E116" s="774">
        <v>2063507.19</v>
      </c>
      <c r="F116" s="775">
        <f t="shared" si="6"/>
        <v>90.83573382119312</v>
      </c>
      <c r="G116" s="769"/>
    </row>
    <row r="117" spans="1:7" s="770" customFormat="1" ht="18.75" customHeight="1">
      <c r="A117" s="789"/>
      <c r="B117" s="765"/>
      <c r="C117" s="790" t="s">
        <v>487</v>
      </c>
      <c r="D117" s="767">
        <v>6000</v>
      </c>
      <c r="E117" s="767">
        <v>5354.79</v>
      </c>
      <c r="F117" s="768">
        <f t="shared" si="6"/>
        <v>89.2465</v>
      </c>
      <c r="G117" s="769"/>
    </row>
    <row r="118" spans="1:7" s="763" customFormat="1" ht="18.75" customHeight="1">
      <c r="A118" s="757"/>
      <c r="B118" s="758"/>
      <c r="C118" s="759" t="s">
        <v>469</v>
      </c>
      <c r="D118" s="760">
        <f>SUM(D119)</f>
        <v>27850</v>
      </c>
      <c r="E118" s="760">
        <f>SUM(E119)</f>
        <v>3880</v>
      </c>
      <c r="F118" s="761">
        <f aca="true" t="shared" si="8" ref="F118:F164">E118/D118*100</f>
        <v>13.931777378815081</v>
      </c>
      <c r="G118" s="762"/>
    </row>
    <row r="119" spans="1:7" s="770" customFormat="1" ht="18" customHeight="1">
      <c r="A119" s="764"/>
      <c r="B119" s="765"/>
      <c r="C119" s="766" t="s">
        <v>470</v>
      </c>
      <c r="D119" s="767">
        <v>27850</v>
      </c>
      <c r="E119" s="767">
        <v>3880</v>
      </c>
      <c r="F119" s="768">
        <f t="shared" si="8"/>
        <v>13.931777378815081</v>
      </c>
      <c r="G119" s="769"/>
    </row>
    <row r="120" spans="1:7" s="515" customFormat="1" ht="18.75" customHeight="1">
      <c r="A120" s="786"/>
      <c r="B120" s="752" t="s">
        <v>58</v>
      </c>
      <c r="C120" s="783" t="s">
        <v>59</v>
      </c>
      <c r="D120" s="754">
        <f>SUM(D121)</f>
        <v>8947</v>
      </c>
      <c r="E120" s="754">
        <f>SUM(E121)</f>
        <v>8935.01</v>
      </c>
      <c r="F120" s="755">
        <f t="shared" si="8"/>
        <v>99.86598859953058</v>
      </c>
      <c r="G120" s="519"/>
    </row>
    <row r="121" spans="1:7" s="763" customFormat="1" ht="18.75" customHeight="1">
      <c r="A121" s="757"/>
      <c r="B121" s="758"/>
      <c r="C121" s="759" t="s">
        <v>360</v>
      </c>
      <c r="D121" s="760">
        <f>SUM(D122,D125)</f>
        <v>8947</v>
      </c>
      <c r="E121" s="760">
        <f>SUM(E122,E125)</f>
        <v>8935.01</v>
      </c>
      <c r="F121" s="761">
        <f t="shared" si="8"/>
        <v>99.86598859953058</v>
      </c>
      <c r="G121" s="762"/>
    </row>
    <row r="122" spans="1:7" s="770" customFormat="1" ht="18" customHeight="1">
      <c r="A122" s="764"/>
      <c r="B122" s="765"/>
      <c r="C122" s="766" t="s">
        <v>466</v>
      </c>
      <c r="D122" s="767">
        <f>SUM(D123,D124)</f>
        <v>7262</v>
      </c>
      <c r="E122" s="767">
        <f>SUM(E123,E124)</f>
        <v>7250.01</v>
      </c>
      <c r="F122" s="768">
        <f t="shared" si="8"/>
        <v>99.8348939686037</v>
      </c>
      <c r="G122" s="769"/>
    </row>
    <row r="123" spans="1:7" s="776" customFormat="1" ht="18.75" customHeight="1">
      <c r="A123" s="771"/>
      <c r="B123" s="772"/>
      <c r="C123" s="773" t="s">
        <v>910</v>
      </c>
      <c r="D123" s="774">
        <v>6804</v>
      </c>
      <c r="E123" s="774">
        <v>6792.01</v>
      </c>
      <c r="F123" s="775">
        <f t="shared" si="8"/>
        <v>99.82378012933569</v>
      </c>
      <c r="G123" s="769"/>
    </row>
    <row r="124" spans="1:7" s="776" customFormat="1" ht="18.75" customHeight="1">
      <c r="A124" s="771"/>
      <c r="B124" s="772"/>
      <c r="C124" s="773" t="s">
        <v>467</v>
      </c>
      <c r="D124" s="774">
        <v>458</v>
      </c>
      <c r="E124" s="774">
        <v>458</v>
      </c>
      <c r="F124" s="775">
        <f t="shared" si="8"/>
        <v>100</v>
      </c>
      <c r="G124" s="769"/>
    </row>
    <row r="125" spans="1:7" s="770" customFormat="1" ht="18.75" customHeight="1">
      <c r="A125" s="789"/>
      <c r="B125" s="765"/>
      <c r="C125" s="790" t="s">
        <v>487</v>
      </c>
      <c r="D125" s="767">
        <v>1685</v>
      </c>
      <c r="E125" s="767">
        <v>1685</v>
      </c>
      <c r="F125" s="768">
        <f t="shared" si="8"/>
        <v>100</v>
      </c>
      <c r="G125" s="769"/>
    </row>
    <row r="126" spans="1:8" s="791" customFormat="1" ht="18.75" customHeight="1">
      <c r="A126" s="786"/>
      <c r="B126" s="752" t="s">
        <v>1241</v>
      </c>
      <c r="C126" s="783" t="s">
        <v>1242</v>
      </c>
      <c r="D126" s="754">
        <f>SUM(D127)</f>
        <v>746000</v>
      </c>
      <c r="E126" s="754">
        <f>SUM(E127)</f>
        <v>660992.54</v>
      </c>
      <c r="F126" s="755">
        <f t="shared" si="8"/>
        <v>88.6048981233244</v>
      </c>
      <c r="G126" s="769"/>
      <c r="H126" s="770"/>
    </row>
    <row r="127" spans="1:7" s="763" customFormat="1" ht="18.75" customHeight="1">
      <c r="A127" s="757"/>
      <c r="B127" s="758"/>
      <c r="C127" s="759" t="s">
        <v>360</v>
      </c>
      <c r="D127" s="760">
        <f>SUM(D128)</f>
        <v>746000</v>
      </c>
      <c r="E127" s="760">
        <f>SUM(E128)</f>
        <v>660992.54</v>
      </c>
      <c r="F127" s="761">
        <f t="shared" si="8"/>
        <v>88.6048981233244</v>
      </c>
      <c r="G127" s="762"/>
    </row>
    <row r="128" spans="1:7" s="770" customFormat="1" ht="18" customHeight="1">
      <c r="A128" s="764"/>
      <c r="B128" s="765"/>
      <c r="C128" s="766" t="s">
        <v>466</v>
      </c>
      <c r="D128" s="767">
        <f>SUM(D129,D130)</f>
        <v>746000</v>
      </c>
      <c r="E128" s="767">
        <f>SUM(E129,E130)</f>
        <v>660992.54</v>
      </c>
      <c r="F128" s="768">
        <f t="shared" si="8"/>
        <v>88.6048981233244</v>
      </c>
      <c r="G128" s="769"/>
    </row>
    <row r="129" spans="1:7" s="776" customFormat="1" ht="18.75" customHeight="1">
      <c r="A129" s="771"/>
      <c r="B129" s="772"/>
      <c r="C129" s="773" t="s">
        <v>910</v>
      </c>
      <c r="D129" s="774">
        <v>26500</v>
      </c>
      <c r="E129" s="774">
        <v>9557</v>
      </c>
      <c r="F129" s="775">
        <f t="shared" si="8"/>
        <v>36.06415094339623</v>
      </c>
      <c r="G129" s="769"/>
    </row>
    <row r="130" spans="1:7" s="776" customFormat="1" ht="18.75" customHeight="1">
      <c r="A130" s="771"/>
      <c r="B130" s="772"/>
      <c r="C130" s="773" t="s">
        <v>467</v>
      </c>
      <c r="D130" s="774">
        <v>719500</v>
      </c>
      <c r="E130" s="774">
        <v>651435.54</v>
      </c>
      <c r="F130" s="775">
        <f t="shared" si="8"/>
        <v>90.54003335649757</v>
      </c>
      <c r="G130" s="769"/>
    </row>
    <row r="131" spans="1:8" s="791" customFormat="1" ht="18.75" customHeight="1">
      <c r="A131" s="786"/>
      <c r="B131" s="752" t="s">
        <v>103</v>
      </c>
      <c r="C131" s="783" t="s">
        <v>1433</v>
      </c>
      <c r="D131" s="754">
        <f>SUM(D132,D140)</f>
        <v>2035215</v>
      </c>
      <c r="E131" s="754">
        <f>SUM(E132,E140)</f>
        <v>1200978.22</v>
      </c>
      <c r="F131" s="755">
        <f t="shared" si="8"/>
        <v>59.00989428635304</v>
      </c>
      <c r="G131" s="769"/>
      <c r="H131" s="770"/>
    </row>
    <row r="132" spans="1:7" s="763" customFormat="1" ht="18.75" customHeight="1">
      <c r="A132" s="757"/>
      <c r="B132" s="758"/>
      <c r="C132" s="759" t="s">
        <v>360</v>
      </c>
      <c r="D132" s="760">
        <f>SUM(D133,D136,D138,D139)</f>
        <v>1270215</v>
      </c>
      <c r="E132" s="760">
        <f>SUM(E133,E136,E138,E139)</f>
        <v>770733.56</v>
      </c>
      <c r="F132" s="761">
        <f t="shared" si="8"/>
        <v>60.67740972984888</v>
      </c>
      <c r="G132" s="762"/>
    </row>
    <row r="133" spans="1:7" s="770" customFormat="1" ht="18" customHeight="1">
      <c r="A133" s="764"/>
      <c r="B133" s="765"/>
      <c r="C133" s="766" t="s">
        <v>466</v>
      </c>
      <c r="D133" s="767">
        <f>SUM(D134,D135)</f>
        <v>343964</v>
      </c>
      <c r="E133" s="767">
        <f>SUM(E134,E135)</f>
        <v>285325.37</v>
      </c>
      <c r="F133" s="768">
        <f t="shared" si="8"/>
        <v>82.95210254561523</v>
      </c>
      <c r="G133" s="769"/>
    </row>
    <row r="134" spans="1:7" s="776" customFormat="1" ht="18.75" customHeight="1">
      <c r="A134" s="771"/>
      <c r="B134" s="772"/>
      <c r="C134" s="773" t="s">
        <v>910</v>
      </c>
      <c r="D134" s="774">
        <v>3500</v>
      </c>
      <c r="E134" s="774">
        <v>628</v>
      </c>
      <c r="F134" s="775">
        <f t="shared" si="8"/>
        <v>17.942857142857143</v>
      </c>
      <c r="G134" s="769"/>
    </row>
    <row r="135" spans="1:7" s="776" customFormat="1" ht="18.75" customHeight="1">
      <c r="A135" s="771"/>
      <c r="B135" s="772"/>
      <c r="C135" s="773" t="s">
        <v>467</v>
      </c>
      <c r="D135" s="774">
        <v>340464</v>
      </c>
      <c r="E135" s="774">
        <v>284697.37</v>
      </c>
      <c r="F135" s="775">
        <f t="shared" si="8"/>
        <v>83.62040333192348</v>
      </c>
      <c r="G135" s="769"/>
    </row>
    <row r="136" spans="1:7" s="776" customFormat="1" ht="18.75" customHeight="1">
      <c r="A136" s="771"/>
      <c r="B136" s="772"/>
      <c r="C136" s="766" t="s">
        <v>494</v>
      </c>
      <c r="D136" s="767">
        <f>SUM(D137)</f>
        <v>9280</v>
      </c>
      <c r="E136" s="767">
        <f>SUM(E137)</f>
        <v>8712.57</v>
      </c>
      <c r="F136" s="768">
        <f t="shared" si="8"/>
        <v>93.8854525862069</v>
      </c>
      <c r="G136" s="769"/>
    </row>
    <row r="137" spans="1:7" s="776" customFormat="1" ht="18.75" customHeight="1">
      <c r="A137" s="771"/>
      <c r="B137" s="772"/>
      <c r="C137" s="773" t="s">
        <v>226</v>
      </c>
      <c r="D137" s="774">
        <v>9280</v>
      </c>
      <c r="E137" s="774">
        <v>8712.57</v>
      </c>
      <c r="F137" s="775">
        <f>E137/D137*100</f>
        <v>93.8854525862069</v>
      </c>
      <c r="G137" s="769"/>
    </row>
    <row r="138" spans="1:7" s="770" customFormat="1" ht="18.75" customHeight="1" hidden="1">
      <c r="A138" s="764"/>
      <c r="B138" s="765"/>
      <c r="C138" s="766" t="s">
        <v>468</v>
      </c>
      <c r="D138" s="767"/>
      <c r="E138" s="767"/>
      <c r="F138" s="768" t="e">
        <f t="shared" si="8"/>
        <v>#DIV/0!</v>
      </c>
      <c r="G138" s="782"/>
    </row>
    <row r="139" spans="1:7" s="770" customFormat="1" ht="18.75" customHeight="1">
      <c r="A139" s="764"/>
      <c r="B139" s="765"/>
      <c r="C139" s="766" t="s">
        <v>495</v>
      </c>
      <c r="D139" s="767">
        <v>916971</v>
      </c>
      <c r="E139" s="767">
        <v>476695.62</v>
      </c>
      <c r="F139" s="768">
        <f>E139/D139*100</f>
        <v>51.985899226911215</v>
      </c>
      <c r="G139" s="782"/>
    </row>
    <row r="140" spans="1:7" s="763" customFormat="1" ht="18.75" customHeight="1">
      <c r="A140" s="757"/>
      <c r="B140" s="758"/>
      <c r="C140" s="759" t="s">
        <v>469</v>
      </c>
      <c r="D140" s="760">
        <f>SUM(D141)</f>
        <v>765000</v>
      </c>
      <c r="E140" s="760">
        <f>SUM(E141)</f>
        <v>430244.66</v>
      </c>
      <c r="F140" s="761">
        <f t="shared" si="8"/>
        <v>56.241132026143795</v>
      </c>
      <c r="G140" s="762"/>
    </row>
    <row r="141" spans="1:7" s="770" customFormat="1" ht="18" customHeight="1">
      <c r="A141" s="764"/>
      <c r="B141" s="765"/>
      <c r="C141" s="766" t="s">
        <v>471</v>
      </c>
      <c r="D141" s="767">
        <v>765000</v>
      </c>
      <c r="E141" s="767">
        <v>430244.66</v>
      </c>
      <c r="F141" s="768">
        <f t="shared" si="8"/>
        <v>56.241132026143795</v>
      </c>
      <c r="G141" s="769"/>
    </row>
    <row r="142" spans="1:8" s="791" customFormat="1" ht="51.75" customHeight="1">
      <c r="A142" s="792" t="s">
        <v>333</v>
      </c>
      <c r="B142" s="747"/>
      <c r="C142" s="748" t="s">
        <v>104</v>
      </c>
      <c r="D142" s="793">
        <f>SUM(D143,D147,D153)</f>
        <v>214078</v>
      </c>
      <c r="E142" s="793">
        <f>SUM(E143,E147,E153)</f>
        <v>167192.83000000002</v>
      </c>
      <c r="F142" s="750">
        <f t="shared" si="8"/>
        <v>78.09902465456517</v>
      </c>
      <c r="G142" s="769"/>
      <c r="H142" s="770"/>
    </row>
    <row r="143" spans="1:8" s="791" customFormat="1" ht="26.25" customHeight="1">
      <c r="A143" s="786"/>
      <c r="B143" s="575" t="s">
        <v>275</v>
      </c>
      <c r="C143" s="753" t="s">
        <v>923</v>
      </c>
      <c r="D143" s="794">
        <f>D144</f>
        <v>6960</v>
      </c>
      <c r="E143" s="754">
        <f>E144</f>
        <v>6957.97</v>
      </c>
      <c r="F143" s="755">
        <f t="shared" si="8"/>
        <v>99.97083333333335</v>
      </c>
      <c r="G143" s="769"/>
      <c r="H143" s="770"/>
    </row>
    <row r="144" spans="1:7" s="763" customFormat="1" ht="18.75" customHeight="1">
      <c r="A144" s="757"/>
      <c r="B144" s="758"/>
      <c r="C144" s="759" t="s">
        <v>360</v>
      </c>
      <c r="D144" s="760">
        <f>SUM(D145)</f>
        <v>6960</v>
      </c>
      <c r="E144" s="760">
        <f>SUM(E145)</f>
        <v>6957.97</v>
      </c>
      <c r="F144" s="761">
        <f t="shared" si="8"/>
        <v>99.97083333333335</v>
      </c>
      <c r="G144" s="762"/>
    </row>
    <row r="145" spans="1:7" s="770" customFormat="1" ht="18" customHeight="1">
      <c r="A145" s="764"/>
      <c r="B145" s="765"/>
      <c r="C145" s="766" t="s">
        <v>466</v>
      </c>
      <c r="D145" s="767">
        <f>SUM(D146)</f>
        <v>6960</v>
      </c>
      <c r="E145" s="767">
        <f>SUM(E146)</f>
        <v>6957.97</v>
      </c>
      <c r="F145" s="768">
        <f t="shared" si="8"/>
        <v>99.97083333333335</v>
      </c>
      <c r="G145" s="769"/>
    </row>
    <row r="146" spans="1:7" s="776" customFormat="1" ht="18.75" customHeight="1">
      <c r="A146" s="771"/>
      <c r="B146" s="772"/>
      <c r="C146" s="773" t="s">
        <v>910</v>
      </c>
      <c r="D146" s="774">
        <v>6960</v>
      </c>
      <c r="E146" s="774">
        <v>6957.97</v>
      </c>
      <c r="F146" s="775">
        <f t="shared" si="8"/>
        <v>99.97083333333335</v>
      </c>
      <c r="G146" s="769"/>
    </row>
    <row r="147" spans="1:8" s="791" customFormat="1" ht="16.5" customHeight="1">
      <c r="A147" s="786"/>
      <c r="B147" s="575" t="s">
        <v>634</v>
      </c>
      <c r="C147" s="753" t="s">
        <v>488</v>
      </c>
      <c r="D147" s="794">
        <f>D148</f>
        <v>92515</v>
      </c>
      <c r="E147" s="754">
        <f>E148</f>
        <v>91566.69</v>
      </c>
      <c r="F147" s="755">
        <f t="shared" si="8"/>
        <v>98.97496622169378</v>
      </c>
      <c r="G147" s="769"/>
      <c r="H147" s="770"/>
    </row>
    <row r="148" spans="1:7" s="763" customFormat="1" ht="18.75" customHeight="1">
      <c r="A148" s="757"/>
      <c r="B148" s="758"/>
      <c r="C148" s="759" t="s">
        <v>360</v>
      </c>
      <c r="D148" s="760">
        <f>SUM(D149,D152)</f>
        <v>92515</v>
      </c>
      <c r="E148" s="760">
        <f>SUM(E149,E152)</f>
        <v>91566.69</v>
      </c>
      <c r="F148" s="761">
        <f t="shared" si="8"/>
        <v>98.97496622169378</v>
      </c>
      <c r="G148" s="762"/>
    </row>
    <row r="149" spans="1:7" s="770" customFormat="1" ht="18" customHeight="1">
      <c r="A149" s="764"/>
      <c r="B149" s="765"/>
      <c r="C149" s="766" t="s">
        <v>466</v>
      </c>
      <c r="D149" s="767">
        <f>SUM(D150,D151)</f>
        <v>43015</v>
      </c>
      <c r="E149" s="767">
        <f>SUM(E150,E151)</f>
        <v>43011.689999999995</v>
      </c>
      <c r="F149" s="768">
        <f t="shared" si="8"/>
        <v>99.99230500988027</v>
      </c>
      <c r="G149" s="769"/>
    </row>
    <row r="150" spans="1:7" s="776" customFormat="1" ht="18.75" customHeight="1">
      <c r="A150" s="771"/>
      <c r="B150" s="772"/>
      <c r="C150" s="773" t="s">
        <v>910</v>
      </c>
      <c r="D150" s="774">
        <v>35337</v>
      </c>
      <c r="E150" s="774">
        <v>35336.06</v>
      </c>
      <c r="F150" s="775">
        <f t="shared" si="8"/>
        <v>99.99733989868975</v>
      </c>
      <c r="G150" s="769"/>
    </row>
    <row r="151" spans="1:7" s="776" customFormat="1" ht="18.75" customHeight="1">
      <c r="A151" s="771"/>
      <c r="B151" s="772"/>
      <c r="C151" s="773" t="s">
        <v>467</v>
      </c>
      <c r="D151" s="774">
        <v>7678</v>
      </c>
      <c r="E151" s="774">
        <v>7675.63</v>
      </c>
      <c r="F151" s="775">
        <f t="shared" si="8"/>
        <v>99.9691325866111</v>
      </c>
      <c r="G151" s="769"/>
    </row>
    <row r="152" spans="1:7" s="770" customFormat="1" ht="18.75" customHeight="1">
      <c r="A152" s="789"/>
      <c r="B152" s="765"/>
      <c r="C152" s="790" t="s">
        <v>487</v>
      </c>
      <c r="D152" s="767">
        <v>49500</v>
      </c>
      <c r="E152" s="767">
        <v>48555</v>
      </c>
      <c r="F152" s="768">
        <f t="shared" si="8"/>
        <v>98.0909090909091</v>
      </c>
      <c r="G152" s="769"/>
    </row>
    <row r="153" spans="1:8" s="791" customFormat="1" ht="54" customHeight="1">
      <c r="A153" s="786"/>
      <c r="B153" s="575" t="s">
        <v>60</v>
      </c>
      <c r="C153" s="753" t="s">
        <v>61</v>
      </c>
      <c r="D153" s="794">
        <f>D154</f>
        <v>114603</v>
      </c>
      <c r="E153" s="754">
        <f>E154</f>
        <v>68668.17</v>
      </c>
      <c r="F153" s="755">
        <f aca="true" t="shared" si="9" ref="F153:F158">E153/D153*100</f>
        <v>59.918300568047954</v>
      </c>
      <c r="G153" s="769"/>
      <c r="H153" s="770"/>
    </row>
    <row r="154" spans="1:7" s="763" customFormat="1" ht="18.75" customHeight="1">
      <c r="A154" s="757"/>
      <c r="B154" s="758"/>
      <c r="C154" s="759" t="s">
        <v>360</v>
      </c>
      <c r="D154" s="760">
        <f>SUM(D155,D158)</f>
        <v>114603</v>
      </c>
      <c r="E154" s="760">
        <f>SUM(E155,E158)</f>
        <v>68668.17</v>
      </c>
      <c r="F154" s="761">
        <f t="shared" si="9"/>
        <v>59.918300568047954</v>
      </c>
      <c r="G154" s="762"/>
    </row>
    <row r="155" spans="1:7" s="770" customFormat="1" ht="18" customHeight="1">
      <c r="A155" s="764"/>
      <c r="B155" s="765"/>
      <c r="C155" s="766" t="s">
        <v>466</v>
      </c>
      <c r="D155" s="767">
        <f>SUM(D156,D157)</f>
        <v>49483</v>
      </c>
      <c r="E155" s="767">
        <f>SUM(E156,E157)</f>
        <v>37453.17</v>
      </c>
      <c r="F155" s="768">
        <f t="shared" si="9"/>
        <v>75.68896388658732</v>
      </c>
      <c r="G155" s="769"/>
    </row>
    <row r="156" spans="1:7" s="776" customFormat="1" ht="18.75" customHeight="1">
      <c r="A156" s="771"/>
      <c r="B156" s="772"/>
      <c r="C156" s="773" t="s">
        <v>910</v>
      </c>
      <c r="D156" s="774">
        <v>30813</v>
      </c>
      <c r="E156" s="774">
        <v>27534.46</v>
      </c>
      <c r="F156" s="775">
        <f t="shared" si="9"/>
        <v>89.35988056988933</v>
      </c>
      <c r="G156" s="769"/>
    </row>
    <row r="157" spans="1:7" s="776" customFormat="1" ht="18.75" customHeight="1">
      <c r="A157" s="771"/>
      <c r="B157" s="772"/>
      <c r="C157" s="773" t="s">
        <v>467</v>
      </c>
      <c r="D157" s="774">
        <v>18670</v>
      </c>
      <c r="E157" s="774">
        <v>9918.71</v>
      </c>
      <c r="F157" s="775">
        <f t="shared" si="9"/>
        <v>53.12645956079272</v>
      </c>
      <c r="G157" s="769"/>
    </row>
    <row r="158" spans="1:7" s="770" customFormat="1" ht="18.75" customHeight="1">
      <c r="A158" s="789"/>
      <c r="B158" s="765"/>
      <c r="C158" s="790" t="s">
        <v>487</v>
      </c>
      <c r="D158" s="767">
        <v>65120</v>
      </c>
      <c r="E158" s="767">
        <v>31215</v>
      </c>
      <c r="F158" s="768">
        <f t="shared" si="9"/>
        <v>47.93458230958231</v>
      </c>
      <c r="G158" s="769"/>
    </row>
    <row r="159" spans="1:8" s="791" customFormat="1" ht="27.75" customHeight="1">
      <c r="A159" s="792" t="s">
        <v>105</v>
      </c>
      <c r="B159" s="747"/>
      <c r="C159" s="748" t="s">
        <v>432</v>
      </c>
      <c r="D159" s="749">
        <f>SUM(D160,D169,D173,D179)</f>
        <v>711485</v>
      </c>
      <c r="E159" s="749">
        <f>SUM(E160,E169,E173,E179)</f>
        <v>609916.4600000001</v>
      </c>
      <c r="F159" s="750">
        <f t="shared" si="8"/>
        <v>85.72442988959712</v>
      </c>
      <c r="G159" s="769"/>
      <c r="H159" s="770"/>
    </row>
    <row r="160" spans="1:8" s="791" customFormat="1" ht="18.75" customHeight="1">
      <c r="A160" s="786"/>
      <c r="B160" s="752" t="s">
        <v>926</v>
      </c>
      <c r="C160" s="783" t="s">
        <v>927</v>
      </c>
      <c r="D160" s="754">
        <f>SUM(D161,D167)</f>
        <v>149923</v>
      </c>
      <c r="E160" s="754">
        <f>SUM(E161,E167)</f>
        <v>141100.32</v>
      </c>
      <c r="F160" s="755">
        <f t="shared" si="8"/>
        <v>94.11519246546561</v>
      </c>
      <c r="G160" s="769"/>
      <c r="H160" s="770"/>
    </row>
    <row r="161" spans="1:7" s="763" customFormat="1" ht="18.75" customHeight="1">
      <c r="A161" s="757"/>
      <c r="B161" s="758"/>
      <c r="C161" s="759" t="s">
        <v>360</v>
      </c>
      <c r="D161" s="760">
        <f>SUM(D162,D165,D166)</f>
        <v>138334</v>
      </c>
      <c r="E161" s="760">
        <f>SUM(E162,E165,E166)</f>
        <v>129512.22000000002</v>
      </c>
      <c r="F161" s="761">
        <f t="shared" si="8"/>
        <v>93.62284037185364</v>
      </c>
      <c r="G161" s="762"/>
    </row>
    <row r="162" spans="1:7" s="770" customFormat="1" ht="18" customHeight="1">
      <c r="A162" s="764"/>
      <c r="B162" s="765"/>
      <c r="C162" s="766" t="s">
        <v>466</v>
      </c>
      <c r="D162" s="767">
        <f>SUM(D163,D164)</f>
        <v>84888</v>
      </c>
      <c r="E162" s="767">
        <f>SUM(E163,E164)</f>
        <v>77224.17000000001</v>
      </c>
      <c r="F162" s="768">
        <f t="shared" si="8"/>
        <v>90.97183347469608</v>
      </c>
      <c r="G162" s="769"/>
    </row>
    <row r="163" spans="1:7" s="776" customFormat="1" ht="18.75" customHeight="1">
      <c r="A163" s="771"/>
      <c r="B163" s="772"/>
      <c r="C163" s="773" t="s">
        <v>910</v>
      </c>
      <c r="D163" s="774">
        <v>45800</v>
      </c>
      <c r="E163" s="774">
        <v>43518.37</v>
      </c>
      <c r="F163" s="775">
        <f t="shared" si="8"/>
        <v>95.01827510917032</v>
      </c>
      <c r="G163" s="769"/>
    </row>
    <row r="164" spans="1:7" s="776" customFormat="1" ht="18.75" customHeight="1">
      <c r="A164" s="771"/>
      <c r="B164" s="772"/>
      <c r="C164" s="773" t="s">
        <v>467</v>
      </c>
      <c r="D164" s="774">
        <v>39088</v>
      </c>
      <c r="E164" s="774">
        <v>33705.8</v>
      </c>
      <c r="F164" s="775">
        <f t="shared" si="8"/>
        <v>86.2305566925911</v>
      </c>
      <c r="G164" s="769"/>
    </row>
    <row r="165" spans="1:7" s="770" customFormat="1" ht="18.75" customHeight="1">
      <c r="A165" s="789"/>
      <c r="B165" s="765"/>
      <c r="C165" s="790" t="s">
        <v>487</v>
      </c>
      <c r="D165" s="767">
        <v>46370</v>
      </c>
      <c r="E165" s="767">
        <v>45212.05</v>
      </c>
      <c r="F165" s="768">
        <f aca="true" t="shared" si="10" ref="F165:F197">E165/D165*100</f>
        <v>97.50280353676946</v>
      </c>
      <c r="G165" s="769"/>
    </row>
    <row r="166" spans="1:7" s="770" customFormat="1" ht="18.75" customHeight="1">
      <c r="A166" s="764"/>
      <c r="B166" s="765"/>
      <c r="C166" s="766" t="s">
        <v>495</v>
      </c>
      <c r="D166" s="767">
        <v>7076</v>
      </c>
      <c r="E166" s="767">
        <v>7076</v>
      </c>
      <c r="F166" s="768">
        <f>E166/D166*100</f>
        <v>100</v>
      </c>
      <c r="G166" s="782"/>
    </row>
    <row r="167" spans="1:7" s="763" customFormat="1" ht="18.75" customHeight="1">
      <c r="A167" s="757"/>
      <c r="B167" s="758"/>
      <c r="C167" s="759" t="s">
        <v>469</v>
      </c>
      <c r="D167" s="760">
        <f>SUM(D168)</f>
        <v>11589</v>
      </c>
      <c r="E167" s="760">
        <f>SUM(E168)</f>
        <v>11588.1</v>
      </c>
      <c r="F167" s="761">
        <f t="shared" si="10"/>
        <v>99.99223401501423</v>
      </c>
      <c r="G167" s="762"/>
    </row>
    <row r="168" spans="1:7" s="770" customFormat="1" ht="18" customHeight="1">
      <c r="A168" s="764"/>
      <c r="B168" s="765"/>
      <c r="C168" s="766" t="s">
        <v>470</v>
      </c>
      <c r="D168" s="767">
        <v>11589</v>
      </c>
      <c r="E168" s="767">
        <v>11588.1</v>
      </c>
      <c r="F168" s="768">
        <f t="shared" si="10"/>
        <v>99.99223401501423</v>
      </c>
      <c r="G168" s="769"/>
    </row>
    <row r="169" spans="1:8" s="791" customFormat="1" ht="18.75" customHeight="1">
      <c r="A169" s="786"/>
      <c r="B169" s="752" t="s">
        <v>107</v>
      </c>
      <c r="C169" s="788" t="s">
        <v>108</v>
      </c>
      <c r="D169" s="754">
        <f>SUM(D172)</f>
        <v>10000</v>
      </c>
      <c r="E169" s="754">
        <f>SUM(E172)</f>
        <v>9973.51</v>
      </c>
      <c r="F169" s="755">
        <f t="shared" si="10"/>
        <v>99.7351</v>
      </c>
      <c r="G169" s="769"/>
      <c r="H169" s="770"/>
    </row>
    <row r="170" spans="1:7" s="763" customFormat="1" ht="18.75" customHeight="1">
      <c r="A170" s="757"/>
      <c r="B170" s="758"/>
      <c r="C170" s="759" t="s">
        <v>360</v>
      </c>
      <c r="D170" s="760">
        <f>SUM(D171)</f>
        <v>10000</v>
      </c>
      <c r="E170" s="760">
        <f>SUM(E171)</f>
        <v>9973.51</v>
      </c>
      <c r="F170" s="761">
        <f t="shared" si="10"/>
        <v>99.7351</v>
      </c>
      <c r="G170" s="762"/>
    </row>
    <row r="171" spans="1:7" s="770" customFormat="1" ht="18" customHeight="1">
      <c r="A171" s="764"/>
      <c r="B171" s="765"/>
      <c r="C171" s="766" t="s">
        <v>466</v>
      </c>
      <c r="D171" s="767">
        <f>SUM(D172)</f>
        <v>10000</v>
      </c>
      <c r="E171" s="767">
        <f>SUM(E172)</f>
        <v>9973.51</v>
      </c>
      <c r="F171" s="768">
        <f t="shared" si="10"/>
        <v>99.7351</v>
      </c>
      <c r="G171" s="769"/>
    </row>
    <row r="172" spans="1:7" s="776" customFormat="1" ht="18.75" customHeight="1">
      <c r="A172" s="771"/>
      <c r="B172" s="772"/>
      <c r="C172" s="773" t="s">
        <v>467</v>
      </c>
      <c r="D172" s="774">
        <v>10000</v>
      </c>
      <c r="E172" s="774">
        <v>9973.51</v>
      </c>
      <c r="F172" s="775">
        <f t="shared" si="10"/>
        <v>99.7351</v>
      </c>
      <c r="G172" s="769"/>
    </row>
    <row r="173" spans="1:7" s="770" customFormat="1" ht="18.75" customHeight="1">
      <c r="A173" s="786"/>
      <c r="B173" s="752" t="s">
        <v>417</v>
      </c>
      <c r="C173" s="788" t="s">
        <v>418</v>
      </c>
      <c r="D173" s="754">
        <f>SUM(D174)</f>
        <v>312162</v>
      </c>
      <c r="E173" s="754">
        <f>SUM(E174)</f>
        <v>308370.8300000001</v>
      </c>
      <c r="F173" s="755">
        <f t="shared" si="10"/>
        <v>98.78551200978981</v>
      </c>
      <c r="G173" s="769"/>
    </row>
    <row r="174" spans="1:7" s="763" customFormat="1" ht="18.75" customHeight="1">
      <c r="A174" s="757"/>
      <c r="B174" s="758"/>
      <c r="C174" s="759" t="s">
        <v>360</v>
      </c>
      <c r="D174" s="760">
        <f>SUM(D175,D178)</f>
        <v>312162</v>
      </c>
      <c r="E174" s="760">
        <f>SUM(E175,E178)</f>
        <v>308370.8300000001</v>
      </c>
      <c r="F174" s="761">
        <f t="shared" si="10"/>
        <v>98.78551200978981</v>
      </c>
      <c r="G174" s="762"/>
    </row>
    <row r="175" spans="1:7" s="770" customFormat="1" ht="18" customHeight="1">
      <c r="A175" s="764"/>
      <c r="B175" s="765"/>
      <c r="C175" s="766" t="s">
        <v>466</v>
      </c>
      <c r="D175" s="767">
        <f>SUM(D176,D177)</f>
        <v>306174</v>
      </c>
      <c r="E175" s="767">
        <f>SUM(E176,E177)</f>
        <v>302387.30000000005</v>
      </c>
      <c r="F175" s="768">
        <f t="shared" si="10"/>
        <v>98.76321960715151</v>
      </c>
      <c r="G175" s="769"/>
    </row>
    <row r="176" spans="1:7" s="776" customFormat="1" ht="18.75" customHeight="1">
      <c r="A176" s="771"/>
      <c r="B176" s="772"/>
      <c r="C176" s="773" t="s">
        <v>910</v>
      </c>
      <c r="D176" s="774">
        <v>270597</v>
      </c>
      <c r="E176" s="774">
        <v>268583.89</v>
      </c>
      <c r="F176" s="775">
        <f t="shared" si="10"/>
        <v>99.25604866277158</v>
      </c>
      <c r="G176" s="769"/>
    </row>
    <row r="177" spans="1:7" s="776" customFormat="1" ht="18.75" customHeight="1">
      <c r="A177" s="771"/>
      <c r="B177" s="772"/>
      <c r="C177" s="773" t="s">
        <v>467</v>
      </c>
      <c r="D177" s="774">
        <v>35577</v>
      </c>
      <c r="E177" s="774">
        <v>33803.41</v>
      </c>
      <c r="F177" s="775">
        <f t="shared" si="10"/>
        <v>95.01478483289767</v>
      </c>
      <c r="G177" s="769"/>
    </row>
    <row r="178" spans="1:7" s="770" customFormat="1" ht="18.75" customHeight="1">
      <c r="A178" s="789"/>
      <c r="B178" s="765"/>
      <c r="C178" s="790" t="s">
        <v>487</v>
      </c>
      <c r="D178" s="767">
        <v>5988</v>
      </c>
      <c r="E178" s="767">
        <v>5983.53</v>
      </c>
      <c r="F178" s="768">
        <f t="shared" si="10"/>
        <v>99.9253507014028</v>
      </c>
      <c r="G178" s="769"/>
    </row>
    <row r="179" spans="1:8" s="791" customFormat="1" ht="17.25" customHeight="1">
      <c r="A179" s="786"/>
      <c r="B179" s="752" t="s">
        <v>928</v>
      </c>
      <c r="C179" s="788" t="s">
        <v>1433</v>
      </c>
      <c r="D179" s="754">
        <f aca="true" t="shared" si="11" ref="D179:E181">SUM(D180)</f>
        <v>239400</v>
      </c>
      <c r="E179" s="754">
        <f t="shared" si="11"/>
        <v>150471.8</v>
      </c>
      <c r="F179" s="755">
        <f t="shared" si="10"/>
        <v>62.85371762740183</v>
      </c>
      <c r="G179" s="769"/>
      <c r="H179" s="770"/>
    </row>
    <row r="180" spans="1:7" s="763" customFormat="1" ht="18.75" customHeight="1">
      <c r="A180" s="757"/>
      <c r="B180" s="758"/>
      <c r="C180" s="759" t="s">
        <v>360</v>
      </c>
      <c r="D180" s="760">
        <f t="shared" si="11"/>
        <v>239400</v>
      </c>
      <c r="E180" s="760">
        <f t="shared" si="11"/>
        <v>150471.8</v>
      </c>
      <c r="F180" s="761">
        <f t="shared" si="10"/>
        <v>62.85371762740183</v>
      </c>
      <c r="G180" s="762"/>
    </row>
    <row r="181" spans="1:7" s="770" customFormat="1" ht="18" customHeight="1">
      <c r="A181" s="764"/>
      <c r="B181" s="765"/>
      <c r="C181" s="766" t="s">
        <v>466</v>
      </c>
      <c r="D181" s="767">
        <f t="shared" si="11"/>
        <v>239400</v>
      </c>
      <c r="E181" s="767">
        <f t="shared" si="11"/>
        <v>150471.8</v>
      </c>
      <c r="F181" s="768">
        <f t="shared" si="10"/>
        <v>62.85371762740183</v>
      </c>
      <c r="G181" s="769"/>
    </row>
    <row r="182" spans="1:7" s="776" customFormat="1" ht="18.75" customHeight="1">
      <c r="A182" s="771"/>
      <c r="B182" s="772"/>
      <c r="C182" s="773" t="s">
        <v>467</v>
      </c>
      <c r="D182" s="774">
        <v>239400</v>
      </c>
      <c r="E182" s="774">
        <v>150471.8</v>
      </c>
      <c r="F182" s="775">
        <f t="shared" si="10"/>
        <v>62.85371762740183</v>
      </c>
      <c r="G182" s="769"/>
    </row>
    <row r="183" spans="1:7" s="515" customFormat="1" ht="65.25" customHeight="1">
      <c r="A183" s="787" t="s">
        <v>377</v>
      </c>
      <c r="B183" s="747"/>
      <c r="C183" s="748" t="s">
        <v>936</v>
      </c>
      <c r="D183" s="749">
        <f aca="true" t="shared" si="12" ref="D183:E185">SUM(D184)</f>
        <v>408000</v>
      </c>
      <c r="E183" s="749">
        <f t="shared" si="12"/>
        <v>367814.63999999996</v>
      </c>
      <c r="F183" s="750">
        <f t="shared" si="10"/>
        <v>90.15064705882352</v>
      </c>
      <c r="G183" s="519"/>
    </row>
    <row r="184" spans="1:7" s="770" customFormat="1" ht="27.75" customHeight="1">
      <c r="A184" s="786"/>
      <c r="B184" s="752" t="s">
        <v>943</v>
      </c>
      <c r="C184" s="753" t="s">
        <v>944</v>
      </c>
      <c r="D184" s="754">
        <f t="shared" si="12"/>
        <v>408000</v>
      </c>
      <c r="E184" s="754">
        <f t="shared" si="12"/>
        <v>367814.63999999996</v>
      </c>
      <c r="F184" s="755">
        <f t="shared" si="10"/>
        <v>90.15064705882352</v>
      </c>
      <c r="G184" s="769"/>
    </row>
    <row r="185" spans="1:7" s="763" customFormat="1" ht="18.75" customHeight="1">
      <c r="A185" s="757"/>
      <c r="B185" s="758"/>
      <c r="C185" s="759" t="s">
        <v>360</v>
      </c>
      <c r="D185" s="760">
        <f t="shared" si="12"/>
        <v>408000</v>
      </c>
      <c r="E185" s="760">
        <f t="shared" si="12"/>
        <v>367814.63999999996</v>
      </c>
      <c r="F185" s="761">
        <f t="shared" si="10"/>
        <v>90.15064705882352</v>
      </c>
      <c r="G185" s="762"/>
    </row>
    <row r="186" spans="1:7" s="770" customFormat="1" ht="18" customHeight="1">
      <c r="A186" s="764"/>
      <c r="B186" s="765"/>
      <c r="C186" s="766" t="s">
        <v>466</v>
      </c>
      <c r="D186" s="767">
        <f>SUM(D187,D188)</f>
        <v>408000</v>
      </c>
      <c r="E186" s="767">
        <f>SUM(E187,E188)</f>
        <v>367814.63999999996</v>
      </c>
      <c r="F186" s="768">
        <f t="shared" si="10"/>
        <v>90.15064705882352</v>
      </c>
      <c r="G186" s="769"/>
    </row>
    <row r="187" spans="1:7" s="776" customFormat="1" ht="18.75" customHeight="1">
      <c r="A187" s="771"/>
      <c r="B187" s="772"/>
      <c r="C187" s="773" t="s">
        <v>910</v>
      </c>
      <c r="D187" s="774">
        <v>350000</v>
      </c>
      <c r="E187" s="774">
        <v>320359.85</v>
      </c>
      <c r="F187" s="775">
        <f t="shared" si="10"/>
        <v>91.5313857142857</v>
      </c>
      <c r="G187" s="769"/>
    </row>
    <row r="188" spans="1:7" s="776" customFormat="1" ht="18.75" customHeight="1">
      <c r="A188" s="771"/>
      <c r="B188" s="772"/>
      <c r="C188" s="773" t="s">
        <v>467</v>
      </c>
      <c r="D188" s="774">
        <v>58000</v>
      </c>
      <c r="E188" s="774">
        <v>47454.79</v>
      </c>
      <c r="F188" s="775">
        <f t="shared" si="10"/>
        <v>81.81860344827587</v>
      </c>
      <c r="G188" s="769"/>
    </row>
    <row r="189" spans="1:8" s="791" customFormat="1" ht="18.75" customHeight="1">
      <c r="A189" s="787" t="s">
        <v>109</v>
      </c>
      <c r="B189" s="747"/>
      <c r="C189" s="784" t="s">
        <v>946</v>
      </c>
      <c r="D189" s="749">
        <f>D190</f>
        <v>3725000</v>
      </c>
      <c r="E189" s="749">
        <f>E190</f>
        <v>3046283.69</v>
      </c>
      <c r="F189" s="750">
        <f t="shared" si="10"/>
        <v>81.77942791946309</v>
      </c>
      <c r="G189" s="769"/>
      <c r="H189" s="770"/>
    </row>
    <row r="190" spans="1:8" s="791" customFormat="1" ht="29.25" customHeight="1">
      <c r="A190" s="786"/>
      <c r="B190" s="752" t="s">
        <v>947</v>
      </c>
      <c r="C190" s="753" t="s">
        <v>954</v>
      </c>
      <c r="D190" s="754">
        <f>D191</f>
        <v>3725000</v>
      </c>
      <c r="E190" s="754">
        <f>E191</f>
        <v>3046283.69</v>
      </c>
      <c r="F190" s="755">
        <f t="shared" si="10"/>
        <v>81.77942791946309</v>
      </c>
      <c r="G190" s="769"/>
      <c r="H190" s="770"/>
    </row>
    <row r="191" spans="1:7" s="763" customFormat="1" ht="18.75" customHeight="1">
      <c r="A191" s="757"/>
      <c r="B191" s="758"/>
      <c r="C191" s="759" t="s">
        <v>360</v>
      </c>
      <c r="D191" s="760">
        <f>SUM(D192)</f>
        <v>3725000</v>
      </c>
      <c r="E191" s="760">
        <f>SUM(E192)</f>
        <v>3046283.69</v>
      </c>
      <c r="F191" s="761">
        <f t="shared" si="10"/>
        <v>81.77942791946309</v>
      </c>
      <c r="G191" s="762"/>
    </row>
    <row r="192" spans="1:7" s="770" customFormat="1" ht="18" customHeight="1">
      <c r="A192" s="764"/>
      <c r="B192" s="765"/>
      <c r="C192" s="766" t="s">
        <v>489</v>
      </c>
      <c r="D192" s="767">
        <v>3725000</v>
      </c>
      <c r="E192" s="767">
        <v>3046283.69</v>
      </c>
      <c r="F192" s="768">
        <f t="shared" si="10"/>
        <v>81.77942791946309</v>
      </c>
      <c r="G192" s="769"/>
    </row>
    <row r="193" spans="1:7" s="518" customFormat="1" ht="18.75" customHeight="1">
      <c r="A193" s="787" t="s">
        <v>110</v>
      </c>
      <c r="B193" s="747"/>
      <c r="C193" s="748" t="s">
        <v>111</v>
      </c>
      <c r="D193" s="749">
        <f aca="true" t="shared" si="13" ref="D193:E196">SUM(D194)</f>
        <v>135710</v>
      </c>
      <c r="E193" s="749">
        <f t="shared" si="13"/>
        <v>0</v>
      </c>
      <c r="F193" s="750">
        <f t="shared" si="10"/>
        <v>0</v>
      </c>
      <c r="G193" s="519"/>
    </row>
    <row r="194" spans="1:7" s="515" customFormat="1" ht="18.75" customHeight="1">
      <c r="A194" s="786"/>
      <c r="B194" s="752" t="s">
        <v>1409</v>
      </c>
      <c r="C194" s="753" t="s">
        <v>1411</v>
      </c>
      <c r="D194" s="754">
        <f t="shared" si="13"/>
        <v>135710</v>
      </c>
      <c r="E194" s="754">
        <f t="shared" si="13"/>
        <v>0</v>
      </c>
      <c r="F194" s="755">
        <f t="shared" si="10"/>
        <v>0</v>
      </c>
      <c r="G194" s="519"/>
    </row>
    <row r="195" spans="1:7" s="763" customFormat="1" ht="18.75" customHeight="1">
      <c r="A195" s="757"/>
      <c r="B195" s="758"/>
      <c r="C195" s="759" t="s">
        <v>360</v>
      </c>
      <c r="D195" s="760">
        <f t="shared" si="13"/>
        <v>135710</v>
      </c>
      <c r="E195" s="760">
        <f t="shared" si="13"/>
        <v>0</v>
      </c>
      <c r="F195" s="761">
        <f t="shared" si="10"/>
        <v>0</v>
      </c>
      <c r="G195" s="762"/>
    </row>
    <row r="196" spans="1:7" s="770" customFormat="1" ht="18" customHeight="1">
      <c r="A196" s="764"/>
      <c r="B196" s="765"/>
      <c r="C196" s="766" t="s">
        <v>466</v>
      </c>
      <c r="D196" s="767">
        <f t="shared" si="13"/>
        <v>135710</v>
      </c>
      <c r="E196" s="767">
        <f t="shared" si="13"/>
        <v>0</v>
      </c>
      <c r="F196" s="768">
        <f t="shared" si="10"/>
        <v>0</v>
      </c>
      <c r="G196" s="769"/>
    </row>
    <row r="197" spans="1:7" s="776" customFormat="1" ht="18.75" customHeight="1">
      <c r="A197" s="771"/>
      <c r="B197" s="772"/>
      <c r="C197" s="773" t="s">
        <v>467</v>
      </c>
      <c r="D197" s="774">
        <v>135710</v>
      </c>
      <c r="E197" s="774">
        <v>0</v>
      </c>
      <c r="F197" s="775">
        <f t="shared" si="10"/>
        <v>0</v>
      </c>
      <c r="G197" s="769"/>
    </row>
    <row r="198" spans="1:7" s="515" customFormat="1" ht="18.75" customHeight="1">
      <c r="A198" s="787" t="s">
        <v>112</v>
      </c>
      <c r="B198" s="747"/>
      <c r="C198" s="784" t="s">
        <v>113</v>
      </c>
      <c r="D198" s="749">
        <f>SUM(D199,D208,D214,D222,D225,D232,D236,D240,D246)</f>
        <v>29300934</v>
      </c>
      <c r="E198" s="749">
        <f>SUM(E199,E208,E214,E222,E225,E232,E236,E240,E246)</f>
        <v>29020475.409999993</v>
      </c>
      <c r="F198" s="750">
        <f aca="true" t="shared" si="14" ref="F198:F231">E198/D198*100</f>
        <v>99.04283395880825</v>
      </c>
      <c r="G198" s="519"/>
    </row>
    <row r="199" spans="1:7" s="770" customFormat="1" ht="18.75" customHeight="1">
      <c r="A199" s="786"/>
      <c r="B199" s="752" t="s">
        <v>114</v>
      </c>
      <c r="C199" s="783" t="s">
        <v>115</v>
      </c>
      <c r="D199" s="754">
        <f>SUM(D200,D206)</f>
        <v>12559956</v>
      </c>
      <c r="E199" s="754">
        <f>SUM(E200,E206)</f>
        <v>12438408.419999998</v>
      </c>
      <c r="F199" s="755">
        <f t="shared" si="14"/>
        <v>99.03226110027774</v>
      </c>
      <c r="G199" s="769"/>
    </row>
    <row r="200" spans="1:7" s="763" customFormat="1" ht="18.75" customHeight="1">
      <c r="A200" s="757"/>
      <c r="B200" s="758"/>
      <c r="C200" s="759" t="s">
        <v>360</v>
      </c>
      <c r="D200" s="760">
        <f>SUM(D201,D204,D205)</f>
        <v>12524956</v>
      </c>
      <c r="E200" s="760">
        <f>SUM(E201,E204,E205)</f>
        <v>12434223.819999998</v>
      </c>
      <c r="F200" s="761">
        <f t="shared" si="14"/>
        <v>99.27558883240786</v>
      </c>
      <c r="G200" s="762"/>
    </row>
    <row r="201" spans="1:7" s="770" customFormat="1" ht="18" customHeight="1">
      <c r="A201" s="764"/>
      <c r="B201" s="765"/>
      <c r="C201" s="766" t="s">
        <v>466</v>
      </c>
      <c r="D201" s="767">
        <f>SUM(D202,D203)</f>
        <v>12248276</v>
      </c>
      <c r="E201" s="767">
        <f>SUM(E202,E203)</f>
        <v>12157544.83</v>
      </c>
      <c r="F201" s="768">
        <f t="shared" si="14"/>
        <v>99.25923313615729</v>
      </c>
      <c r="G201" s="769"/>
    </row>
    <row r="202" spans="1:7" s="776" customFormat="1" ht="18.75" customHeight="1">
      <c r="A202" s="771"/>
      <c r="B202" s="772"/>
      <c r="C202" s="773" t="s">
        <v>910</v>
      </c>
      <c r="D202" s="774">
        <v>10391411</v>
      </c>
      <c r="E202" s="774">
        <v>10391408.8</v>
      </c>
      <c r="F202" s="775">
        <f t="shared" si="14"/>
        <v>99.99997882866919</v>
      </c>
      <c r="G202" s="769"/>
    </row>
    <row r="203" spans="1:7" s="776" customFormat="1" ht="18.75" customHeight="1">
      <c r="A203" s="771"/>
      <c r="B203" s="772"/>
      <c r="C203" s="773" t="s">
        <v>467</v>
      </c>
      <c r="D203" s="774">
        <v>1856865</v>
      </c>
      <c r="E203" s="774">
        <v>1766136.03</v>
      </c>
      <c r="F203" s="775">
        <f t="shared" si="14"/>
        <v>95.1138628817927</v>
      </c>
      <c r="G203" s="769"/>
    </row>
    <row r="204" spans="1:7" s="770" customFormat="1" ht="18.75" customHeight="1">
      <c r="A204" s="789"/>
      <c r="B204" s="765"/>
      <c r="C204" s="790" t="s">
        <v>487</v>
      </c>
      <c r="D204" s="767">
        <v>9408</v>
      </c>
      <c r="E204" s="767">
        <v>9407.7</v>
      </c>
      <c r="F204" s="768">
        <f t="shared" si="14"/>
        <v>99.9968112244898</v>
      </c>
      <c r="G204" s="769"/>
    </row>
    <row r="205" spans="1:7" s="770" customFormat="1" ht="18.75" customHeight="1">
      <c r="A205" s="764"/>
      <c r="B205" s="765"/>
      <c r="C205" s="766" t="s">
        <v>468</v>
      </c>
      <c r="D205" s="767">
        <v>267272</v>
      </c>
      <c r="E205" s="767">
        <v>267271.29</v>
      </c>
      <c r="F205" s="768">
        <f t="shared" si="14"/>
        <v>99.99973435301864</v>
      </c>
      <c r="G205" s="782"/>
    </row>
    <row r="206" spans="1:7" s="763" customFormat="1" ht="18.75" customHeight="1">
      <c r="A206" s="757"/>
      <c r="B206" s="758"/>
      <c r="C206" s="759" t="s">
        <v>469</v>
      </c>
      <c r="D206" s="760">
        <f>SUM(D207)</f>
        <v>35000</v>
      </c>
      <c r="E206" s="760">
        <f>SUM(E207)</f>
        <v>4184.6</v>
      </c>
      <c r="F206" s="761">
        <f t="shared" si="14"/>
        <v>11.956000000000001</v>
      </c>
      <c r="G206" s="762"/>
    </row>
    <row r="207" spans="1:7" s="770" customFormat="1" ht="18" customHeight="1">
      <c r="A207" s="764"/>
      <c r="B207" s="765"/>
      <c r="C207" s="766" t="s">
        <v>471</v>
      </c>
      <c r="D207" s="767">
        <v>35000</v>
      </c>
      <c r="E207" s="767">
        <v>4184.6</v>
      </c>
      <c r="F207" s="768">
        <f t="shared" si="14"/>
        <v>11.956000000000001</v>
      </c>
      <c r="G207" s="769"/>
    </row>
    <row r="208" spans="1:7" s="515" customFormat="1" ht="18.75" customHeight="1">
      <c r="A208" s="786"/>
      <c r="B208" s="752" t="s">
        <v>269</v>
      </c>
      <c r="C208" s="783" t="s">
        <v>270</v>
      </c>
      <c r="D208" s="754">
        <f>D209</f>
        <v>328165</v>
      </c>
      <c r="E208" s="754">
        <f>E209</f>
        <v>328164.02999999997</v>
      </c>
      <c r="F208" s="755">
        <f t="shared" si="14"/>
        <v>99.99970441698535</v>
      </c>
      <c r="G208" s="519"/>
    </row>
    <row r="209" spans="1:7" s="763" customFormat="1" ht="18.75" customHeight="1">
      <c r="A209" s="757"/>
      <c r="B209" s="758"/>
      <c r="C209" s="759" t="s">
        <v>360</v>
      </c>
      <c r="D209" s="760">
        <f>SUM(D210,D213)</f>
        <v>328165</v>
      </c>
      <c r="E209" s="760">
        <f>SUM(E210,E213)</f>
        <v>328164.02999999997</v>
      </c>
      <c r="F209" s="761">
        <f t="shared" si="14"/>
        <v>99.99970441698535</v>
      </c>
      <c r="G209" s="762"/>
    </row>
    <row r="210" spans="1:7" s="770" customFormat="1" ht="18" customHeight="1">
      <c r="A210" s="764"/>
      <c r="B210" s="765"/>
      <c r="C210" s="766" t="s">
        <v>466</v>
      </c>
      <c r="D210" s="767">
        <f>SUM(D211,D212)</f>
        <v>291233</v>
      </c>
      <c r="E210" s="767">
        <f>SUM(E211,E212)</f>
        <v>291232.48</v>
      </c>
      <c r="F210" s="768">
        <f t="shared" si="14"/>
        <v>99.99982144880559</v>
      </c>
      <c r="G210" s="769"/>
    </row>
    <row r="211" spans="1:7" s="776" customFormat="1" ht="18.75" customHeight="1">
      <c r="A211" s="771"/>
      <c r="B211" s="772"/>
      <c r="C211" s="773" t="s">
        <v>910</v>
      </c>
      <c r="D211" s="774">
        <v>252498</v>
      </c>
      <c r="E211" s="774">
        <v>252496.36</v>
      </c>
      <c r="F211" s="775">
        <f t="shared" si="14"/>
        <v>99.99935048990487</v>
      </c>
      <c r="G211" s="769"/>
    </row>
    <row r="212" spans="1:7" s="776" customFormat="1" ht="18.75" customHeight="1">
      <c r="A212" s="771"/>
      <c r="B212" s="772"/>
      <c r="C212" s="773" t="s">
        <v>467</v>
      </c>
      <c r="D212" s="774">
        <v>38735</v>
      </c>
      <c r="E212" s="774">
        <v>38736.12</v>
      </c>
      <c r="F212" s="775">
        <f t="shared" si="14"/>
        <v>100.00289144184846</v>
      </c>
      <c r="G212" s="769"/>
    </row>
    <row r="213" spans="1:7" s="770" customFormat="1" ht="18.75" customHeight="1">
      <c r="A213" s="764"/>
      <c r="B213" s="765"/>
      <c r="C213" s="766" t="s">
        <v>468</v>
      </c>
      <c r="D213" s="767">
        <v>36932</v>
      </c>
      <c r="E213" s="767">
        <v>36931.55</v>
      </c>
      <c r="F213" s="768">
        <f t="shared" si="14"/>
        <v>99.99878154446009</v>
      </c>
      <c r="G213" s="782"/>
    </row>
    <row r="214" spans="1:8" s="791" customFormat="1" ht="18.75" customHeight="1">
      <c r="A214" s="786"/>
      <c r="B214" s="752" t="s">
        <v>958</v>
      </c>
      <c r="C214" s="783" t="s">
        <v>959</v>
      </c>
      <c r="D214" s="754">
        <f>SUM(D215,D220)</f>
        <v>6785967</v>
      </c>
      <c r="E214" s="754">
        <f>SUM(E215,E220)</f>
        <v>6713330.569999999</v>
      </c>
      <c r="F214" s="755">
        <f t="shared" si="14"/>
        <v>98.92960826364171</v>
      </c>
      <c r="G214" s="769"/>
      <c r="H214" s="770"/>
    </row>
    <row r="215" spans="1:7" s="763" customFormat="1" ht="18.75" customHeight="1">
      <c r="A215" s="757"/>
      <c r="B215" s="758"/>
      <c r="C215" s="759" t="s">
        <v>360</v>
      </c>
      <c r="D215" s="760">
        <f>SUM(D216,D219)</f>
        <v>6335967</v>
      </c>
      <c r="E215" s="760">
        <f>SUM(E216,E219)</f>
        <v>6263825.77</v>
      </c>
      <c r="F215" s="761">
        <f t="shared" si="14"/>
        <v>98.86140142459706</v>
      </c>
      <c r="G215" s="762"/>
    </row>
    <row r="216" spans="1:7" s="770" customFormat="1" ht="18" customHeight="1">
      <c r="A216" s="764"/>
      <c r="B216" s="765"/>
      <c r="C216" s="766" t="s">
        <v>466</v>
      </c>
      <c r="D216" s="767">
        <f>SUM(D217,D218)</f>
        <v>371601</v>
      </c>
      <c r="E216" s="767">
        <f>SUM(E217,E218)</f>
        <v>300363.13</v>
      </c>
      <c r="F216" s="768">
        <f t="shared" si="14"/>
        <v>80.82947301002957</v>
      </c>
      <c r="G216" s="769"/>
    </row>
    <row r="217" spans="1:7" s="776" customFormat="1" ht="18.75" customHeight="1">
      <c r="A217" s="771"/>
      <c r="B217" s="772"/>
      <c r="C217" s="773" t="s">
        <v>910</v>
      </c>
      <c r="D217" s="774">
        <v>140141</v>
      </c>
      <c r="E217" s="774">
        <v>140140.53</v>
      </c>
      <c r="F217" s="775">
        <f t="shared" si="14"/>
        <v>99.99966462348634</v>
      </c>
      <c r="G217" s="769"/>
    </row>
    <row r="218" spans="1:7" s="776" customFormat="1" ht="18.75" customHeight="1">
      <c r="A218" s="771"/>
      <c r="B218" s="772"/>
      <c r="C218" s="773" t="s">
        <v>467</v>
      </c>
      <c r="D218" s="774">
        <v>231460</v>
      </c>
      <c r="E218" s="774">
        <v>160222.6</v>
      </c>
      <c r="F218" s="775">
        <f t="shared" si="14"/>
        <v>69.22258705607881</v>
      </c>
      <c r="G218" s="769"/>
    </row>
    <row r="219" spans="1:7" s="770" customFormat="1" ht="18.75" customHeight="1">
      <c r="A219" s="764"/>
      <c r="B219" s="765"/>
      <c r="C219" s="766" t="s">
        <v>468</v>
      </c>
      <c r="D219" s="767">
        <v>5964366</v>
      </c>
      <c r="E219" s="767">
        <v>5963462.64</v>
      </c>
      <c r="F219" s="768">
        <f t="shared" si="14"/>
        <v>99.9848540481922</v>
      </c>
      <c r="G219" s="782"/>
    </row>
    <row r="220" spans="1:7" s="763" customFormat="1" ht="18.75" customHeight="1">
      <c r="A220" s="757"/>
      <c r="B220" s="758"/>
      <c r="C220" s="759" t="s">
        <v>469</v>
      </c>
      <c r="D220" s="760">
        <f>SUM(D221)</f>
        <v>450000</v>
      </c>
      <c r="E220" s="760">
        <f>SUM(E221)</f>
        <v>449504.8</v>
      </c>
      <c r="F220" s="761">
        <f>E220/D220*100</f>
        <v>99.88995555555556</v>
      </c>
      <c r="G220" s="762"/>
    </row>
    <row r="221" spans="1:7" s="770" customFormat="1" ht="18" customHeight="1">
      <c r="A221" s="764"/>
      <c r="B221" s="765"/>
      <c r="C221" s="766" t="s">
        <v>471</v>
      </c>
      <c r="D221" s="767">
        <v>450000</v>
      </c>
      <c r="E221" s="767">
        <v>449504.8</v>
      </c>
      <c r="F221" s="768">
        <f>E221/D221*100</f>
        <v>99.88995555555556</v>
      </c>
      <c r="G221" s="769"/>
    </row>
    <row r="222" spans="1:8" s="791" customFormat="1" ht="18.75" customHeight="1">
      <c r="A222" s="786"/>
      <c r="B222" s="752" t="s">
        <v>490</v>
      </c>
      <c r="C222" s="783" t="s">
        <v>491</v>
      </c>
      <c r="D222" s="754">
        <f>SUM(D223)</f>
        <v>210280</v>
      </c>
      <c r="E222" s="754">
        <f>SUM(E223)</f>
        <v>194410</v>
      </c>
      <c r="F222" s="755">
        <f t="shared" si="14"/>
        <v>92.45291991630208</v>
      </c>
      <c r="G222" s="769"/>
      <c r="H222" s="770"/>
    </row>
    <row r="223" spans="1:7" s="763" customFormat="1" ht="18.75" customHeight="1">
      <c r="A223" s="757"/>
      <c r="B223" s="758"/>
      <c r="C223" s="759" t="s">
        <v>360</v>
      </c>
      <c r="D223" s="760">
        <f>SUM(D224)</f>
        <v>210280</v>
      </c>
      <c r="E223" s="760">
        <f>SUM(E224)</f>
        <v>194410</v>
      </c>
      <c r="F223" s="761">
        <f t="shared" si="14"/>
        <v>92.45291991630208</v>
      </c>
      <c r="G223" s="762"/>
    </row>
    <row r="224" spans="1:7" s="770" customFormat="1" ht="18.75" customHeight="1">
      <c r="A224" s="764"/>
      <c r="B224" s="765"/>
      <c r="C224" s="766" t="s">
        <v>468</v>
      </c>
      <c r="D224" s="767">
        <v>210280</v>
      </c>
      <c r="E224" s="767">
        <v>194410</v>
      </c>
      <c r="F224" s="768">
        <f t="shared" si="14"/>
        <v>92.45291991630208</v>
      </c>
      <c r="G224" s="782"/>
    </row>
    <row r="225" spans="1:8" s="791" customFormat="1" ht="18.75" customHeight="1">
      <c r="A225" s="786"/>
      <c r="B225" s="752" t="s">
        <v>116</v>
      </c>
      <c r="C225" s="783" t="s">
        <v>117</v>
      </c>
      <c r="D225" s="754">
        <f>SUM(D226)</f>
        <v>8428158</v>
      </c>
      <c r="E225" s="754">
        <f>SUM(E226)</f>
        <v>8360174.38</v>
      </c>
      <c r="F225" s="755">
        <f t="shared" si="14"/>
        <v>99.19337511233178</v>
      </c>
      <c r="G225" s="769"/>
      <c r="H225" s="770"/>
    </row>
    <row r="226" spans="1:7" s="763" customFormat="1" ht="18.75" customHeight="1">
      <c r="A226" s="757"/>
      <c r="B226" s="758"/>
      <c r="C226" s="759" t="s">
        <v>360</v>
      </c>
      <c r="D226" s="760">
        <f>SUM(D227,D230,D231)</f>
        <v>8428158</v>
      </c>
      <c r="E226" s="760">
        <f>SUM(E227,E230,E231)</f>
        <v>8360174.38</v>
      </c>
      <c r="F226" s="761">
        <f t="shared" si="14"/>
        <v>99.19337511233178</v>
      </c>
      <c r="G226" s="762"/>
    </row>
    <row r="227" spans="1:7" s="770" customFormat="1" ht="18" customHeight="1">
      <c r="A227" s="764"/>
      <c r="B227" s="765"/>
      <c r="C227" s="766" t="s">
        <v>466</v>
      </c>
      <c r="D227" s="767">
        <f>SUM(D228,D229)</f>
        <v>7857138</v>
      </c>
      <c r="E227" s="767">
        <f>SUM(E228,E229)</f>
        <v>7836138.57</v>
      </c>
      <c r="F227" s="768">
        <f t="shared" si="14"/>
        <v>99.73273436205398</v>
      </c>
      <c r="G227" s="769"/>
    </row>
    <row r="228" spans="1:7" s="776" customFormat="1" ht="18.75" customHeight="1">
      <c r="A228" s="771"/>
      <c r="B228" s="772"/>
      <c r="C228" s="773" t="s">
        <v>910</v>
      </c>
      <c r="D228" s="774">
        <v>6709275</v>
      </c>
      <c r="E228" s="774">
        <v>6709275.49</v>
      </c>
      <c r="F228" s="775">
        <f t="shared" si="14"/>
        <v>100.00000730332263</v>
      </c>
      <c r="G228" s="769"/>
    </row>
    <row r="229" spans="1:7" s="776" customFormat="1" ht="18.75" customHeight="1">
      <c r="A229" s="771"/>
      <c r="B229" s="772"/>
      <c r="C229" s="773" t="s">
        <v>467</v>
      </c>
      <c r="D229" s="774">
        <v>1147863</v>
      </c>
      <c r="E229" s="774">
        <v>1126863.08</v>
      </c>
      <c r="F229" s="775">
        <f t="shared" si="14"/>
        <v>98.17052034955391</v>
      </c>
      <c r="G229" s="769"/>
    </row>
    <row r="230" spans="1:7" s="770" customFormat="1" ht="18.75" customHeight="1">
      <c r="A230" s="789"/>
      <c r="B230" s="765"/>
      <c r="C230" s="790" t="s">
        <v>487</v>
      </c>
      <c r="D230" s="767">
        <v>9484</v>
      </c>
      <c r="E230" s="767">
        <v>9483.88</v>
      </c>
      <c r="F230" s="768">
        <f t="shared" si="14"/>
        <v>99.99873471109237</v>
      </c>
      <c r="G230" s="769"/>
    </row>
    <row r="231" spans="1:7" s="770" customFormat="1" ht="18.75" customHeight="1">
      <c r="A231" s="764"/>
      <c r="B231" s="765"/>
      <c r="C231" s="766" t="s">
        <v>468</v>
      </c>
      <c r="D231" s="767">
        <v>561536</v>
      </c>
      <c r="E231" s="767">
        <v>514551.93</v>
      </c>
      <c r="F231" s="768">
        <f t="shared" si="14"/>
        <v>91.6329371580807</v>
      </c>
      <c r="G231" s="782"/>
    </row>
    <row r="232" spans="1:7" s="515" customFormat="1" ht="17.25" customHeight="1">
      <c r="A232" s="797"/>
      <c r="B232" s="752" t="s">
        <v>327</v>
      </c>
      <c r="C232" s="783" t="s">
        <v>328</v>
      </c>
      <c r="D232" s="754">
        <f>D233</f>
        <v>90164</v>
      </c>
      <c r="E232" s="754">
        <f>E233</f>
        <v>89849.83</v>
      </c>
      <c r="F232" s="755">
        <f aca="true" t="shared" si="15" ref="F232:F250">E232/D232*100</f>
        <v>99.65155716250388</v>
      </c>
      <c r="G232" s="519"/>
    </row>
    <row r="233" spans="1:7" s="763" customFormat="1" ht="18.75" customHeight="1">
      <c r="A233" s="757"/>
      <c r="B233" s="758"/>
      <c r="C233" s="759" t="s">
        <v>360</v>
      </c>
      <c r="D233" s="760">
        <f>SUM(D234)</f>
        <v>90164</v>
      </c>
      <c r="E233" s="760">
        <f>SUM(E234)</f>
        <v>89849.83</v>
      </c>
      <c r="F233" s="761">
        <f t="shared" si="15"/>
        <v>99.65155716250388</v>
      </c>
      <c r="G233" s="762"/>
    </row>
    <row r="234" spans="1:7" s="770" customFormat="1" ht="18" customHeight="1">
      <c r="A234" s="764"/>
      <c r="B234" s="765"/>
      <c r="C234" s="766" t="s">
        <v>466</v>
      </c>
      <c r="D234" s="767">
        <f>SUM(D235)</f>
        <v>90164</v>
      </c>
      <c r="E234" s="767">
        <f>SUM(E235)</f>
        <v>89849.83</v>
      </c>
      <c r="F234" s="768">
        <f t="shared" si="15"/>
        <v>99.65155716250388</v>
      </c>
      <c r="G234" s="769"/>
    </row>
    <row r="235" spans="1:7" s="776" customFormat="1" ht="18.75" customHeight="1">
      <c r="A235" s="771"/>
      <c r="B235" s="772"/>
      <c r="C235" s="773" t="s">
        <v>467</v>
      </c>
      <c r="D235" s="774">
        <v>90164</v>
      </c>
      <c r="E235" s="774">
        <v>89849.83</v>
      </c>
      <c r="F235" s="775">
        <f t="shared" si="15"/>
        <v>99.65155716250388</v>
      </c>
      <c r="G235" s="769"/>
    </row>
    <row r="236" spans="1:7" s="515" customFormat="1" ht="18.75" customHeight="1">
      <c r="A236" s="786"/>
      <c r="B236" s="752" t="s">
        <v>978</v>
      </c>
      <c r="C236" s="783" t="s">
        <v>979</v>
      </c>
      <c r="D236" s="754">
        <f>D239</f>
        <v>41067</v>
      </c>
      <c r="E236" s="754">
        <f>E239</f>
        <v>41067.5</v>
      </c>
      <c r="F236" s="755">
        <f t="shared" si="15"/>
        <v>100.00121752258504</v>
      </c>
      <c r="G236" s="519"/>
    </row>
    <row r="237" spans="1:7" s="763" customFormat="1" ht="18.75" customHeight="1">
      <c r="A237" s="757"/>
      <c r="B237" s="758"/>
      <c r="C237" s="759" t="s">
        <v>360</v>
      </c>
      <c r="D237" s="760">
        <f>SUM(D238)</f>
        <v>41067</v>
      </c>
      <c r="E237" s="760">
        <f>SUM(E238)</f>
        <v>41067.5</v>
      </c>
      <c r="F237" s="761">
        <f t="shared" si="15"/>
        <v>100.00121752258504</v>
      </c>
      <c r="G237" s="762"/>
    </row>
    <row r="238" spans="1:7" s="770" customFormat="1" ht="18" customHeight="1">
      <c r="A238" s="764"/>
      <c r="B238" s="765"/>
      <c r="C238" s="766" t="s">
        <v>466</v>
      </c>
      <c r="D238" s="767">
        <f>SUM(D239)</f>
        <v>41067</v>
      </c>
      <c r="E238" s="767">
        <f>SUM(E239)</f>
        <v>41067.5</v>
      </c>
      <c r="F238" s="768">
        <f t="shared" si="15"/>
        <v>100.00121752258504</v>
      </c>
      <c r="G238" s="769"/>
    </row>
    <row r="239" spans="1:7" s="776" customFormat="1" ht="18.75" customHeight="1">
      <c r="A239" s="771"/>
      <c r="B239" s="772"/>
      <c r="C239" s="773" t="s">
        <v>467</v>
      </c>
      <c r="D239" s="774">
        <v>41067</v>
      </c>
      <c r="E239" s="774">
        <v>41067.5</v>
      </c>
      <c r="F239" s="775">
        <f t="shared" si="15"/>
        <v>100.00121752258504</v>
      </c>
      <c r="G239" s="769"/>
    </row>
    <row r="240" spans="1:7" s="515" customFormat="1" ht="18.75" customHeight="1">
      <c r="A240" s="786"/>
      <c r="B240" s="752" t="s">
        <v>707</v>
      </c>
      <c r="C240" s="753" t="s">
        <v>758</v>
      </c>
      <c r="D240" s="754">
        <f>SUM(D241)</f>
        <v>578070</v>
      </c>
      <c r="E240" s="754">
        <f>SUM(E241)</f>
        <v>578067.52</v>
      </c>
      <c r="F240" s="755">
        <f t="shared" si="15"/>
        <v>99.99957098621275</v>
      </c>
      <c r="G240" s="519"/>
    </row>
    <row r="241" spans="1:7" s="763" customFormat="1" ht="18.75" customHeight="1">
      <c r="A241" s="757"/>
      <c r="B241" s="758"/>
      <c r="C241" s="759" t="s">
        <v>360</v>
      </c>
      <c r="D241" s="760">
        <f>SUM(D242,D245)</f>
        <v>578070</v>
      </c>
      <c r="E241" s="760">
        <f>SUM(E242,E245)</f>
        <v>578067.52</v>
      </c>
      <c r="F241" s="761">
        <f t="shared" si="15"/>
        <v>99.99957098621275</v>
      </c>
      <c r="G241" s="762"/>
    </row>
    <row r="242" spans="1:7" s="770" customFormat="1" ht="18" customHeight="1">
      <c r="A242" s="764"/>
      <c r="B242" s="765"/>
      <c r="C242" s="766" t="s">
        <v>466</v>
      </c>
      <c r="D242" s="767">
        <f>SUM(D243,D244)</f>
        <v>574795</v>
      </c>
      <c r="E242" s="767">
        <f>SUM(E243,E244)</f>
        <v>574792.91</v>
      </c>
      <c r="F242" s="768">
        <f t="shared" si="15"/>
        <v>99.99963639210502</v>
      </c>
      <c r="G242" s="769"/>
    </row>
    <row r="243" spans="1:7" s="776" customFormat="1" ht="18.75" customHeight="1">
      <c r="A243" s="771"/>
      <c r="B243" s="772"/>
      <c r="C243" s="773" t="s">
        <v>910</v>
      </c>
      <c r="D243" s="774">
        <v>488259</v>
      </c>
      <c r="E243" s="774">
        <v>488259.69</v>
      </c>
      <c r="F243" s="775">
        <f t="shared" si="15"/>
        <v>100.00014131843959</v>
      </c>
      <c r="G243" s="769"/>
    </row>
    <row r="244" spans="1:7" s="776" customFormat="1" ht="18.75" customHeight="1">
      <c r="A244" s="771"/>
      <c r="B244" s="772"/>
      <c r="C244" s="773" t="s">
        <v>467</v>
      </c>
      <c r="D244" s="774">
        <v>86536</v>
      </c>
      <c r="E244" s="774">
        <v>86533.22</v>
      </c>
      <c r="F244" s="775">
        <f t="shared" si="15"/>
        <v>99.99678746417676</v>
      </c>
      <c r="G244" s="769"/>
    </row>
    <row r="245" spans="1:7" s="770" customFormat="1" ht="18.75" customHeight="1">
      <c r="A245" s="789"/>
      <c r="B245" s="765"/>
      <c r="C245" s="790" t="s">
        <v>487</v>
      </c>
      <c r="D245" s="767">
        <v>3275</v>
      </c>
      <c r="E245" s="767">
        <v>3274.61</v>
      </c>
      <c r="F245" s="768">
        <f t="shared" si="15"/>
        <v>99.98809160305345</v>
      </c>
      <c r="G245" s="769"/>
    </row>
    <row r="246" spans="1:8" s="791" customFormat="1" ht="18.75" customHeight="1">
      <c r="A246" s="786"/>
      <c r="B246" s="752" t="s">
        <v>980</v>
      </c>
      <c r="C246" s="783" t="s">
        <v>1433</v>
      </c>
      <c r="D246" s="754">
        <f>SUM(D247)</f>
        <v>279107</v>
      </c>
      <c r="E246" s="754">
        <f>SUM(E247)</f>
        <v>277003.16000000003</v>
      </c>
      <c r="F246" s="755">
        <f t="shared" si="15"/>
        <v>99.2462245662058</v>
      </c>
      <c r="G246" s="769"/>
      <c r="H246" s="770"/>
    </row>
    <row r="247" spans="1:7" s="763" customFormat="1" ht="18.75" customHeight="1">
      <c r="A247" s="757"/>
      <c r="B247" s="758"/>
      <c r="C247" s="759" t="s">
        <v>360</v>
      </c>
      <c r="D247" s="760">
        <f>SUM(D248,D251,D252)</f>
        <v>279107</v>
      </c>
      <c r="E247" s="760">
        <f>SUM(E248,E251,E252)</f>
        <v>277003.16000000003</v>
      </c>
      <c r="F247" s="761">
        <f t="shared" si="15"/>
        <v>99.2462245662058</v>
      </c>
      <c r="G247" s="762"/>
    </row>
    <row r="248" spans="1:7" s="770" customFormat="1" ht="18" customHeight="1">
      <c r="A248" s="764"/>
      <c r="B248" s="765"/>
      <c r="C248" s="766" t="s">
        <v>466</v>
      </c>
      <c r="D248" s="767">
        <f>SUM(D249,D250)</f>
        <v>225103</v>
      </c>
      <c r="E248" s="767">
        <f>SUM(E249,E250)</f>
        <v>222999.16</v>
      </c>
      <c r="F248" s="768">
        <f t="shared" si="15"/>
        <v>99.06538784467554</v>
      </c>
      <c r="G248" s="769"/>
    </row>
    <row r="249" spans="1:7" s="776" customFormat="1" ht="18.75" customHeight="1">
      <c r="A249" s="771"/>
      <c r="B249" s="772"/>
      <c r="C249" s="773" t="s">
        <v>910</v>
      </c>
      <c r="D249" s="774">
        <v>44412</v>
      </c>
      <c r="E249" s="774">
        <v>44410.6</v>
      </c>
      <c r="F249" s="775">
        <f t="shared" si="15"/>
        <v>99.99684769882013</v>
      </c>
      <c r="G249" s="769"/>
    </row>
    <row r="250" spans="1:7" s="776" customFormat="1" ht="18.75" customHeight="1">
      <c r="A250" s="771"/>
      <c r="B250" s="772"/>
      <c r="C250" s="773" t="s">
        <v>467</v>
      </c>
      <c r="D250" s="774">
        <v>180691</v>
      </c>
      <c r="E250" s="774">
        <v>178588.56</v>
      </c>
      <c r="F250" s="775">
        <f t="shared" si="15"/>
        <v>98.8364445379128</v>
      </c>
      <c r="G250" s="769"/>
    </row>
    <row r="251" spans="1:7" s="770" customFormat="1" ht="18.75" customHeight="1" hidden="1">
      <c r="A251" s="789"/>
      <c r="B251" s="765"/>
      <c r="C251" s="766" t="s">
        <v>468</v>
      </c>
      <c r="D251" s="767">
        <v>0</v>
      </c>
      <c r="E251" s="767">
        <v>0</v>
      </c>
      <c r="F251" s="768" t="e">
        <f aca="true" t="shared" si="16" ref="F251:F283">E251/D251*100</f>
        <v>#DIV/0!</v>
      </c>
      <c r="G251" s="782"/>
    </row>
    <row r="252" spans="1:7" s="770" customFormat="1" ht="18.75" customHeight="1">
      <c r="A252" s="789"/>
      <c r="B252" s="765"/>
      <c r="C252" s="790" t="s">
        <v>487</v>
      </c>
      <c r="D252" s="767">
        <v>54004</v>
      </c>
      <c r="E252" s="767">
        <v>54004</v>
      </c>
      <c r="F252" s="768">
        <f t="shared" si="16"/>
        <v>100</v>
      </c>
      <c r="G252" s="769"/>
    </row>
    <row r="253" spans="1:7" s="515" customFormat="1" ht="18.75" customHeight="1">
      <c r="A253" s="787" t="s">
        <v>121</v>
      </c>
      <c r="B253" s="747"/>
      <c r="C253" s="784" t="s">
        <v>122</v>
      </c>
      <c r="D253" s="749">
        <f>SUM(D254,D260,D265,D273)</f>
        <v>1566119</v>
      </c>
      <c r="E253" s="749">
        <f>SUM(E254,E260,E265,E273)</f>
        <v>1284899.28</v>
      </c>
      <c r="F253" s="750">
        <f t="shared" si="16"/>
        <v>82.04352798222868</v>
      </c>
      <c r="G253" s="519"/>
    </row>
    <row r="254" spans="1:8" s="791" customFormat="1" ht="18.75" customHeight="1">
      <c r="A254" s="786"/>
      <c r="B254" s="752" t="s">
        <v>1001</v>
      </c>
      <c r="C254" s="798" t="s">
        <v>1002</v>
      </c>
      <c r="D254" s="799">
        <f>D255</f>
        <v>61419</v>
      </c>
      <c r="E254" s="799">
        <f>E255</f>
        <v>49871.020000000004</v>
      </c>
      <c r="F254" s="755">
        <f t="shared" si="16"/>
        <v>81.1980331819144</v>
      </c>
      <c r="G254" s="769"/>
      <c r="H254" s="770"/>
    </row>
    <row r="255" spans="1:7" s="763" customFormat="1" ht="18.75" customHeight="1">
      <c r="A255" s="757"/>
      <c r="B255" s="758"/>
      <c r="C255" s="759" t="s">
        <v>360</v>
      </c>
      <c r="D255" s="760">
        <f>SUM(D256,D259)</f>
        <v>61419</v>
      </c>
      <c r="E255" s="760">
        <f>SUM(E256,E259)</f>
        <v>49871.020000000004</v>
      </c>
      <c r="F255" s="761">
        <f t="shared" si="16"/>
        <v>81.1980331819144</v>
      </c>
      <c r="G255" s="762"/>
    </row>
    <row r="256" spans="1:7" s="770" customFormat="1" ht="18" customHeight="1">
      <c r="A256" s="764"/>
      <c r="B256" s="765"/>
      <c r="C256" s="766" t="s">
        <v>466</v>
      </c>
      <c r="D256" s="767">
        <f>SUM(D257,D258)</f>
        <v>47419</v>
      </c>
      <c r="E256" s="767">
        <f>SUM(E257,E258)</f>
        <v>36890.44</v>
      </c>
      <c r="F256" s="768">
        <f t="shared" si="16"/>
        <v>77.79674813893166</v>
      </c>
      <c r="G256" s="769"/>
    </row>
    <row r="257" spans="1:7" s="776" customFormat="1" ht="18.75" customHeight="1">
      <c r="A257" s="771"/>
      <c r="B257" s="772"/>
      <c r="C257" s="773" t="s">
        <v>910</v>
      </c>
      <c r="D257" s="774">
        <v>12347</v>
      </c>
      <c r="E257" s="774">
        <v>12347</v>
      </c>
      <c r="F257" s="775">
        <f t="shared" si="16"/>
        <v>100</v>
      </c>
      <c r="G257" s="769"/>
    </row>
    <row r="258" spans="1:7" s="776" customFormat="1" ht="18.75" customHeight="1">
      <c r="A258" s="771"/>
      <c r="B258" s="772"/>
      <c r="C258" s="773" t="s">
        <v>467</v>
      </c>
      <c r="D258" s="774">
        <v>35072</v>
      </c>
      <c r="E258" s="774">
        <v>24543.44</v>
      </c>
      <c r="F258" s="775">
        <f t="shared" si="16"/>
        <v>69.98015510948905</v>
      </c>
      <c r="G258" s="769"/>
    </row>
    <row r="259" spans="1:7" s="770" customFormat="1" ht="18.75" customHeight="1">
      <c r="A259" s="789"/>
      <c r="B259" s="765"/>
      <c r="C259" s="766" t="s">
        <v>468</v>
      </c>
      <c r="D259" s="767">
        <v>14000</v>
      </c>
      <c r="E259" s="767">
        <v>12980.58</v>
      </c>
      <c r="F259" s="768">
        <f t="shared" si="16"/>
        <v>92.71842857142857</v>
      </c>
      <c r="G259" s="782"/>
    </row>
    <row r="260" spans="1:7" s="515" customFormat="1" ht="18.75" customHeight="1">
      <c r="A260" s="786"/>
      <c r="B260" s="752" t="s">
        <v>1003</v>
      </c>
      <c r="C260" s="753" t="s">
        <v>1004</v>
      </c>
      <c r="D260" s="754">
        <f>SUM(D261)</f>
        <v>7000</v>
      </c>
      <c r="E260" s="754">
        <f>SUM(E261)</f>
        <v>4795.72</v>
      </c>
      <c r="F260" s="768">
        <f t="shared" si="16"/>
        <v>68.51028571428571</v>
      </c>
      <c r="G260" s="519"/>
    </row>
    <row r="261" spans="1:7" s="763" customFormat="1" ht="18.75" customHeight="1">
      <c r="A261" s="757"/>
      <c r="B261" s="758"/>
      <c r="C261" s="759" t="s">
        <v>360</v>
      </c>
      <c r="D261" s="760">
        <f>SUM(D262)</f>
        <v>7000</v>
      </c>
      <c r="E261" s="760">
        <f>SUM(E262)</f>
        <v>4795.72</v>
      </c>
      <c r="F261" s="761">
        <f t="shared" si="16"/>
        <v>68.51028571428571</v>
      </c>
      <c r="G261" s="762"/>
    </row>
    <row r="262" spans="1:7" s="770" customFormat="1" ht="18" customHeight="1">
      <c r="A262" s="764"/>
      <c r="B262" s="765"/>
      <c r="C262" s="766" t="s">
        <v>466</v>
      </c>
      <c r="D262" s="767">
        <f>SUM(D263,D264)</f>
        <v>7000</v>
      </c>
      <c r="E262" s="767">
        <f>SUM(E263,E264)</f>
        <v>4795.72</v>
      </c>
      <c r="F262" s="768">
        <f t="shared" si="16"/>
        <v>68.51028571428571</v>
      </c>
      <c r="G262" s="769"/>
    </row>
    <row r="263" spans="1:7" s="776" customFormat="1" ht="18.75" customHeight="1">
      <c r="A263" s="771"/>
      <c r="B263" s="772"/>
      <c r="C263" s="773" t="s">
        <v>910</v>
      </c>
      <c r="D263" s="774">
        <v>370</v>
      </c>
      <c r="E263" s="774">
        <v>370</v>
      </c>
      <c r="F263" s="775">
        <f t="shared" si="16"/>
        <v>100</v>
      </c>
      <c r="G263" s="769"/>
    </row>
    <row r="264" spans="1:7" s="776" customFormat="1" ht="18.75" customHeight="1">
      <c r="A264" s="771"/>
      <c r="B264" s="772"/>
      <c r="C264" s="773" t="s">
        <v>467</v>
      </c>
      <c r="D264" s="774">
        <v>6630</v>
      </c>
      <c r="E264" s="774">
        <v>4425.72</v>
      </c>
      <c r="F264" s="775">
        <f t="shared" si="16"/>
        <v>66.75294117647059</v>
      </c>
      <c r="G264" s="769"/>
    </row>
    <row r="265" spans="1:8" s="791" customFormat="1" ht="18.75" customHeight="1">
      <c r="A265" s="786"/>
      <c r="B265" s="752" t="s">
        <v>123</v>
      </c>
      <c r="C265" s="783" t="s">
        <v>124</v>
      </c>
      <c r="D265" s="754">
        <f>SUM(D266,D271)</f>
        <v>1375000</v>
      </c>
      <c r="E265" s="754">
        <f>SUM(E266,E271)</f>
        <v>1115874.26</v>
      </c>
      <c r="F265" s="755">
        <f t="shared" si="16"/>
        <v>81.15449163636363</v>
      </c>
      <c r="G265" s="769"/>
      <c r="H265" s="770"/>
    </row>
    <row r="266" spans="1:7" s="763" customFormat="1" ht="18.75" customHeight="1">
      <c r="A266" s="757"/>
      <c r="B266" s="758"/>
      <c r="C266" s="759" t="s">
        <v>360</v>
      </c>
      <c r="D266" s="760">
        <f>SUM(D267,D270)</f>
        <v>1225000</v>
      </c>
      <c r="E266" s="760">
        <f>SUM(E267,E270)</f>
        <v>1079479.46</v>
      </c>
      <c r="F266" s="761">
        <f t="shared" si="16"/>
        <v>88.12077224489796</v>
      </c>
      <c r="G266" s="762"/>
    </row>
    <row r="267" spans="1:7" s="770" customFormat="1" ht="18" customHeight="1">
      <c r="A267" s="764"/>
      <c r="B267" s="765"/>
      <c r="C267" s="766" t="s">
        <v>466</v>
      </c>
      <c r="D267" s="767">
        <f>SUM(D268,D269)</f>
        <v>703800</v>
      </c>
      <c r="E267" s="767">
        <f>SUM(E268,E269)</f>
        <v>559637.04</v>
      </c>
      <c r="F267" s="768">
        <f t="shared" si="16"/>
        <v>79.51648763853369</v>
      </c>
      <c r="G267" s="769"/>
    </row>
    <row r="268" spans="1:7" s="776" customFormat="1" ht="18.75" customHeight="1">
      <c r="A268" s="771"/>
      <c r="B268" s="772"/>
      <c r="C268" s="773" t="s">
        <v>910</v>
      </c>
      <c r="D268" s="774">
        <v>285361</v>
      </c>
      <c r="E268" s="774">
        <v>230613.6</v>
      </c>
      <c r="F268" s="775">
        <f t="shared" si="16"/>
        <v>80.81468736092178</v>
      </c>
      <c r="G268" s="769"/>
    </row>
    <row r="269" spans="1:7" s="776" customFormat="1" ht="18.75" customHeight="1">
      <c r="A269" s="771"/>
      <c r="B269" s="772"/>
      <c r="C269" s="773" t="s">
        <v>467</v>
      </c>
      <c r="D269" s="774">
        <v>418439</v>
      </c>
      <c r="E269" s="774">
        <v>329023.44</v>
      </c>
      <c r="F269" s="775">
        <f t="shared" si="16"/>
        <v>78.63116009740966</v>
      </c>
      <c r="G269" s="769"/>
    </row>
    <row r="270" spans="1:7" s="770" customFormat="1" ht="18.75" customHeight="1">
      <c r="A270" s="789"/>
      <c r="B270" s="765"/>
      <c r="C270" s="800" t="s">
        <v>468</v>
      </c>
      <c r="D270" s="767">
        <v>521200</v>
      </c>
      <c r="E270" s="767">
        <v>519842.42</v>
      </c>
      <c r="F270" s="768">
        <f t="shared" si="16"/>
        <v>99.73952801227935</v>
      </c>
      <c r="G270" s="769"/>
    </row>
    <row r="271" spans="1:7" s="763" customFormat="1" ht="18.75" customHeight="1">
      <c r="A271" s="757"/>
      <c r="B271" s="758"/>
      <c r="C271" s="759" t="s">
        <v>469</v>
      </c>
      <c r="D271" s="760">
        <f>SUM(D272)</f>
        <v>150000</v>
      </c>
      <c r="E271" s="760">
        <f>SUM(E272)</f>
        <v>36394.8</v>
      </c>
      <c r="F271" s="761">
        <f t="shared" si="16"/>
        <v>24.2632</v>
      </c>
      <c r="G271" s="762"/>
    </row>
    <row r="272" spans="1:7" s="770" customFormat="1" ht="18" customHeight="1">
      <c r="A272" s="764"/>
      <c r="B272" s="765"/>
      <c r="C272" s="766" t="s">
        <v>471</v>
      </c>
      <c r="D272" s="767">
        <v>150000</v>
      </c>
      <c r="E272" s="767">
        <v>36394.8</v>
      </c>
      <c r="F272" s="768">
        <f t="shared" si="16"/>
        <v>24.2632</v>
      </c>
      <c r="G272" s="769"/>
    </row>
    <row r="273" spans="1:7" s="770" customFormat="1" ht="18.75" customHeight="1">
      <c r="A273" s="786"/>
      <c r="B273" s="752" t="s">
        <v>1007</v>
      </c>
      <c r="C273" s="783" t="s">
        <v>1433</v>
      </c>
      <c r="D273" s="754">
        <f>SUM(D274)</f>
        <v>122700</v>
      </c>
      <c r="E273" s="754">
        <f>SUM(E274)</f>
        <v>114358.28</v>
      </c>
      <c r="F273" s="755">
        <f t="shared" si="16"/>
        <v>93.20153219233904</v>
      </c>
      <c r="G273" s="769"/>
    </row>
    <row r="274" spans="1:7" s="763" customFormat="1" ht="18.75" customHeight="1">
      <c r="A274" s="757"/>
      <c r="B274" s="758"/>
      <c r="C274" s="759" t="s">
        <v>360</v>
      </c>
      <c r="D274" s="760">
        <f>SUM(D275,D278)</f>
        <v>122700</v>
      </c>
      <c r="E274" s="760">
        <f>SUM(E275,E278)</f>
        <v>114358.28</v>
      </c>
      <c r="F274" s="761">
        <f t="shared" si="16"/>
        <v>93.20153219233904</v>
      </c>
      <c r="G274" s="762"/>
    </row>
    <row r="275" spans="1:7" s="770" customFormat="1" ht="18" customHeight="1">
      <c r="A275" s="764"/>
      <c r="B275" s="765"/>
      <c r="C275" s="766" t="s">
        <v>466</v>
      </c>
      <c r="D275" s="767">
        <f>SUM(D276,D277)</f>
        <v>102700</v>
      </c>
      <c r="E275" s="767">
        <f>SUM(E276,E277)</f>
        <v>94358.28</v>
      </c>
      <c r="F275" s="768">
        <f t="shared" si="16"/>
        <v>91.87758519961051</v>
      </c>
      <c r="G275" s="769"/>
    </row>
    <row r="276" spans="1:7" s="776" customFormat="1" ht="18.75" customHeight="1">
      <c r="A276" s="771"/>
      <c r="B276" s="772"/>
      <c r="C276" s="773" t="s">
        <v>910</v>
      </c>
      <c r="D276" s="774">
        <v>11118</v>
      </c>
      <c r="E276" s="774">
        <v>7622.22</v>
      </c>
      <c r="F276" s="775">
        <f t="shared" si="16"/>
        <v>68.55747436589314</v>
      </c>
      <c r="G276" s="769"/>
    </row>
    <row r="277" spans="1:7" s="776" customFormat="1" ht="18.75" customHeight="1">
      <c r="A277" s="771"/>
      <c r="B277" s="772"/>
      <c r="C277" s="773" t="s">
        <v>467</v>
      </c>
      <c r="D277" s="774">
        <v>91582</v>
      </c>
      <c r="E277" s="774">
        <v>86736.06</v>
      </c>
      <c r="F277" s="775">
        <f t="shared" si="16"/>
        <v>94.70863270074905</v>
      </c>
      <c r="G277" s="769"/>
    </row>
    <row r="278" spans="1:7" s="770" customFormat="1" ht="18.75" customHeight="1">
      <c r="A278" s="789"/>
      <c r="B278" s="765"/>
      <c r="C278" s="800" t="s">
        <v>468</v>
      </c>
      <c r="D278" s="767">
        <v>20000</v>
      </c>
      <c r="E278" s="767">
        <v>20000</v>
      </c>
      <c r="F278" s="768">
        <f t="shared" si="16"/>
        <v>100</v>
      </c>
      <c r="G278" s="769"/>
    </row>
    <row r="279" spans="1:8" s="791" customFormat="1" ht="18.75" customHeight="1">
      <c r="A279" s="787" t="s">
        <v>679</v>
      </c>
      <c r="B279" s="747"/>
      <c r="C279" s="784" t="s">
        <v>1008</v>
      </c>
      <c r="D279" s="749">
        <f>SUM(D280,D284,D288,D293,D300,D306,D314,D317,D320,D328,D334)</f>
        <v>13442357</v>
      </c>
      <c r="E279" s="749">
        <f>SUM(E280,E284,E288,E293,E300,E306,E314,E317,E320,E328,E334)</f>
        <v>13281147.090000002</v>
      </c>
      <c r="F279" s="750">
        <f t="shared" si="16"/>
        <v>98.80073182106383</v>
      </c>
      <c r="G279" s="769"/>
      <c r="H279" s="770"/>
    </row>
    <row r="280" spans="1:7" s="515" customFormat="1" ht="18.75" customHeight="1">
      <c r="A280" s="786"/>
      <c r="B280" s="752" t="s">
        <v>680</v>
      </c>
      <c r="C280" s="783" t="s">
        <v>1009</v>
      </c>
      <c r="D280" s="754">
        <f aca="true" t="shared" si="17" ref="D280:E282">SUM(D281)</f>
        <v>450000</v>
      </c>
      <c r="E280" s="754">
        <f t="shared" si="17"/>
        <v>427354.19</v>
      </c>
      <c r="F280" s="755">
        <f t="shared" si="16"/>
        <v>94.96759777777778</v>
      </c>
      <c r="G280" s="519"/>
    </row>
    <row r="281" spans="1:7" s="763" customFormat="1" ht="18.75" customHeight="1">
      <c r="A281" s="757"/>
      <c r="B281" s="758"/>
      <c r="C281" s="759" t="s">
        <v>360</v>
      </c>
      <c r="D281" s="760">
        <f t="shared" si="17"/>
        <v>450000</v>
      </c>
      <c r="E281" s="760">
        <f t="shared" si="17"/>
        <v>427354.19</v>
      </c>
      <c r="F281" s="761">
        <f t="shared" si="16"/>
        <v>94.96759777777778</v>
      </c>
      <c r="G281" s="762"/>
    </row>
    <row r="282" spans="1:7" s="770" customFormat="1" ht="18" customHeight="1">
      <c r="A282" s="764"/>
      <c r="B282" s="765"/>
      <c r="C282" s="766" t="s">
        <v>466</v>
      </c>
      <c r="D282" s="767">
        <f t="shared" si="17"/>
        <v>450000</v>
      </c>
      <c r="E282" s="767">
        <f t="shared" si="17"/>
        <v>427354.19</v>
      </c>
      <c r="F282" s="768">
        <f t="shared" si="16"/>
        <v>94.96759777777778</v>
      </c>
      <c r="G282" s="769"/>
    </row>
    <row r="283" spans="1:7" s="776" customFormat="1" ht="18.75" customHeight="1">
      <c r="A283" s="771"/>
      <c r="B283" s="772"/>
      <c r="C283" s="773" t="s">
        <v>467</v>
      </c>
      <c r="D283" s="774">
        <v>450000</v>
      </c>
      <c r="E283" s="774">
        <v>427354.19</v>
      </c>
      <c r="F283" s="775">
        <f t="shared" si="16"/>
        <v>94.96759777777778</v>
      </c>
      <c r="G283" s="769"/>
    </row>
    <row r="284" spans="1:8" s="791" customFormat="1" ht="18.75" customHeight="1">
      <c r="A284" s="786"/>
      <c r="B284" s="752" t="s">
        <v>1010</v>
      </c>
      <c r="C284" s="753" t="s">
        <v>1011</v>
      </c>
      <c r="D284" s="754">
        <f>SUM(D287)</f>
        <v>504156</v>
      </c>
      <c r="E284" s="754">
        <f>SUM(E287)</f>
        <v>449935.67</v>
      </c>
      <c r="F284" s="768">
        <f aca="true" t="shared" si="18" ref="F284:F317">E284/D284*100</f>
        <v>89.24532684327866</v>
      </c>
      <c r="G284" s="769"/>
      <c r="H284" s="770"/>
    </row>
    <row r="285" spans="1:7" s="763" customFormat="1" ht="18.75" customHeight="1">
      <c r="A285" s="757"/>
      <c r="B285" s="758"/>
      <c r="C285" s="759" t="s">
        <v>360</v>
      </c>
      <c r="D285" s="760">
        <f>SUM(D286)</f>
        <v>504156</v>
      </c>
      <c r="E285" s="760">
        <f>SUM(E286)</f>
        <v>449935.67</v>
      </c>
      <c r="F285" s="761">
        <f t="shared" si="18"/>
        <v>89.24532684327866</v>
      </c>
      <c r="G285" s="762"/>
    </row>
    <row r="286" spans="1:7" s="770" customFormat="1" ht="18" customHeight="1">
      <c r="A286" s="764"/>
      <c r="B286" s="765"/>
      <c r="C286" s="766" t="s">
        <v>466</v>
      </c>
      <c r="D286" s="767">
        <f>SUM(D287)</f>
        <v>504156</v>
      </c>
      <c r="E286" s="767">
        <f>SUM(E287)</f>
        <v>449935.67</v>
      </c>
      <c r="F286" s="768">
        <f t="shared" si="18"/>
        <v>89.24532684327866</v>
      </c>
      <c r="G286" s="769"/>
    </row>
    <row r="287" spans="1:7" s="776" customFormat="1" ht="18.75" customHeight="1">
      <c r="A287" s="771"/>
      <c r="B287" s="772"/>
      <c r="C287" s="773" t="s">
        <v>467</v>
      </c>
      <c r="D287" s="774">
        <v>504156</v>
      </c>
      <c r="E287" s="774">
        <v>449935.67</v>
      </c>
      <c r="F287" s="775">
        <f t="shared" si="18"/>
        <v>89.24532684327866</v>
      </c>
      <c r="G287" s="769"/>
    </row>
    <row r="288" spans="1:7" s="770" customFormat="1" ht="18.75" customHeight="1">
      <c r="A288" s="786"/>
      <c r="B288" s="752" t="s">
        <v>691</v>
      </c>
      <c r="C288" s="783" t="s">
        <v>405</v>
      </c>
      <c r="D288" s="754">
        <f>SUM(D289)</f>
        <v>139007</v>
      </c>
      <c r="E288" s="754">
        <f>SUM(E289)</f>
        <v>135273</v>
      </c>
      <c r="F288" s="755">
        <f t="shared" si="18"/>
        <v>97.3138043407886</v>
      </c>
      <c r="G288" s="769"/>
    </row>
    <row r="289" spans="1:7" s="763" customFormat="1" ht="18.75" customHeight="1">
      <c r="A289" s="757"/>
      <c r="B289" s="758"/>
      <c r="C289" s="759" t="s">
        <v>360</v>
      </c>
      <c r="D289" s="760">
        <f>SUM(D290,D292)</f>
        <v>139007</v>
      </c>
      <c r="E289" s="760">
        <f>SUM(E290,E292)</f>
        <v>135273</v>
      </c>
      <c r="F289" s="761">
        <f t="shared" si="18"/>
        <v>97.3138043407886</v>
      </c>
      <c r="G289" s="762"/>
    </row>
    <row r="290" spans="1:7" s="770" customFormat="1" ht="18" customHeight="1" hidden="1">
      <c r="A290" s="764"/>
      <c r="B290" s="765"/>
      <c r="C290" s="766" t="s">
        <v>466</v>
      </c>
      <c r="D290" s="767">
        <f>SUM(D291)</f>
        <v>0</v>
      </c>
      <c r="E290" s="767">
        <f>SUM(E291)</f>
        <v>0</v>
      </c>
      <c r="F290" s="768" t="e">
        <f t="shared" si="18"/>
        <v>#DIV/0!</v>
      </c>
      <c r="G290" s="769"/>
    </row>
    <row r="291" spans="1:7" s="776" customFormat="1" ht="18.75" customHeight="1" hidden="1">
      <c r="A291" s="771"/>
      <c r="B291" s="772"/>
      <c r="C291" s="773" t="s">
        <v>467</v>
      </c>
      <c r="D291" s="774">
        <v>0</v>
      </c>
      <c r="E291" s="774">
        <v>0</v>
      </c>
      <c r="F291" s="775" t="e">
        <f t="shared" si="18"/>
        <v>#DIV/0!</v>
      </c>
      <c r="G291" s="769"/>
    </row>
    <row r="292" spans="1:7" s="770" customFormat="1" ht="18.75" customHeight="1">
      <c r="A292" s="789"/>
      <c r="B292" s="765"/>
      <c r="C292" s="800" t="s">
        <v>468</v>
      </c>
      <c r="D292" s="767">
        <v>139007</v>
      </c>
      <c r="E292" s="767">
        <v>135273</v>
      </c>
      <c r="F292" s="768">
        <f t="shared" si="18"/>
        <v>97.3138043407886</v>
      </c>
      <c r="G292" s="769"/>
    </row>
    <row r="293" spans="1:7" s="515" customFormat="1" ht="40.5" customHeight="1">
      <c r="A293" s="786"/>
      <c r="B293" s="752" t="s">
        <v>681</v>
      </c>
      <c r="C293" s="263" t="s">
        <v>1056</v>
      </c>
      <c r="D293" s="754">
        <f>SUM(D294)</f>
        <v>5841405</v>
      </c>
      <c r="E293" s="754">
        <f>SUM(E294)</f>
        <v>5816829.07</v>
      </c>
      <c r="F293" s="768">
        <f t="shared" si="18"/>
        <v>99.57928049844173</v>
      </c>
      <c r="G293" s="519"/>
    </row>
    <row r="294" spans="1:7" s="763" customFormat="1" ht="18.75" customHeight="1">
      <c r="A294" s="757"/>
      <c r="B294" s="758"/>
      <c r="C294" s="759" t="s">
        <v>360</v>
      </c>
      <c r="D294" s="760">
        <f>SUM(D295,D298,D299)</f>
        <v>5841405</v>
      </c>
      <c r="E294" s="760">
        <f>SUM(E295,E298,E299)</f>
        <v>5816829.07</v>
      </c>
      <c r="F294" s="761">
        <f t="shared" si="18"/>
        <v>99.57928049844173</v>
      </c>
      <c r="G294" s="762"/>
    </row>
    <row r="295" spans="1:7" s="770" customFormat="1" ht="18" customHeight="1">
      <c r="A295" s="764"/>
      <c r="B295" s="765"/>
      <c r="C295" s="766" t="s">
        <v>466</v>
      </c>
      <c r="D295" s="767">
        <f>SUM(D296,D297)</f>
        <v>315148</v>
      </c>
      <c r="E295" s="767">
        <f>SUM(E296,E297)</f>
        <v>310527.34</v>
      </c>
      <c r="F295" s="768">
        <f t="shared" si="18"/>
        <v>98.5338126848338</v>
      </c>
      <c r="G295" s="769"/>
    </row>
    <row r="296" spans="1:7" s="776" customFormat="1" ht="18.75" customHeight="1">
      <c r="A296" s="771"/>
      <c r="B296" s="772"/>
      <c r="C296" s="773" t="s">
        <v>910</v>
      </c>
      <c r="D296" s="774">
        <v>271816</v>
      </c>
      <c r="E296" s="774">
        <v>270955.69</v>
      </c>
      <c r="F296" s="775">
        <f t="shared" si="18"/>
        <v>99.68349545280631</v>
      </c>
      <c r="G296" s="769"/>
    </row>
    <row r="297" spans="1:7" s="776" customFormat="1" ht="18.75" customHeight="1">
      <c r="A297" s="771"/>
      <c r="B297" s="772"/>
      <c r="C297" s="773" t="s">
        <v>467</v>
      </c>
      <c r="D297" s="774">
        <v>43332</v>
      </c>
      <c r="E297" s="774">
        <v>39571.65</v>
      </c>
      <c r="F297" s="775">
        <f t="shared" si="18"/>
        <v>91.32200221545278</v>
      </c>
      <c r="G297" s="769"/>
    </row>
    <row r="298" spans="1:7" s="770" customFormat="1" ht="18.75" customHeight="1">
      <c r="A298" s="789"/>
      <c r="B298" s="765"/>
      <c r="C298" s="800" t="s">
        <v>468</v>
      </c>
      <c r="D298" s="767">
        <v>35000</v>
      </c>
      <c r="E298" s="767">
        <v>24945</v>
      </c>
      <c r="F298" s="768">
        <f t="shared" si="18"/>
        <v>71.27142857142857</v>
      </c>
      <c r="G298" s="769"/>
    </row>
    <row r="299" spans="1:7" s="770" customFormat="1" ht="18.75" customHeight="1">
      <c r="A299" s="789"/>
      <c r="B299" s="765"/>
      <c r="C299" s="790" t="s">
        <v>487</v>
      </c>
      <c r="D299" s="767">
        <v>5491257</v>
      </c>
      <c r="E299" s="767">
        <v>5481356.73</v>
      </c>
      <c r="F299" s="768">
        <f t="shared" si="18"/>
        <v>99.81970849297348</v>
      </c>
      <c r="G299" s="769"/>
    </row>
    <row r="300" spans="1:7" s="515" customFormat="1" ht="65.25" customHeight="1">
      <c r="A300" s="786"/>
      <c r="B300" s="575" t="s">
        <v>682</v>
      </c>
      <c r="C300" s="753" t="s">
        <v>356</v>
      </c>
      <c r="D300" s="754">
        <f>D301</f>
        <v>92930</v>
      </c>
      <c r="E300" s="754">
        <f>E301</f>
        <v>89348.5</v>
      </c>
      <c r="F300" s="755">
        <f t="shared" si="18"/>
        <v>96.14602388894868</v>
      </c>
      <c r="G300" s="519"/>
    </row>
    <row r="301" spans="1:7" s="763" customFormat="1" ht="18.75" customHeight="1">
      <c r="A301" s="757"/>
      <c r="B301" s="758"/>
      <c r="C301" s="759" t="s">
        <v>360</v>
      </c>
      <c r="D301" s="760">
        <f>SUM(D302,D305)</f>
        <v>92930</v>
      </c>
      <c r="E301" s="760">
        <f>SUM(E302,E305)</f>
        <v>89348.5</v>
      </c>
      <c r="F301" s="761">
        <f t="shared" si="18"/>
        <v>96.14602388894868</v>
      </c>
      <c r="G301" s="762"/>
    </row>
    <row r="302" spans="1:7" s="770" customFormat="1" ht="18" customHeight="1">
      <c r="A302" s="764"/>
      <c r="B302" s="765"/>
      <c r="C302" s="766" t="s">
        <v>466</v>
      </c>
      <c r="D302" s="767">
        <f>SUM(D303,D304)</f>
        <v>91930</v>
      </c>
      <c r="E302" s="767">
        <f>SUM(E303,E304)</f>
        <v>88879.42</v>
      </c>
      <c r="F302" s="768">
        <f t="shared" si="18"/>
        <v>96.68162732513869</v>
      </c>
      <c r="G302" s="769"/>
    </row>
    <row r="303" spans="1:7" s="776" customFormat="1" ht="18.75" customHeight="1" hidden="1">
      <c r="A303" s="771"/>
      <c r="B303" s="772"/>
      <c r="C303" s="773"/>
      <c r="D303" s="774"/>
      <c r="E303" s="774"/>
      <c r="F303" s="775"/>
      <c r="G303" s="769"/>
    </row>
    <row r="304" spans="1:7" s="776" customFormat="1" ht="18.75" customHeight="1">
      <c r="A304" s="771"/>
      <c r="B304" s="772"/>
      <c r="C304" s="773" t="s">
        <v>910</v>
      </c>
      <c r="D304" s="774">
        <v>91930</v>
      </c>
      <c r="E304" s="774">
        <v>88879.42</v>
      </c>
      <c r="F304" s="775">
        <f>E304/D304*100</f>
        <v>96.68162732513869</v>
      </c>
      <c r="G304" s="769"/>
    </row>
    <row r="305" spans="1:7" s="770" customFormat="1" ht="18.75" customHeight="1">
      <c r="A305" s="789"/>
      <c r="B305" s="765"/>
      <c r="C305" s="800" t="s">
        <v>468</v>
      </c>
      <c r="D305" s="767">
        <v>1000</v>
      </c>
      <c r="E305" s="767">
        <v>469.08</v>
      </c>
      <c r="F305" s="768">
        <f t="shared" si="18"/>
        <v>46.908</v>
      </c>
      <c r="G305" s="769"/>
    </row>
    <row r="306" spans="1:7" s="515" customFormat="1" ht="30" customHeight="1">
      <c r="A306" s="786"/>
      <c r="B306" s="575" t="s">
        <v>683</v>
      </c>
      <c r="C306" s="753" t="s">
        <v>881</v>
      </c>
      <c r="D306" s="754">
        <f>D307</f>
        <v>1388700</v>
      </c>
      <c r="E306" s="754">
        <f>E307</f>
        <v>1362901.27</v>
      </c>
      <c r="F306" s="755">
        <f t="shared" si="18"/>
        <v>98.14223878447469</v>
      </c>
      <c r="G306" s="519"/>
    </row>
    <row r="307" spans="1:7" s="763" customFormat="1" ht="18.75" customHeight="1">
      <c r="A307" s="757"/>
      <c r="B307" s="758"/>
      <c r="C307" s="759" t="s">
        <v>360</v>
      </c>
      <c r="D307" s="760">
        <f>SUM(D308,D311,D312,D313)</f>
        <v>1388700</v>
      </c>
      <c r="E307" s="760">
        <f>SUM(E308,E311,E312,E313)</f>
        <v>1362901.27</v>
      </c>
      <c r="F307" s="761">
        <f t="shared" si="18"/>
        <v>98.14223878447469</v>
      </c>
      <c r="G307" s="762"/>
    </row>
    <row r="308" spans="1:7" s="770" customFormat="1" ht="18" customHeight="1">
      <c r="A308" s="764"/>
      <c r="B308" s="765"/>
      <c r="C308" s="766" t="s">
        <v>466</v>
      </c>
      <c r="D308" s="767">
        <f>SUM(D309,D310)</f>
        <v>4000</v>
      </c>
      <c r="E308" s="767">
        <f>SUM(E309,E310)</f>
        <v>1074.96</v>
      </c>
      <c r="F308" s="768">
        <f t="shared" si="18"/>
        <v>26.874000000000002</v>
      </c>
      <c r="G308" s="769"/>
    </row>
    <row r="309" spans="1:7" s="776" customFormat="1" ht="18.75" customHeight="1">
      <c r="A309" s="771"/>
      <c r="B309" s="772"/>
      <c r="C309" s="773" t="s">
        <v>910</v>
      </c>
      <c r="D309" s="774">
        <v>1500</v>
      </c>
      <c r="E309" s="774">
        <v>1074.96</v>
      </c>
      <c r="F309" s="775">
        <f t="shared" si="18"/>
        <v>71.664</v>
      </c>
      <c r="G309" s="769"/>
    </row>
    <row r="310" spans="1:7" s="776" customFormat="1" ht="18.75" customHeight="1">
      <c r="A310" s="771"/>
      <c r="B310" s="772"/>
      <c r="C310" s="773" t="s">
        <v>467</v>
      </c>
      <c r="D310" s="774">
        <v>2500</v>
      </c>
      <c r="E310" s="774">
        <v>0</v>
      </c>
      <c r="F310" s="775">
        <f t="shared" si="18"/>
        <v>0</v>
      </c>
      <c r="G310" s="769"/>
    </row>
    <row r="311" spans="1:7" s="770" customFormat="1" ht="18.75" customHeight="1">
      <c r="A311" s="789"/>
      <c r="B311" s="765"/>
      <c r="C311" s="800" t="s">
        <v>468</v>
      </c>
      <c r="D311" s="767">
        <v>18000</v>
      </c>
      <c r="E311" s="767">
        <v>6587.81</v>
      </c>
      <c r="F311" s="768">
        <f t="shared" si="18"/>
        <v>36.59894444444445</v>
      </c>
      <c r="G311" s="769"/>
    </row>
    <row r="312" spans="1:7" s="770" customFormat="1" ht="18.75" customHeight="1">
      <c r="A312" s="789"/>
      <c r="B312" s="765"/>
      <c r="C312" s="790" t="s">
        <v>487</v>
      </c>
      <c r="D312" s="767">
        <v>1359359</v>
      </c>
      <c r="E312" s="767">
        <v>1347897.5</v>
      </c>
      <c r="F312" s="768">
        <f t="shared" si="18"/>
        <v>99.15684524838545</v>
      </c>
      <c r="G312" s="769"/>
    </row>
    <row r="313" spans="1:7" s="770" customFormat="1" ht="18.75" customHeight="1">
      <c r="A313" s="789"/>
      <c r="B313" s="765"/>
      <c r="C313" s="790" t="s">
        <v>495</v>
      </c>
      <c r="D313" s="767">
        <v>7341</v>
      </c>
      <c r="E313" s="767">
        <v>7341</v>
      </c>
      <c r="F313" s="768">
        <f>E313/D313*100</f>
        <v>100</v>
      </c>
      <c r="G313" s="769"/>
    </row>
    <row r="314" spans="1:7" s="515" customFormat="1" ht="18.75" customHeight="1">
      <c r="A314" s="786"/>
      <c r="B314" s="752" t="s">
        <v>684</v>
      </c>
      <c r="C314" s="783" t="s">
        <v>130</v>
      </c>
      <c r="D314" s="754">
        <f>D316</f>
        <v>934995</v>
      </c>
      <c r="E314" s="754">
        <f>E316</f>
        <v>930135.22</v>
      </c>
      <c r="F314" s="755">
        <f t="shared" si="18"/>
        <v>99.48023465366124</v>
      </c>
      <c r="G314" s="519"/>
    </row>
    <row r="315" spans="1:7" s="763" customFormat="1" ht="18.75" customHeight="1">
      <c r="A315" s="757"/>
      <c r="B315" s="758"/>
      <c r="C315" s="759" t="s">
        <v>360</v>
      </c>
      <c r="D315" s="760">
        <f>SUM(D316)</f>
        <v>934995</v>
      </c>
      <c r="E315" s="760">
        <f>SUM(E316)</f>
        <v>930135.22</v>
      </c>
      <c r="F315" s="761">
        <f t="shared" si="18"/>
        <v>99.48023465366124</v>
      </c>
      <c r="G315" s="762"/>
    </row>
    <row r="316" spans="1:7" s="770" customFormat="1" ht="18.75" customHeight="1">
      <c r="A316" s="789"/>
      <c r="B316" s="765"/>
      <c r="C316" s="790" t="s">
        <v>487</v>
      </c>
      <c r="D316" s="767">
        <v>934995</v>
      </c>
      <c r="E316" s="767">
        <v>930135.22</v>
      </c>
      <c r="F316" s="768">
        <f t="shared" si="18"/>
        <v>99.48023465366124</v>
      </c>
      <c r="G316" s="769"/>
    </row>
    <row r="317" spans="1:7" s="515" customFormat="1" ht="18.75" customHeight="1">
      <c r="A317" s="786"/>
      <c r="B317" s="752" t="s">
        <v>644</v>
      </c>
      <c r="C317" s="783" t="s">
        <v>937</v>
      </c>
      <c r="D317" s="754">
        <f>D319</f>
        <v>773000</v>
      </c>
      <c r="E317" s="754">
        <f>E319</f>
        <v>772958.98</v>
      </c>
      <c r="F317" s="755">
        <f t="shared" si="18"/>
        <v>99.99469340232858</v>
      </c>
      <c r="G317" s="519"/>
    </row>
    <row r="318" spans="1:7" s="763" customFormat="1" ht="18.75" customHeight="1">
      <c r="A318" s="757"/>
      <c r="B318" s="758"/>
      <c r="C318" s="759" t="s">
        <v>360</v>
      </c>
      <c r="D318" s="760">
        <f>SUM(D319)</f>
        <v>773000</v>
      </c>
      <c r="E318" s="760">
        <f>SUM(E319)</f>
        <v>772958.98</v>
      </c>
      <c r="F318" s="761">
        <f aca="true" t="shared" si="19" ref="F318:F333">E318/D318*100</f>
        <v>99.99469340232858</v>
      </c>
      <c r="G318" s="762"/>
    </row>
    <row r="319" spans="1:7" s="770" customFormat="1" ht="18.75" customHeight="1">
      <c r="A319" s="789"/>
      <c r="B319" s="765"/>
      <c r="C319" s="790" t="s">
        <v>487</v>
      </c>
      <c r="D319" s="767">
        <v>773000</v>
      </c>
      <c r="E319" s="767">
        <v>772958.98</v>
      </c>
      <c r="F319" s="768">
        <f t="shared" si="19"/>
        <v>99.99469340232858</v>
      </c>
      <c r="G319" s="769"/>
    </row>
    <row r="320" spans="1:7" s="770" customFormat="1" ht="18.75" customHeight="1">
      <c r="A320" s="786"/>
      <c r="B320" s="752" t="s">
        <v>685</v>
      </c>
      <c r="C320" s="753" t="s">
        <v>131</v>
      </c>
      <c r="D320" s="754">
        <f>SUM(D321,D326)</f>
        <v>1902475</v>
      </c>
      <c r="E320" s="754">
        <f>SUM(E321,E326)</f>
        <v>1894766.8000000003</v>
      </c>
      <c r="F320" s="755">
        <f t="shared" si="19"/>
        <v>99.59483304642637</v>
      </c>
      <c r="G320" s="769"/>
    </row>
    <row r="321" spans="1:7" s="763" customFormat="1" ht="18.75" customHeight="1">
      <c r="A321" s="757"/>
      <c r="B321" s="758"/>
      <c r="C321" s="759" t="s">
        <v>360</v>
      </c>
      <c r="D321" s="760">
        <f>SUM(D322,D325)</f>
        <v>1894725</v>
      </c>
      <c r="E321" s="760">
        <f>SUM(E322,E325)</f>
        <v>1887105.2000000002</v>
      </c>
      <c r="F321" s="761">
        <f t="shared" si="19"/>
        <v>99.5978413753975</v>
      </c>
      <c r="G321" s="762"/>
    </row>
    <row r="322" spans="1:7" s="770" customFormat="1" ht="18" customHeight="1">
      <c r="A322" s="764"/>
      <c r="B322" s="765"/>
      <c r="C322" s="766" t="s">
        <v>466</v>
      </c>
      <c r="D322" s="767">
        <f>SUM(D323,D324)</f>
        <v>1887660</v>
      </c>
      <c r="E322" s="767">
        <f>SUM(E323,E324)</f>
        <v>1880040.62</v>
      </c>
      <c r="F322" s="768">
        <f t="shared" si="19"/>
        <v>99.59635845438268</v>
      </c>
      <c r="G322" s="769"/>
    </row>
    <row r="323" spans="1:7" s="770" customFormat="1" ht="18" customHeight="1">
      <c r="A323" s="764"/>
      <c r="B323" s="765"/>
      <c r="C323" s="773" t="s">
        <v>910</v>
      </c>
      <c r="D323" s="774">
        <v>1455040</v>
      </c>
      <c r="E323" s="774">
        <v>1450568.1</v>
      </c>
      <c r="F323" s="775">
        <f t="shared" si="19"/>
        <v>99.69266137013416</v>
      </c>
      <c r="G323" s="769"/>
    </row>
    <row r="324" spans="1:7" s="776" customFormat="1" ht="18.75" customHeight="1">
      <c r="A324" s="771"/>
      <c r="B324" s="772"/>
      <c r="C324" s="773" t="s">
        <v>467</v>
      </c>
      <c r="D324" s="774">
        <v>432620</v>
      </c>
      <c r="E324" s="774">
        <v>429472.52</v>
      </c>
      <c r="F324" s="775">
        <f t="shared" si="19"/>
        <v>99.27246082011928</v>
      </c>
      <c r="G324" s="769"/>
    </row>
    <row r="325" spans="1:7" s="770" customFormat="1" ht="18.75" customHeight="1">
      <c r="A325" s="789"/>
      <c r="B325" s="765"/>
      <c r="C325" s="800" t="s">
        <v>487</v>
      </c>
      <c r="D325" s="767">
        <v>7065</v>
      </c>
      <c r="E325" s="767">
        <v>7064.58</v>
      </c>
      <c r="F325" s="768">
        <f t="shared" si="19"/>
        <v>99.99405520169852</v>
      </c>
      <c r="G325" s="769"/>
    </row>
    <row r="326" spans="1:7" s="763" customFormat="1" ht="18.75" customHeight="1">
      <c r="A326" s="757"/>
      <c r="B326" s="758"/>
      <c r="C326" s="759" t="s">
        <v>469</v>
      </c>
      <c r="D326" s="760">
        <f>SUM(D327)</f>
        <v>7750</v>
      </c>
      <c r="E326" s="760">
        <f>SUM(E327)</f>
        <v>7661.6</v>
      </c>
      <c r="F326" s="761">
        <f t="shared" si="19"/>
        <v>98.85935483870968</v>
      </c>
      <c r="G326" s="762"/>
    </row>
    <row r="327" spans="1:7" s="770" customFormat="1" ht="18" customHeight="1">
      <c r="A327" s="764"/>
      <c r="B327" s="765"/>
      <c r="C327" s="766" t="s">
        <v>470</v>
      </c>
      <c r="D327" s="767">
        <v>7750</v>
      </c>
      <c r="E327" s="767">
        <v>7661.6</v>
      </c>
      <c r="F327" s="768">
        <f t="shared" si="19"/>
        <v>98.85935483870968</v>
      </c>
      <c r="G327" s="769"/>
    </row>
    <row r="328" spans="1:8" s="791" customFormat="1" ht="27" customHeight="1">
      <c r="A328" s="786"/>
      <c r="B328" s="752" t="s">
        <v>687</v>
      </c>
      <c r="C328" s="753" t="s">
        <v>134</v>
      </c>
      <c r="D328" s="754">
        <f>D329</f>
        <v>789218</v>
      </c>
      <c r="E328" s="754">
        <f>E329</f>
        <v>777174.78</v>
      </c>
      <c r="F328" s="755">
        <f t="shared" si="19"/>
        <v>98.4740312562562</v>
      </c>
      <c r="G328" s="769"/>
      <c r="H328" s="770"/>
    </row>
    <row r="329" spans="1:7" s="763" customFormat="1" ht="18.75" customHeight="1">
      <c r="A329" s="757"/>
      <c r="B329" s="758"/>
      <c r="C329" s="759" t="s">
        <v>360</v>
      </c>
      <c r="D329" s="760">
        <f>SUM(D330,D333)</f>
        <v>789218</v>
      </c>
      <c r="E329" s="760">
        <f>SUM(E330,E333)</f>
        <v>777174.78</v>
      </c>
      <c r="F329" s="761">
        <f t="shared" si="19"/>
        <v>98.4740312562562</v>
      </c>
      <c r="G329" s="762"/>
    </row>
    <row r="330" spans="1:7" s="770" customFormat="1" ht="18" customHeight="1">
      <c r="A330" s="764"/>
      <c r="B330" s="765"/>
      <c r="C330" s="766" t="s">
        <v>466</v>
      </c>
      <c r="D330" s="767">
        <f>SUM(D332,D331)</f>
        <v>779016</v>
      </c>
      <c r="E330" s="767">
        <f>SUM(E332,E331)</f>
        <v>766979.62</v>
      </c>
      <c r="F330" s="768">
        <f t="shared" si="19"/>
        <v>98.45492518767264</v>
      </c>
      <c r="G330" s="769"/>
    </row>
    <row r="331" spans="1:7" s="776" customFormat="1" ht="18.75" customHeight="1">
      <c r="A331" s="771"/>
      <c r="B331" s="772"/>
      <c r="C331" s="773" t="s">
        <v>910</v>
      </c>
      <c r="D331" s="774">
        <v>719102</v>
      </c>
      <c r="E331" s="774">
        <v>714431.02</v>
      </c>
      <c r="F331" s="775">
        <f t="shared" si="19"/>
        <v>99.35044263539804</v>
      </c>
      <c r="G331" s="769"/>
    </row>
    <row r="332" spans="1:7" s="776" customFormat="1" ht="18.75" customHeight="1">
      <c r="A332" s="771"/>
      <c r="B332" s="772"/>
      <c r="C332" s="773" t="s">
        <v>467</v>
      </c>
      <c r="D332" s="774">
        <v>59914</v>
      </c>
      <c r="E332" s="774">
        <v>52548.6</v>
      </c>
      <c r="F332" s="775">
        <f t="shared" si="19"/>
        <v>87.70671295523583</v>
      </c>
      <c r="G332" s="769"/>
    </row>
    <row r="333" spans="1:7" s="770" customFormat="1" ht="18.75" customHeight="1">
      <c r="A333" s="789"/>
      <c r="B333" s="765"/>
      <c r="C333" s="800" t="s">
        <v>487</v>
      </c>
      <c r="D333" s="767">
        <v>10202</v>
      </c>
      <c r="E333" s="767">
        <v>10195.16</v>
      </c>
      <c r="F333" s="768">
        <f t="shared" si="19"/>
        <v>99.93295432268182</v>
      </c>
      <c r="G333" s="769"/>
    </row>
    <row r="334" spans="1:7" s="770" customFormat="1" ht="18.75" customHeight="1">
      <c r="A334" s="786"/>
      <c r="B334" s="752" t="s">
        <v>689</v>
      </c>
      <c r="C334" s="783" t="s">
        <v>1433</v>
      </c>
      <c r="D334" s="754">
        <f>SUM(D335)</f>
        <v>626471</v>
      </c>
      <c r="E334" s="754">
        <f>SUM(E335)</f>
        <v>624469.61</v>
      </c>
      <c r="F334" s="755">
        <f aca="true" t="shared" si="20" ref="F334:F342">E334/D334*100</f>
        <v>99.68052950575526</v>
      </c>
      <c r="G334" s="769"/>
    </row>
    <row r="335" spans="1:7" s="763" customFormat="1" ht="18.75" customHeight="1">
      <c r="A335" s="757"/>
      <c r="B335" s="758"/>
      <c r="C335" s="759" t="s">
        <v>360</v>
      </c>
      <c r="D335" s="760">
        <f>SUM(D336,D339)</f>
        <v>626471</v>
      </c>
      <c r="E335" s="760">
        <f>SUM(E336,E339)</f>
        <v>624469.61</v>
      </c>
      <c r="F335" s="761">
        <f t="shared" si="20"/>
        <v>99.68052950575526</v>
      </c>
      <c r="G335" s="762"/>
    </row>
    <row r="336" spans="1:7" s="770" customFormat="1" ht="18" customHeight="1">
      <c r="A336" s="764"/>
      <c r="B336" s="765"/>
      <c r="C336" s="766" t="s">
        <v>466</v>
      </c>
      <c r="D336" s="767">
        <f>SUM(D338,D337)</f>
        <v>36551</v>
      </c>
      <c r="E336" s="767">
        <f>SUM(E338,E337)</f>
        <v>34549.61</v>
      </c>
      <c r="F336" s="768">
        <f>E336/D336*100</f>
        <v>94.52439057754918</v>
      </c>
      <c r="G336" s="769"/>
    </row>
    <row r="337" spans="1:7" s="776" customFormat="1" ht="18.75" customHeight="1">
      <c r="A337" s="771"/>
      <c r="B337" s="772"/>
      <c r="C337" s="773" t="s">
        <v>910</v>
      </c>
      <c r="D337" s="774">
        <v>3950</v>
      </c>
      <c r="E337" s="774">
        <v>3948.84</v>
      </c>
      <c r="F337" s="775">
        <f>E337/D337*100</f>
        <v>99.97063291139241</v>
      </c>
      <c r="G337" s="769"/>
    </row>
    <row r="338" spans="1:7" s="776" customFormat="1" ht="18.75" customHeight="1">
      <c r="A338" s="771"/>
      <c r="B338" s="772"/>
      <c r="C338" s="773" t="s">
        <v>467</v>
      </c>
      <c r="D338" s="774">
        <v>32601</v>
      </c>
      <c r="E338" s="774">
        <v>30600.77</v>
      </c>
      <c r="F338" s="775">
        <f>E338/D338*100</f>
        <v>93.86451335848594</v>
      </c>
      <c r="G338" s="769"/>
    </row>
    <row r="339" spans="1:7" s="770" customFormat="1" ht="18.75" customHeight="1">
      <c r="A339" s="789"/>
      <c r="B339" s="765"/>
      <c r="C339" s="800" t="s">
        <v>487</v>
      </c>
      <c r="D339" s="767">
        <v>589920</v>
      </c>
      <c r="E339" s="767">
        <v>589920</v>
      </c>
      <c r="F339" s="768">
        <f>E339/D339*100</f>
        <v>100</v>
      </c>
      <c r="G339" s="769"/>
    </row>
    <row r="340" spans="1:7" s="770" customFormat="1" ht="27" customHeight="1">
      <c r="A340" s="787" t="s">
        <v>125</v>
      </c>
      <c r="B340" s="747"/>
      <c r="C340" s="748" t="s">
        <v>1016</v>
      </c>
      <c r="D340" s="749">
        <f>SUM(D341,D348)</f>
        <v>2916024</v>
      </c>
      <c r="E340" s="749">
        <f>SUM(E341,E348)</f>
        <v>2879329.92</v>
      </c>
      <c r="F340" s="750">
        <f t="shared" si="20"/>
        <v>98.74163998650216</v>
      </c>
      <c r="G340" s="769"/>
    </row>
    <row r="341" spans="1:8" s="791" customFormat="1" ht="18.75" customHeight="1">
      <c r="A341" s="786"/>
      <c r="B341" s="752" t="s">
        <v>126</v>
      </c>
      <c r="C341" s="753" t="s">
        <v>1017</v>
      </c>
      <c r="D341" s="754">
        <f>SUM(D342,D346)</f>
        <v>1220554</v>
      </c>
      <c r="E341" s="754">
        <f>SUM(E342,E346)</f>
        <v>1214587.58</v>
      </c>
      <c r="F341" s="755">
        <f t="shared" si="20"/>
        <v>99.51117115670426</v>
      </c>
      <c r="G341" s="769"/>
      <c r="H341" s="770"/>
    </row>
    <row r="342" spans="1:7" s="763" customFormat="1" ht="18.75" customHeight="1">
      <c r="A342" s="757"/>
      <c r="B342" s="758"/>
      <c r="C342" s="759" t="s">
        <v>360</v>
      </c>
      <c r="D342" s="760">
        <f>SUM(D343)</f>
        <v>1195805</v>
      </c>
      <c r="E342" s="760">
        <f>SUM(E343)</f>
        <v>1189838.58</v>
      </c>
      <c r="F342" s="761">
        <f t="shared" si="20"/>
        <v>99.50105410163029</v>
      </c>
      <c r="G342" s="762"/>
    </row>
    <row r="343" spans="1:7" s="770" customFormat="1" ht="18" customHeight="1">
      <c r="A343" s="764"/>
      <c r="B343" s="765"/>
      <c r="C343" s="766" t="s">
        <v>466</v>
      </c>
      <c r="D343" s="767">
        <f>SUM(D344,D345)</f>
        <v>1195805</v>
      </c>
      <c r="E343" s="767">
        <f>SUM(E344,E345)</f>
        <v>1189838.58</v>
      </c>
      <c r="F343" s="768">
        <f aca="true" t="shared" si="21" ref="F343:F376">E343/D343*100</f>
        <v>99.50105410163029</v>
      </c>
      <c r="G343" s="769"/>
    </row>
    <row r="344" spans="1:7" s="776" customFormat="1" ht="18.75" customHeight="1">
      <c r="A344" s="771"/>
      <c r="B344" s="772"/>
      <c r="C344" s="773" t="s">
        <v>910</v>
      </c>
      <c r="D344" s="774">
        <v>769663</v>
      </c>
      <c r="E344" s="774">
        <v>769657.94</v>
      </c>
      <c r="F344" s="775">
        <f t="shared" si="21"/>
        <v>99.99934256941025</v>
      </c>
      <c r="G344" s="769"/>
    </row>
    <row r="345" spans="1:7" s="776" customFormat="1" ht="18.75" customHeight="1">
      <c r="A345" s="771"/>
      <c r="B345" s="772"/>
      <c r="C345" s="773" t="s">
        <v>467</v>
      </c>
      <c r="D345" s="774">
        <v>426142</v>
      </c>
      <c r="E345" s="774">
        <v>420180.64</v>
      </c>
      <c r="F345" s="775">
        <f t="shared" si="21"/>
        <v>98.60108602296887</v>
      </c>
      <c r="G345" s="769"/>
    </row>
    <row r="346" spans="1:7" s="763" customFormat="1" ht="18.75" customHeight="1">
      <c r="A346" s="757"/>
      <c r="B346" s="758"/>
      <c r="C346" s="759" t="s">
        <v>469</v>
      </c>
      <c r="D346" s="760">
        <f>SUM(D347)</f>
        <v>24749</v>
      </c>
      <c r="E346" s="760">
        <f>SUM(E347)</f>
        <v>24749</v>
      </c>
      <c r="F346" s="761">
        <f t="shared" si="21"/>
        <v>100</v>
      </c>
      <c r="G346" s="762"/>
    </row>
    <row r="347" spans="1:7" s="770" customFormat="1" ht="18" customHeight="1">
      <c r="A347" s="764"/>
      <c r="B347" s="765"/>
      <c r="C347" s="766" t="s">
        <v>470</v>
      </c>
      <c r="D347" s="767">
        <v>24749</v>
      </c>
      <c r="E347" s="767">
        <v>24749</v>
      </c>
      <c r="F347" s="768">
        <f t="shared" si="21"/>
        <v>100</v>
      </c>
      <c r="G347" s="769"/>
    </row>
    <row r="348" spans="1:7" s="770" customFormat="1" ht="18.75" customHeight="1">
      <c r="A348" s="786"/>
      <c r="B348" s="752" t="s">
        <v>1020</v>
      </c>
      <c r="C348" s="753" t="s">
        <v>1433</v>
      </c>
      <c r="D348" s="754">
        <f>SUM(D349)</f>
        <v>1695470</v>
      </c>
      <c r="E348" s="754">
        <f>SUM(E349)</f>
        <v>1664742.3399999999</v>
      </c>
      <c r="F348" s="755">
        <f t="shared" si="21"/>
        <v>98.18766123847664</v>
      </c>
      <c r="G348" s="769"/>
    </row>
    <row r="349" spans="1:7" s="763" customFormat="1" ht="18.75" customHeight="1">
      <c r="A349" s="757"/>
      <c r="B349" s="758"/>
      <c r="C349" s="759" t="s">
        <v>360</v>
      </c>
      <c r="D349" s="760">
        <f>SUM(D350,D353,D354)</f>
        <v>1695470</v>
      </c>
      <c r="E349" s="760">
        <f>SUM(E350,E353,E354)</f>
        <v>1664742.3399999999</v>
      </c>
      <c r="F349" s="761">
        <f t="shared" si="21"/>
        <v>98.18766123847664</v>
      </c>
      <c r="G349" s="762"/>
    </row>
    <row r="350" spans="1:7" s="770" customFormat="1" ht="18" customHeight="1">
      <c r="A350" s="764"/>
      <c r="B350" s="765"/>
      <c r="C350" s="766" t="s">
        <v>466</v>
      </c>
      <c r="D350" s="767">
        <f>SUM(D352,D351)</f>
        <v>48200</v>
      </c>
      <c r="E350" s="767">
        <f>SUM(E352,E351)</f>
        <v>46054.97</v>
      </c>
      <c r="F350" s="768">
        <f t="shared" si="21"/>
        <v>95.54973029045644</v>
      </c>
      <c r="G350" s="769"/>
    </row>
    <row r="351" spans="1:7" s="776" customFormat="1" ht="18.75" customHeight="1" hidden="1">
      <c r="A351" s="771"/>
      <c r="B351" s="772"/>
      <c r="C351" s="773" t="s">
        <v>910</v>
      </c>
      <c r="D351" s="774">
        <v>0</v>
      </c>
      <c r="E351" s="774">
        <v>0</v>
      </c>
      <c r="F351" s="775" t="e">
        <f t="shared" si="21"/>
        <v>#DIV/0!</v>
      </c>
      <c r="G351" s="769"/>
    </row>
    <row r="352" spans="1:7" s="776" customFormat="1" ht="18.75" customHeight="1">
      <c r="A352" s="771"/>
      <c r="B352" s="772"/>
      <c r="C352" s="773" t="s">
        <v>467</v>
      </c>
      <c r="D352" s="774">
        <v>48200</v>
      </c>
      <c r="E352" s="774">
        <v>46054.97</v>
      </c>
      <c r="F352" s="775">
        <f t="shared" si="21"/>
        <v>95.54973029045644</v>
      </c>
      <c r="G352" s="769"/>
    </row>
    <row r="353" spans="1:7" s="770" customFormat="1" ht="18.75" customHeight="1">
      <c r="A353" s="789"/>
      <c r="B353" s="765"/>
      <c r="C353" s="800" t="s">
        <v>468</v>
      </c>
      <c r="D353" s="767">
        <v>552000</v>
      </c>
      <c r="E353" s="767">
        <v>549957.44</v>
      </c>
      <c r="F353" s="768">
        <f t="shared" si="21"/>
        <v>99.62997101449275</v>
      </c>
      <c r="G353" s="769"/>
    </row>
    <row r="354" spans="1:7" s="770" customFormat="1" ht="18.75" customHeight="1">
      <c r="A354" s="789"/>
      <c r="B354" s="765"/>
      <c r="C354" s="800" t="s">
        <v>495</v>
      </c>
      <c r="D354" s="767">
        <v>1095270</v>
      </c>
      <c r="E354" s="767">
        <v>1068729.93</v>
      </c>
      <c r="F354" s="768">
        <f>E354/D354*100</f>
        <v>97.57684680489743</v>
      </c>
      <c r="G354" s="769"/>
    </row>
    <row r="355" spans="1:7" s="770" customFormat="1" ht="24" customHeight="1">
      <c r="A355" s="787" t="s">
        <v>135</v>
      </c>
      <c r="B355" s="747"/>
      <c r="C355" s="748" t="s">
        <v>139</v>
      </c>
      <c r="D355" s="749">
        <f>SUM(D356,D362,D370,D373,D377)</f>
        <v>1675884</v>
      </c>
      <c r="E355" s="749">
        <f>SUM(E356,E362,E370,E373,E377)</f>
        <v>1590946.51</v>
      </c>
      <c r="F355" s="750">
        <f t="shared" si="21"/>
        <v>94.9317798845266</v>
      </c>
      <c r="G355" s="769"/>
    </row>
    <row r="356" spans="1:7" s="770" customFormat="1" ht="18.75" customHeight="1">
      <c r="A356" s="786"/>
      <c r="B356" s="752" t="s">
        <v>1021</v>
      </c>
      <c r="C356" s="753" t="s">
        <v>1022</v>
      </c>
      <c r="D356" s="754">
        <f>SUM(D357)</f>
        <v>629645</v>
      </c>
      <c r="E356" s="754">
        <f>SUM(E357)</f>
        <v>629644.51</v>
      </c>
      <c r="F356" s="755">
        <f t="shared" si="21"/>
        <v>99.99992217837035</v>
      </c>
      <c r="G356" s="769"/>
    </row>
    <row r="357" spans="1:7" s="763" customFormat="1" ht="18.75" customHeight="1">
      <c r="A357" s="757"/>
      <c r="B357" s="758"/>
      <c r="C357" s="759" t="s">
        <v>360</v>
      </c>
      <c r="D357" s="760">
        <f>SUM(D358,D361)</f>
        <v>629645</v>
      </c>
      <c r="E357" s="760">
        <f>SUM(E358,E361)</f>
        <v>629644.51</v>
      </c>
      <c r="F357" s="761">
        <f t="shared" si="21"/>
        <v>99.99992217837035</v>
      </c>
      <c r="G357" s="762"/>
    </row>
    <row r="358" spans="1:7" s="770" customFormat="1" ht="18" customHeight="1">
      <c r="A358" s="764"/>
      <c r="B358" s="765"/>
      <c r="C358" s="766" t="s">
        <v>466</v>
      </c>
      <c r="D358" s="767">
        <f>SUM(D360,D359)</f>
        <v>629577</v>
      </c>
      <c r="E358" s="767">
        <f>SUM(E360,E359)</f>
        <v>629576.51</v>
      </c>
      <c r="F358" s="768">
        <f t="shared" si="21"/>
        <v>99.99992216996492</v>
      </c>
      <c r="G358" s="769"/>
    </row>
    <row r="359" spans="1:7" s="776" customFormat="1" ht="18.75" customHeight="1">
      <c r="A359" s="771"/>
      <c r="B359" s="772"/>
      <c r="C359" s="773" t="s">
        <v>910</v>
      </c>
      <c r="D359" s="774">
        <v>484009</v>
      </c>
      <c r="E359" s="774">
        <v>484009.15</v>
      </c>
      <c r="F359" s="775">
        <f t="shared" si="21"/>
        <v>100.00003099115926</v>
      </c>
      <c r="G359" s="769"/>
    </row>
    <row r="360" spans="1:7" s="776" customFormat="1" ht="18.75" customHeight="1">
      <c r="A360" s="771"/>
      <c r="B360" s="772"/>
      <c r="C360" s="773" t="s">
        <v>467</v>
      </c>
      <c r="D360" s="774">
        <v>145568</v>
      </c>
      <c r="E360" s="774">
        <v>145567.36</v>
      </c>
      <c r="F360" s="775">
        <f t="shared" si="21"/>
        <v>99.9995603429325</v>
      </c>
      <c r="G360" s="769"/>
    </row>
    <row r="361" spans="1:7" s="770" customFormat="1" ht="18.75" customHeight="1">
      <c r="A361" s="789"/>
      <c r="B361" s="765"/>
      <c r="C361" s="800" t="s">
        <v>487</v>
      </c>
      <c r="D361" s="767">
        <v>68</v>
      </c>
      <c r="E361" s="767">
        <v>68</v>
      </c>
      <c r="F361" s="768">
        <f>E361/D361*100</f>
        <v>100</v>
      </c>
      <c r="G361" s="769"/>
    </row>
    <row r="362" spans="1:8" s="791" customFormat="1" ht="18.75" customHeight="1">
      <c r="A362" s="786"/>
      <c r="B362" s="752" t="s">
        <v>210</v>
      </c>
      <c r="C362" s="783" t="s">
        <v>1024</v>
      </c>
      <c r="D362" s="754">
        <f>SUM(D363,D368)</f>
        <v>708395</v>
      </c>
      <c r="E362" s="754">
        <f>SUM(E363,E368)</f>
        <v>707552.2699999999</v>
      </c>
      <c r="F362" s="755">
        <f t="shared" si="21"/>
        <v>99.88103670974525</v>
      </c>
      <c r="G362" s="769"/>
      <c r="H362" s="770"/>
    </row>
    <row r="363" spans="1:7" s="763" customFormat="1" ht="18.75" customHeight="1">
      <c r="A363" s="757"/>
      <c r="B363" s="758"/>
      <c r="C363" s="759" t="s">
        <v>360</v>
      </c>
      <c r="D363" s="760">
        <f>SUM(D364,D367)</f>
        <v>660395</v>
      </c>
      <c r="E363" s="760">
        <f>SUM(E364,E367)</f>
        <v>659552.2699999999</v>
      </c>
      <c r="F363" s="761">
        <f t="shared" si="21"/>
        <v>99.87239000900975</v>
      </c>
      <c r="G363" s="762"/>
    </row>
    <row r="364" spans="1:7" s="770" customFormat="1" ht="18" customHeight="1">
      <c r="A364" s="764"/>
      <c r="B364" s="765"/>
      <c r="C364" s="766" t="s">
        <v>466</v>
      </c>
      <c r="D364" s="767">
        <f>SUM(D366,D365)</f>
        <v>659669</v>
      </c>
      <c r="E364" s="767">
        <f>SUM(E366,E365)</f>
        <v>658826.45</v>
      </c>
      <c r="F364" s="768">
        <f t="shared" si="21"/>
        <v>99.87227685399799</v>
      </c>
      <c r="G364" s="769"/>
    </row>
    <row r="365" spans="1:7" s="776" customFormat="1" ht="18.75" customHeight="1">
      <c r="A365" s="771"/>
      <c r="B365" s="772"/>
      <c r="C365" s="773" t="s">
        <v>910</v>
      </c>
      <c r="D365" s="774">
        <v>446030</v>
      </c>
      <c r="E365" s="774">
        <v>446029.85</v>
      </c>
      <c r="F365" s="775">
        <f t="shared" si="21"/>
        <v>99.99996636997511</v>
      </c>
      <c r="G365" s="769"/>
    </row>
    <row r="366" spans="1:7" s="776" customFormat="1" ht="18.75" customHeight="1">
      <c r="A366" s="771"/>
      <c r="B366" s="772"/>
      <c r="C366" s="773" t="s">
        <v>467</v>
      </c>
      <c r="D366" s="774">
        <v>213639</v>
      </c>
      <c r="E366" s="774">
        <v>212796.6</v>
      </c>
      <c r="F366" s="775">
        <f t="shared" si="21"/>
        <v>99.60568997233652</v>
      </c>
      <c r="G366" s="769"/>
    </row>
    <row r="367" spans="1:7" s="770" customFormat="1" ht="18.75" customHeight="1">
      <c r="A367" s="789"/>
      <c r="B367" s="765"/>
      <c r="C367" s="800" t="s">
        <v>487</v>
      </c>
      <c r="D367" s="767">
        <v>726</v>
      </c>
      <c r="E367" s="767">
        <v>725.82</v>
      </c>
      <c r="F367" s="768">
        <f t="shared" si="21"/>
        <v>99.97520661157026</v>
      </c>
      <c r="G367" s="769"/>
    </row>
    <row r="368" spans="1:7" s="763" customFormat="1" ht="18.75" customHeight="1">
      <c r="A368" s="757"/>
      <c r="B368" s="758"/>
      <c r="C368" s="759" t="s">
        <v>469</v>
      </c>
      <c r="D368" s="760">
        <f>SUM(D369)</f>
        <v>48000</v>
      </c>
      <c r="E368" s="760">
        <f>SUM(E369)</f>
        <v>48000</v>
      </c>
      <c r="F368" s="761">
        <f t="shared" si="21"/>
        <v>100</v>
      </c>
      <c r="G368" s="762"/>
    </row>
    <row r="369" spans="1:7" s="770" customFormat="1" ht="18" customHeight="1">
      <c r="A369" s="764"/>
      <c r="B369" s="765"/>
      <c r="C369" s="766" t="s">
        <v>470</v>
      </c>
      <c r="D369" s="767">
        <v>48000</v>
      </c>
      <c r="E369" s="767">
        <v>48000</v>
      </c>
      <c r="F369" s="768">
        <f t="shared" si="21"/>
        <v>100</v>
      </c>
      <c r="G369" s="769"/>
    </row>
    <row r="370" spans="1:8" s="791" customFormat="1" ht="18.75" customHeight="1">
      <c r="A370" s="786"/>
      <c r="B370" s="752" t="s">
        <v>213</v>
      </c>
      <c r="C370" s="783" t="s">
        <v>214</v>
      </c>
      <c r="D370" s="754">
        <f>D372</f>
        <v>183161</v>
      </c>
      <c r="E370" s="754">
        <f>E372</f>
        <v>99066.36</v>
      </c>
      <c r="F370" s="755">
        <f t="shared" si="21"/>
        <v>54.087038179525116</v>
      </c>
      <c r="G370" s="769"/>
      <c r="H370" s="770"/>
    </row>
    <row r="371" spans="1:7" s="763" customFormat="1" ht="18.75" customHeight="1">
      <c r="A371" s="757"/>
      <c r="B371" s="758"/>
      <c r="C371" s="759" t="s">
        <v>360</v>
      </c>
      <c r="D371" s="760">
        <f>SUM(D372)</f>
        <v>183161</v>
      </c>
      <c r="E371" s="760">
        <f>SUM(E372)</f>
        <v>99066.36</v>
      </c>
      <c r="F371" s="761">
        <f t="shared" si="21"/>
        <v>54.087038179525116</v>
      </c>
      <c r="G371" s="762"/>
    </row>
    <row r="372" spans="1:7" s="770" customFormat="1" ht="18.75" customHeight="1">
      <c r="A372" s="789"/>
      <c r="B372" s="765"/>
      <c r="C372" s="800" t="s">
        <v>487</v>
      </c>
      <c r="D372" s="767">
        <v>183161</v>
      </c>
      <c r="E372" s="767">
        <v>99066.36</v>
      </c>
      <c r="F372" s="768">
        <f t="shared" si="21"/>
        <v>54.087038179525116</v>
      </c>
      <c r="G372" s="769"/>
    </row>
    <row r="373" spans="1:8" s="791" customFormat="1" ht="18.75" customHeight="1">
      <c r="A373" s="786"/>
      <c r="B373" s="752" t="s">
        <v>1028</v>
      </c>
      <c r="C373" s="783" t="s">
        <v>979</v>
      </c>
      <c r="D373" s="754">
        <f>D376</f>
        <v>808</v>
      </c>
      <c r="E373" s="754">
        <f>E376</f>
        <v>808.28</v>
      </c>
      <c r="F373" s="755">
        <f t="shared" si="21"/>
        <v>100.03465346534652</v>
      </c>
      <c r="G373" s="769"/>
      <c r="H373" s="770"/>
    </row>
    <row r="374" spans="1:7" s="763" customFormat="1" ht="18.75" customHeight="1">
      <c r="A374" s="757"/>
      <c r="B374" s="758"/>
      <c r="C374" s="759" t="s">
        <v>360</v>
      </c>
      <c r="D374" s="760">
        <f>SUM(D375)</f>
        <v>808</v>
      </c>
      <c r="E374" s="760">
        <f>SUM(E375)</f>
        <v>808.28</v>
      </c>
      <c r="F374" s="761">
        <f t="shared" si="21"/>
        <v>100.03465346534652</v>
      </c>
      <c r="G374" s="762"/>
    </row>
    <row r="375" spans="1:7" s="770" customFormat="1" ht="18" customHeight="1">
      <c r="A375" s="764"/>
      <c r="B375" s="765"/>
      <c r="C375" s="766" t="s">
        <v>466</v>
      </c>
      <c r="D375" s="767">
        <f>SUM(D376)</f>
        <v>808</v>
      </c>
      <c r="E375" s="767">
        <f>SUM(E376)</f>
        <v>808.28</v>
      </c>
      <c r="F375" s="768">
        <f t="shared" si="21"/>
        <v>100.03465346534652</v>
      </c>
      <c r="G375" s="769"/>
    </row>
    <row r="376" spans="1:7" s="776" customFormat="1" ht="18.75" customHeight="1">
      <c r="A376" s="771"/>
      <c r="B376" s="772"/>
      <c r="C376" s="773" t="s">
        <v>467</v>
      </c>
      <c r="D376" s="774">
        <v>808</v>
      </c>
      <c r="E376" s="774">
        <v>808.28</v>
      </c>
      <c r="F376" s="775">
        <f t="shared" si="21"/>
        <v>100.03465346534652</v>
      </c>
      <c r="G376" s="769"/>
    </row>
    <row r="377" spans="1:8" s="791" customFormat="1" ht="18.75" customHeight="1">
      <c r="A377" s="786"/>
      <c r="B377" s="752" t="s">
        <v>1029</v>
      </c>
      <c r="C377" s="783" t="s">
        <v>1433</v>
      </c>
      <c r="D377" s="754">
        <f>D378</f>
        <v>153875</v>
      </c>
      <c r="E377" s="754">
        <f>E378</f>
        <v>153875.09</v>
      </c>
      <c r="F377" s="755">
        <f aca="true" t="shared" si="22" ref="F377:F408">E377/D377*100</f>
        <v>100.00005848903331</v>
      </c>
      <c r="G377" s="769"/>
      <c r="H377" s="770"/>
    </row>
    <row r="378" spans="1:7" s="763" customFormat="1" ht="18.75" customHeight="1">
      <c r="A378" s="757"/>
      <c r="B378" s="758"/>
      <c r="C378" s="759" t="s">
        <v>360</v>
      </c>
      <c r="D378" s="760">
        <f>SUM(D379,D382)</f>
        <v>153875</v>
      </c>
      <c r="E378" s="760">
        <f>SUM(E379,E382)</f>
        <v>153875.09</v>
      </c>
      <c r="F378" s="761">
        <f t="shared" si="22"/>
        <v>100.00005848903331</v>
      </c>
      <c r="G378" s="762"/>
    </row>
    <row r="379" spans="1:7" s="770" customFormat="1" ht="18" customHeight="1">
      <c r="A379" s="764"/>
      <c r="B379" s="765"/>
      <c r="C379" s="766" t="s">
        <v>466</v>
      </c>
      <c r="D379" s="767">
        <f>SUM(D381,D380)</f>
        <v>153136</v>
      </c>
      <c r="E379" s="767">
        <f>SUM(E381,E380)</f>
        <v>153136.09</v>
      </c>
      <c r="F379" s="768">
        <f t="shared" si="22"/>
        <v>100.00005877128825</v>
      </c>
      <c r="G379" s="769"/>
    </row>
    <row r="380" spans="1:7" s="776" customFormat="1" ht="18.75" customHeight="1">
      <c r="A380" s="771"/>
      <c r="B380" s="772"/>
      <c r="C380" s="773" t="s">
        <v>910</v>
      </c>
      <c r="D380" s="774">
        <v>2355</v>
      </c>
      <c r="E380" s="774">
        <v>2354.8</v>
      </c>
      <c r="F380" s="775">
        <f t="shared" si="22"/>
        <v>99.99150743099788</v>
      </c>
      <c r="G380" s="769"/>
    </row>
    <row r="381" spans="1:7" s="776" customFormat="1" ht="18.75" customHeight="1">
      <c r="A381" s="771"/>
      <c r="B381" s="772"/>
      <c r="C381" s="773" t="s">
        <v>467</v>
      </c>
      <c r="D381" s="774">
        <v>150781</v>
      </c>
      <c r="E381" s="774">
        <v>150781.29</v>
      </c>
      <c r="F381" s="775">
        <f t="shared" si="22"/>
        <v>100.00019233192512</v>
      </c>
      <c r="G381" s="769"/>
    </row>
    <row r="382" spans="1:7" s="770" customFormat="1" ht="18.75" customHeight="1">
      <c r="A382" s="789"/>
      <c r="B382" s="765"/>
      <c r="C382" s="800" t="s">
        <v>487</v>
      </c>
      <c r="D382" s="767">
        <v>739</v>
      </c>
      <c r="E382" s="767">
        <v>739</v>
      </c>
      <c r="F382" s="768">
        <f t="shared" si="22"/>
        <v>100</v>
      </c>
      <c r="G382" s="769"/>
    </row>
    <row r="383" spans="1:7" s="770" customFormat="1" ht="27" customHeight="1">
      <c r="A383" s="787" t="s">
        <v>216</v>
      </c>
      <c r="B383" s="747"/>
      <c r="C383" s="748" t="s">
        <v>1050</v>
      </c>
      <c r="D383" s="749">
        <f>SUM(D384,D388,D394,D397,D403,D407)</f>
        <v>16232954</v>
      </c>
      <c r="E383" s="749">
        <f>SUM(E384,E388,E394,E397,E403,E407)</f>
        <v>13210146.09</v>
      </c>
      <c r="F383" s="750">
        <f t="shared" si="22"/>
        <v>81.37857157729886</v>
      </c>
      <c r="G383" s="769"/>
    </row>
    <row r="384" spans="1:8" s="791" customFormat="1" ht="18.75" customHeight="1">
      <c r="A384" s="786"/>
      <c r="B384" s="752" t="s">
        <v>217</v>
      </c>
      <c r="C384" s="783" t="s">
        <v>412</v>
      </c>
      <c r="D384" s="754">
        <f aca="true" t="shared" si="23" ref="D384:E386">SUM(D385)</f>
        <v>3453029</v>
      </c>
      <c r="E384" s="754">
        <f t="shared" si="23"/>
        <v>3449449.99</v>
      </c>
      <c r="F384" s="755">
        <f t="shared" si="22"/>
        <v>99.89635158001859</v>
      </c>
      <c r="G384" s="769"/>
      <c r="H384" s="770"/>
    </row>
    <row r="385" spans="1:7" s="763" customFormat="1" ht="18.75" customHeight="1">
      <c r="A385" s="757"/>
      <c r="B385" s="758"/>
      <c r="C385" s="759" t="s">
        <v>360</v>
      </c>
      <c r="D385" s="760">
        <f t="shared" si="23"/>
        <v>3453029</v>
      </c>
      <c r="E385" s="760">
        <f t="shared" si="23"/>
        <v>3449449.99</v>
      </c>
      <c r="F385" s="761">
        <f t="shared" si="22"/>
        <v>99.89635158001859</v>
      </c>
      <c r="G385" s="762"/>
    </row>
    <row r="386" spans="1:7" s="770" customFormat="1" ht="18" customHeight="1">
      <c r="A386" s="764"/>
      <c r="B386" s="765"/>
      <c r="C386" s="766" t="s">
        <v>466</v>
      </c>
      <c r="D386" s="767">
        <f t="shared" si="23"/>
        <v>3453029</v>
      </c>
      <c r="E386" s="767">
        <f t="shared" si="23"/>
        <v>3449449.99</v>
      </c>
      <c r="F386" s="768">
        <f t="shared" si="22"/>
        <v>99.89635158001859</v>
      </c>
      <c r="G386" s="769"/>
    </row>
    <row r="387" spans="1:7" s="776" customFormat="1" ht="18.75" customHeight="1">
      <c r="A387" s="771"/>
      <c r="B387" s="772"/>
      <c r="C387" s="773" t="s">
        <v>467</v>
      </c>
      <c r="D387" s="774">
        <v>3453029</v>
      </c>
      <c r="E387" s="774">
        <v>3449449.99</v>
      </c>
      <c r="F387" s="775">
        <f t="shared" si="22"/>
        <v>99.89635158001859</v>
      </c>
      <c r="G387" s="769"/>
    </row>
    <row r="388" spans="1:7" s="515" customFormat="1" ht="18.75" customHeight="1">
      <c r="A388" s="786"/>
      <c r="B388" s="752" t="s">
        <v>1051</v>
      </c>
      <c r="C388" s="783" t="s">
        <v>1052</v>
      </c>
      <c r="D388" s="754">
        <f>SUM(D389,D392)</f>
        <v>9439574</v>
      </c>
      <c r="E388" s="754">
        <f>SUM(E389,E392)</f>
        <v>6884059.1</v>
      </c>
      <c r="F388" s="755">
        <f t="shared" si="22"/>
        <v>72.92764588740974</v>
      </c>
      <c r="G388" s="519"/>
    </row>
    <row r="389" spans="1:7" s="763" customFormat="1" ht="18.75" customHeight="1">
      <c r="A389" s="757"/>
      <c r="B389" s="758"/>
      <c r="C389" s="759" t="s">
        <v>360</v>
      </c>
      <c r="D389" s="760">
        <f>SUM(D390)</f>
        <v>2049574</v>
      </c>
      <c r="E389" s="760">
        <f>SUM(E390)</f>
        <v>2010804.17</v>
      </c>
      <c r="F389" s="761">
        <f t="shared" si="22"/>
        <v>98.10839569588606</v>
      </c>
      <c r="G389" s="762"/>
    </row>
    <row r="390" spans="1:7" s="770" customFormat="1" ht="18" customHeight="1">
      <c r="A390" s="764"/>
      <c r="B390" s="765"/>
      <c r="C390" s="766" t="s">
        <v>466</v>
      </c>
      <c r="D390" s="767">
        <f>SUM(D391)</f>
        <v>2049574</v>
      </c>
      <c r="E390" s="767">
        <f>SUM(E391)</f>
        <v>2010804.17</v>
      </c>
      <c r="F390" s="768">
        <f t="shared" si="22"/>
        <v>98.10839569588606</v>
      </c>
      <c r="G390" s="769"/>
    </row>
    <row r="391" spans="1:7" s="776" customFormat="1" ht="18.75" customHeight="1">
      <c r="A391" s="771"/>
      <c r="B391" s="772"/>
      <c r="C391" s="773" t="s">
        <v>467</v>
      </c>
      <c r="D391" s="774">
        <v>2049574</v>
      </c>
      <c r="E391" s="774">
        <v>2010804.17</v>
      </c>
      <c r="F391" s="775">
        <f t="shared" si="22"/>
        <v>98.10839569588606</v>
      </c>
      <c r="G391" s="769"/>
    </row>
    <row r="392" spans="1:7" s="763" customFormat="1" ht="18.75" customHeight="1">
      <c r="A392" s="757"/>
      <c r="B392" s="758"/>
      <c r="C392" s="759" t="s">
        <v>469</v>
      </c>
      <c r="D392" s="760">
        <f>SUM(D393)</f>
        <v>7390000</v>
      </c>
      <c r="E392" s="760">
        <f>SUM(E393)</f>
        <v>4873254.93</v>
      </c>
      <c r="F392" s="761">
        <f t="shared" si="22"/>
        <v>65.9439097428958</v>
      </c>
      <c r="G392" s="762"/>
    </row>
    <row r="393" spans="1:7" s="770" customFormat="1" ht="18" customHeight="1">
      <c r="A393" s="764"/>
      <c r="B393" s="765"/>
      <c r="C393" s="766" t="s">
        <v>471</v>
      </c>
      <c r="D393" s="767">
        <v>7390000</v>
      </c>
      <c r="E393" s="767">
        <v>4873254.93</v>
      </c>
      <c r="F393" s="768">
        <f t="shared" si="22"/>
        <v>65.9439097428958</v>
      </c>
      <c r="G393" s="769"/>
    </row>
    <row r="394" spans="1:7" s="515" customFormat="1" ht="18.75" customHeight="1">
      <c r="A394" s="786"/>
      <c r="B394" s="752" t="s">
        <v>1055</v>
      </c>
      <c r="C394" s="783" t="s">
        <v>1060</v>
      </c>
      <c r="D394" s="754">
        <f>SUM(D395)</f>
        <v>305000</v>
      </c>
      <c r="E394" s="754">
        <f>SUM(E395)</f>
        <v>305000.02</v>
      </c>
      <c r="F394" s="755">
        <f t="shared" si="22"/>
        <v>100.00000655737706</v>
      </c>
      <c r="G394" s="519"/>
    </row>
    <row r="395" spans="1:7" s="763" customFormat="1" ht="18.75" customHeight="1">
      <c r="A395" s="757"/>
      <c r="B395" s="758"/>
      <c r="C395" s="759" t="s">
        <v>360</v>
      </c>
      <c r="D395" s="760">
        <f>SUM(D396)</f>
        <v>305000</v>
      </c>
      <c r="E395" s="760">
        <f>SUM(E396)</f>
        <v>305000.02</v>
      </c>
      <c r="F395" s="761">
        <f t="shared" si="22"/>
        <v>100.00000655737706</v>
      </c>
      <c r="G395" s="762"/>
    </row>
    <row r="396" spans="1:7" s="770" customFormat="1" ht="18" customHeight="1">
      <c r="A396" s="764"/>
      <c r="B396" s="765"/>
      <c r="C396" s="766" t="s">
        <v>468</v>
      </c>
      <c r="D396" s="767">
        <v>305000</v>
      </c>
      <c r="E396" s="767">
        <v>305000.02</v>
      </c>
      <c r="F396" s="768">
        <f t="shared" si="22"/>
        <v>100.00000655737706</v>
      </c>
      <c r="G396" s="769"/>
    </row>
    <row r="397" spans="1:8" s="791" customFormat="1" ht="18.75" customHeight="1">
      <c r="A397" s="786"/>
      <c r="B397" s="752" t="s">
        <v>218</v>
      </c>
      <c r="C397" s="783" t="s">
        <v>219</v>
      </c>
      <c r="D397" s="754">
        <f>SUM(D398,D402)</f>
        <v>1296000</v>
      </c>
      <c r="E397" s="754">
        <f>SUM(E398,E402)</f>
        <v>1147677.3599999999</v>
      </c>
      <c r="F397" s="755">
        <f t="shared" si="22"/>
        <v>88.55535185185184</v>
      </c>
      <c r="G397" s="769"/>
      <c r="H397" s="770"/>
    </row>
    <row r="398" spans="1:7" s="763" customFormat="1" ht="18.75" customHeight="1">
      <c r="A398" s="757"/>
      <c r="B398" s="758"/>
      <c r="C398" s="759" t="s">
        <v>360</v>
      </c>
      <c r="D398" s="760">
        <f>SUM(D399)</f>
        <v>970000</v>
      </c>
      <c r="E398" s="760">
        <f>SUM(E399)</f>
        <v>969563.6</v>
      </c>
      <c r="F398" s="761">
        <f t="shared" si="22"/>
        <v>99.95501030927835</v>
      </c>
      <c r="G398" s="762"/>
    </row>
    <row r="399" spans="1:7" s="770" customFormat="1" ht="18" customHeight="1">
      <c r="A399" s="764"/>
      <c r="B399" s="765"/>
      <c r="C399" s="766" t="s">
        <v>466</v>
      </c>
      <c r="D399" s="767">
        <f>SUM(D400)</f>
        <v>970000</v>
      </c>
      <c r="E399" s="767">
        <f>SUM(E400)</f>
        <v>969563.6</v>
      </c>
      <c r="F399" s="768">
        <f t="shared" si="22"/>
        <v>99.95501030927835</v>
      </c>
      <c r="G399" s="769"/>
    </row>
    <row r="400" spans="1:7" s="776" customFormat="1" ht="18.75" customHeight="1">
      <c r="A400" s="771"/>
      <c r="B400" s="772"/>
      <c r="C400" s="773" t="s">
        <v>467</v>
      </c>
      <c r="D400" s="774">
        <v>970000</v>
      </c>
      <c r="E400" s="774">
        <v>969563.6</v>
      </c>
      <c r="F400" s="775">
        <f t="shared" si="22"/>
        <v>99.95501030927835</v>
      </c>
      <c r="G400" s="769"/>
    </row>
    <row r="401" spans="1:7" s="763" customFormat="1" ht="18.75" customHeight="1">
      <c r="A401" s="757"/>
      <c r="B401" s="758"/>
      <c r="C401" s="759" t="s">
        <v>469</v>
      </c>
      <c r="D401" s="760">
        <f>SUM(D402)</f>
        <v>326000</v>
      </c>
      <c r="E401" s="760">
        <f>SUM(E402)</f>
        <v>178113.76</v>
      </c>
      <c r="F401" s="761">
        <f t="shared" si="22"/>
        <v>54.636122699386505</v>
      </c>
      <c r="G401" s="762"/>
    </row>
    <row r="402" spans="1:7" s="770" customFormat="1" ht="18" customHeight="1">
      <c r="A402" s="764"/>
      <c r="B402" s="765"/>
      <c r="C402" s="766" t="s">
        <v>471</v>
      </c>
      <c r="D402" s="767">
        <v>326000</v>
      </c>
      <c r="E402" s="767">
        <v>178113.76</v>
      </c>
      <c r="F402" s="768">
        <f t="shared" si="22"/>
        <v>54.636122699386505</v>
      </c>
      <c r="G402" s="769"/>
    </row>
    <row r="403" spans="1:7" s="770" customFormat="1" ht="27.75" customHeight="1" hidden="1">
      <c r="A403" s="786"/>
      <c r="B403" s="752" t="s">
        <v>437</v>
      </c>
      <c r="C403" s="753" t="s">
        <v>438</v>
      </c>
      <c r="D403" s="754">
        <f>SUM(D406)</f>
        <v>0</v>
      </c>
      <c r="E403" s="754">
        <f>SUM(E406)</f>
        <v>0</v>
      </c>
      <c r="F403" s="755" t="e">
        <f t="shared" si="22"/>
        <v>#DIV/0!</v>
      </c>
      <c r="G403" s="769"/>
    </row>
    <row r="404" spans="1:7" s="763" customFormat="1" ht="18.75" customHeight="1" hidden="1">
      <c r="A404" s="757"/>
      <c r="B404" s="758"/>
      <c r="C404" s="759" t="s">
        <v>360</v>
      </c>
      <c r="D404" s="760">
        <f>SUM(D405)</f>
        <v>0</v>
      </c>
      <c r="E404" s="760">
        <f>SUM(E405)</f>
        <v>0</v>
      </c>
      <c r="F404" s="761" t="e">
        <f t="shared" si="22"/>
        <v>#DIV/0!</v>
      </c>
      <c r="G404" s="762"/>
    </row>
    <row r="405" spans="1:7" s="770" customFormat="1" ht="18" customHeight="1" hidden="1">
      <c r="A405" s="764"/>
      <c r="B405" s="765"/>
      <c r="C405" s="766" t="s">
        <v>466</v>
      </c>
      <c r="D405" s="767">
        <f>SUM(D406)</f>
        <v>0</v>
      </c>
      <c r="E405" s="767">
        <f>SUM(E406)</f>
        <v>0</v>
      </c>
      <c r="F405" s="768" t="e">
        <f t="shared" si="22"/>
        <v>#DIV/0!</v>
      </c>
      <c r="G405" s="769"/>
    </row>
    <row r="406" spans="1:7" s="776" customFormat="1" ht="18.75" customHeight="1" hidden="1">
      <c r="A406" s="771"/>
      <c r="B406" s="772"/>
      <c r="C406" s="773" t="s">
        <v>467</v>
      </c>
      <c r="D406" s="774">
        <v>0</v>
      </c>
      <c r="E406" s="774">
        <v>0</v>
      </c>
      <c r="F406" s="775" t="e">
        <f t="shared" si="22"/>
        <v>#DIV/0!</v>
      </c>
      <c r="G406" s="769"/>
    </row>
    <row r="407" spans="1:7" s="515" customFormat="1" ht="18.75" customHeight="1">
      <c r="A407" s="786"/>
      <c r="B407" s="752" t="s">
        <v>220</v>
      </c>
      <c r="C407" s="783" t="s">
        <v>1433</v>
      </c>
      <c r="D407" s="754">
        <f>SUM(D408,D412)</f>
        <v>1739351</v>
      </c>
      <c r="E407" s="754">
        <f>SUM(E408,E412)</f>
        <v>1423959.62</v>
      </c>
      <c r="F407" s="755">
        <f t="shared" si="22"/>
        <v>81.86729533026974</v>
      </c>
      <c r="G407" s="519"/>
    </row>
    <row r="408" spans="1:7" s="763" customFormat="1" ht="18.75" customHeight="1">
      <c r="A408" s="757"/>
      <c r="B408" s="758"/>
      <c r="C408" s="759" t="s">
        <v>360</v>
      </c>
      <c r="D408" s="760">
        <f>SUM(D409,D411)</f>
        <v>849651</v>
      </c>
      <c r="E408" s="760">
        <f>SUM(E409,E411)</f>
        <v>613455.54</v>
      </c>
      <c r="F408" s="761">
        <f t="shared" si="22"/>
        <v>72.20088483389063</v>
      </c>
      <c r="G408" s="762"/>
    </row>
    <row r="409" spans="1:7" s="770" customFormat="1" ht="18" customHeight="1">
      <c r="A409" s="764"/>
      <c r="B409" s="765"/>
      <c r="C409" s="766" t="s">
        <v>466</v>
      </c>
      <c r="D409" s="767">
        <f>SUM(D410)</f>
        <v>809651</v>
      </c>
      <c r="E409" s="767">
        <f>SUM(E410)</f>
        <v>581455.54</v>
      </c>
      <c r="F409" s="768">
        <f aca="true" t="shared" si="24" ref="F409:F440">E409/D409*100</f>
        <v>71.81557732899732</v>
      </c>
      <c r="G409" s="769"/>
    </row>
    <row r="410" spans="1:7" s="776" customFormat="1" ht="18.75" customHeight="1">
      <c r="A410" s="771"/>
      <c r="B410" s="772"/>
      <c r="C410" s="773" t="s">
        <v>467</v>
      </c>
      <c r="D410" s="774">
        <v>809651</v>
      </c>
      <c r="E410" s="774">
        <v>581455.54</v>
      </c>
      <c r="F410" s="775">
        <f t="shared" si="24"/>
        <v>71.81557732899732</v>
      </c>
      <c r="G410" s="769"/>
    </row>
    <row r="411" spans="1:7" s="770" customFormat="1" ht="18.75" customHeight="1">
      <c r="A411" s="764"/>
      <c r="B411" s="765"/>
      <c r="C411" s="766" t="s">
        <v>468</v>
      </c>
      <c r="D411" s="767">
        <v>40000</v>
      </c>
      <c r="E411" s="767">
        <v>32000</v>
      </c>
      <c r="F411" s="768">
        <f t="shared" si="24"/>
        <v>80</v>
      </c>
      <c r="G411" s="782"/>
    </row>
    <row r="412" spans="1:7" s="763" customFormat="1" ht="18.75" customHeight="1">
      <c r="A412" s="757"/>
      <c r="B412" s="758"/>
      <c r="C412" s="759" t="s">
        <v>469</v>
      </c>
      <c r="D412" s="760">
        <f>SUM(D413,D414)</f>
        <v>889700</v>
      </c>
      <c r="E412" s="760">
        <f>SUM(E413,E414)</f>
        <v>810504.08</v>
      </c>
      <c r="F412" s="761">
        <f t="shared" si="24"/>
        <v>91.09858154434079</v>
      </c>
      <c r="G412" s="762"/>
    </row>
    <row r="413" spans="1:7" s="770" customFormat="1" ht="18" customHeight="1">
      <c r="A413" s="764"/>
      <c r="B413" s="765"/>
      <c r="C413" s="766" t="s">
        <v>471</v>
      </c>
      <c r="D413" s="767">
        <v>739700</v>
      </c>
      <c r="E413" s="767">
        <v>660504.08</v>
      </c>
      <c r="F413" s="768">
        <f t="shared" si="24"/>
        <v>89.29350817899147</v>
      </c>
      <c r="G413" s="769"/>
    </row>
    <row r="414" spans="1:7" s="770" customFormat="1" ht="18.75" customHeight="1">
      <c r="A414" s="789"/>
      <c r="B414" s="765"/>
      <c r="C414" s="766" t="s">
        <v>470</v>
      </c>
      <c r="D414" s="767">
        <v>150000</v>
      </c>
      <c r="E414" s="767">
        <v>150000</v>
      </c>
      <c r="F414" s="768">
        <f t="shared" si="24"/>
        <v>100</v>
      </c>
      <c r="G414" s="769"/>
    </row>
    <row r="415" spans="1:8" s="791" customFormat="1" ht="31.5" customHeight="1">
      <c r="A415" s="787" t="s">
        <v>244</v>
      </c>
      <c r="B415" s="747"/>
      <c r="C415" s="748" t="s">
        <v>1061</v>
      </c>
      <c r="D415" s="749">
        <f>SUM(D416,D421,D424,D427,D434)</f>
        <v>5177350</v>
      </c>
      <c r="E415" s="749">
        <f>SUM(E416,E421,E424,E427,E434)</f>
        <v>5145265.46</v>
      </c>
      <c r="F415" s="750">
        <f t="shared" si="24"/>
        <v>99.38029030295421</v>
      </c>
      <c r="G415" s="769"/>
      <c r="H415" s="770"/>
    </row>
    <row r="416" spans="1:7" s="515" customFormat="1" ht="18.75" customHeight="1">
      <c r="A416" s="786"/>
      <c r="B416" s="752" t="s">
        <v>1062</v>
      </c>
      <c r="C416" s="753" t="s">
        <v>1063</v>
      </c>
      <c r="D416" s="754">
        <f>SUM(D417,D419)</f>
        <v>1905695</v>
      </c>
      <c r="E416" s="754">
        <f>SUM(E417,E419)</f>
        <v>1905695</v>
      </c>
      <c r="F416" s="755">
        <f t="shared" si="24"/>
        <v>100</v>
      </c>
      <c r="G416" s="519"/>
    </row>
    <row r="417" spans="1:7" s="763" customFormat="1" ht="18.75" customHeight="1">
      <c r="A417" s="757"/>
      <c r="B417" s="758"/>
      <c r="C417" s="759" t="s">
        <v>360</v>
      </c>
      <c r="D417" s="760">
        <f>SUM(D418)</f>
        <v>1845695</v>
      </c>
      <c r="E417" s="760">
        <f>SUM(E418)</f>
        <v>1845695</v>
      </c>
      <c r="F417" s="761">
        <f t="shared" si="24"/>
        <v>100</v>
      </c>
      <c r="G417" s="762"/>
    </row>
    <row r="418" spans="1:7" s="770" customFormat="1" ht="18.75" customHeight="1">
      <c r="A418" s="764"/>
      <c r="B418" s="765"/>
      <c r="C418" s="766" t="s">
        <v>468</v>
      </c>
      <c r="D418" s="767">
        <v>1845695</v>
      </c>
      <c r="E418" s="767">
        <v>1845695</v>
      </c>
      <c r="F418" s="768">
        <f t="shared" si="24"/>
        <v>100</v>
      </c>
      <c r="G418" s="782"/>
    </row>
    <row r="419" spans="1:7" s="763" customFormat="1" ht="18.75" customHeight="1">
      <c r="A419" s="757"/>
      <c r="B419" s="758"/>
      <c r="C419" s="759" t="s">
        <v>469</v>
      </c>
      <c r="D419" s="760">
        <f>SUM(D420)</f>
        <v>60000</v>
      </c>
      <c r="E419" s="760">
        <f>SUM(E420)</f>
        <v>60000</v>
      </c>
      <c r="F419" s="801">
        <f t="shared" si="24"/>
        <v>100</v>
      </c>
      <c r="G419" s="762"/>
    </row>
    <row r="420" spans="1:7" s="770" customFormat="1" ht="18.75" customHeight="1">
      <c r="A420" s="789"/>
      <c r="B420" s="765"/>
      <c r="C420" s="766" t="s">
        <v>492</v>
      </c>
      <c r="D420" s="767">
        <v>60000</v>
      </c>
      <c r="E420" s="767">
        <v>60000</v>
      </c>
      <c r="F420" s="768">
        <f t="shared" si="24"/>
        <v>100</v>
      </c>
      <c r="G420" s="782"/>
    </row>
    <row r="421" spans="1:7" s="770" customFormat="1" ht="18.75" customHeight="1">
      <c r="A421" s="786"/>
      <c r="B421" s="752" t="s">
        <v>1064</v>
      </c>
      <c r="C421" s="783" t="s">
        <v>1065</v>
      </c>
      <c r="D421" s="754">
        <f>SUM(D422)</f>
        <v>1170500</v>
      </c>
      <c r="E421" s="754">
        <f>SUM(E422)</f>
        <v>1170500</v>
      </c>
      <c r="F421" s="755">
        <f t="shared" si="24"/>
        <v>100</v>
      </c>
      <c r="G421" s="769"/>
    </row>
    <row r="422" spans="1:7" s="763" customFormat="1" ht="18.75" customHeight="1">
      <c r="A422" s="757"/>
      <c r="B422" s="758"/>
      <c r="C422" s="759" t="s">
        <v>360</v>
      </c>
      <c r="D422" s="760">
        <f>SUM(D423)</f>
        <v>1170500</v>
      </c>
      <c r="E422" s="760">
        <f>SUM(E423)</f>
        <v>1170500</v>
      </c>
      <c r="F422" s="761">
        <f t="shared" si="24"/>
        <v>100</v>
      </c>
      <c r="G422" s="762"/>
    </row>
    <row r="423" spans="1:7" s="770" customFormat="1" ht="18.75" customHeight="1">
      <c r="A423" s="764"/>
      <c r="B423" s="765"/>
      <c r="C423" s="766" t="s">
        <v>468</v>
      </c>
      <c r="D423" s="767">
        <v>1170500</v>
      </c>
      <c r="E423" s="767">
        <v>1170500</v>
      </c>
      <c r="F423" s="768">
        <f t="shared" si="24"/>
        <v>100</v>
      </c>
      <c r="G423" s="782"/>
    </row>
    <row r="424" spans="1:7" s="770" customFormat="1" ht="18.75" customHeight="1">
      <c r="A424" s="786"/>
      <c r="B424" s="752" t="s">
        <v>1066</v>
      </c>
      <c r="C424" s="783" t="s">
        <v>1067</v>
      </c>
      <c r="D424" s="754">
        <f>SUM(D425)</f>
        <v>390000</v>
      </c>
      <c r="E424" s="754">
        <f>SUM(E425)</f>
        <v>390000</v>
      </c>
      <c r="F424" s="755">
        <f t="shared" si="24"/>
        <v>100</v>
      </c>
      <c r="G424" s="769"/>
    </row>
    <row r="425" spans="1:7" s="763" customFormat="1" ht="18.75" customHeight="1">
      <c r="A425" s="757"/>
      <c r="B425" s="758"/>
      <c r="C425" s="759" t="s">
        <v>360</v>
      </c>
      <c r="D425" s="760">
        <f>SUM(D426)</f>
        <v>390000</v>
      </c>
      <c r="E425" s="760">
        <f>SUM(E426)</f>
        <v>390000</v>
      </c>
      <c r="F425" s="761">
        <f t="shared" si="24"/>
        <v>100</v>
      </c>
      <c r="G425" s="762"/>
    </row>
    <row r="426" spans="1:7" s="770" customFormat="1" ht="18.75" customHeight="1">
      <c r="A426" s="764"/>
      <c r="B426" s="765"/>
      <c r="C426" s="766" t="s">
        <v>468</v>
      </c>
      <c r="D426" s="767">
        <v>390000</v>
      </c>
      <c r="E426" s="767">
        <v>390000</v>
      </c>
      <c r="F426" s="768">
        <f t="shared" si="24"/>
        <v>100</v>
      </c>
      <c r="G426" s="782"/>
    </row>
    <row r="427" spans="1:7" s="515" customFormat="1" ht="18.75" customHeight="1">
      <c r="A427" s="786"/>
      <c r="B427" s="752" t="s">
        <v>708</v>
      </c>
      <c r="C427" s="753" t="s">
        <v>709</v>
      </c>
      <c r="D427" s="754">
        <f>SUM(D428,D431)</f>
        <v>451850</v>
      </c>
      <c r="E427" s="754">
        <f>SUM(E428,E431)</f>
        <v>421080.86</v>
      </c>
      <c r="F427" s="768">
        <f t="shared" si="24"/>
        <v>93.19040832134557</v>
      </c>
      <c r="G427" s="519"/>
    </row>
    <row r="428" spans="1:7" s="763" customFormat="1" ht="18.75" customHeight="1">
      <c r="A428" s="757"/>
      <c r="B428" s="758"/>
      <c r="C428" s="759" t="s">
        <v>360</v>
      </c>
      <c r="D428" s="760">
        <f>SUM(D429)</f>
        <v>290000</v>
      </c>
      <c r="E428" s="760">
        <f>SUM(E429)</f>
        <v>289247.66</v>
      </c>
      <c r="F428" s="761">
        <f t="shared" si="24"/>
        <v>99.74057241379309</v>
      </c>
      <c r="G428" s="762"/>
    </row>
    <row r="429" spans="1:7" s="770" customFormat="1" ht="18" customHeight="1">
      <c r="A429" s="764"/>
      <c r="B429" s="765"/>
      <c r="C429" s="766" t="s">
        <v>466</v>
      </c>
      <c r="D429" s="767">
        <f>SUM(D430)</f>
        <v>290000</v>
      </c>
      <c r="E429" s="767">
        <f>SUM(E430)</f>
        <v>289247.66</v>
      </c>
      <c r="F429" s="768">
        <f t="shared" si="24"/>
        <v>99.74057241379309</v>
      </c>
      <c r="G429" s="769"/>
    </row>
    <row r="430" spans="1:7" s="776" customFormat="1" ht="18.75" customHeight="1">
      <c r="A430" s="771"/>
      <c r="B430" s="772"/>
      <c r="C430" s="773" t="s">
        <v>467</v>
      </c>
      <c r="D430" s="774">
        <v>290000</v>
      </c>
      <c r="E430" s="774">
        <v>289247.66</v>
      </c>
      <c r="F430" s="775">
        <f t="shared" si="24"/>
        <v>99.74057241379309</v>
      </c>
      <c r="G430" s="769"/>
    </row>
    <row r="431" spans="1:7" s="763" customFormat="1" ht="18.75" customHeight="1">
      <c r="A431" s="757"/>
      <c r="B431" s="758"/>
      <c r="C431" s="759" t="s">
        <v>469</v>
      </c>
      <c r="D431" s="760">
        <f>SUM(D432,D433)</f>
        <v>161850</v>
      </c>
      <c r="E431" s="760">
        <f>SUM(E432,E433)</f>
        <v>131833.2</v>
      </c>
      <c r="F431" s="761">
        <f t="shared" si="24"/>
        <v>81.45393883225209</v>
      </c>
      <c r="G431" s="762"/>
    </row>
    <row r="432" spans="1:7" s="770" customFormat="1" ht="18" customHeight="1">
      <c r="A432" s="764"/>
      <c r="B432" s="765"/>
      <c r="C432" s="766" t="s">
        <v>492</v>
      </c>
      <c r="D432" s="767">
        <v>131850</v>
      </c>
      <c r="E432" s="767">
        <v>131833.2</v>
      </c>
      <c r="F432" s="768">
        <f t="shared" si="24"/>
        <v>99.98725824800911</v>
      </c>
      <c r="G432" s="769"/>
    </row>
    <row r="433" spans="1:7" s="770" customFormat="1" ht="18.75" customHeight="1">
      <c r="A433" s="789"/>
      <c r="B433" s="765"/>
      <c r="C433" s="766" t="s">
        <v>471</v>
      </c>
      <c r="D433" s="767">
        <v>30000</v>
      </c>
      <c r="E433" s="767">
        <v>0</v>
      </c>
      <c r="F433" s="768">
        <f t="shared" si="24"/>
        <v>0</v>
      </c>
      <c r="G433" s="769"/>
    </row>
    <row r="434" spans="1:8" s="791" customFormat="1" ht="18.75" customHeight="1">
      <c r="A434" s="786"/>
      <c r="B434" s="752" t="s">
        <v>1068</v>
      </c>
      <c r="C434" s="783" t="s">
        <v>1433</v>
      </c>
      <c r="D434" s="754">
        <f>SUM(D435)</f>
        <v>1259305</v>
      </c>
      <c r="E434" s="754">
        <f>SUM(E435)</f>
        <v>1257989.5999999999</v>
      </c>
      <c r="F434" s="755">
        <f t="shared" si="24"/>
        <v>99.89554555885984</v>
      </c>
      <c r="G434" s="769"/>
      <c r="H434" s="770"/>
    </row>
    <row r="435" spans="1:7" s="763" customFormat="1" ht="18.75" customHeight="1">
      <c r="A435" s="757"/>
      <c r="B435" s="758"/>
      <c r="C435" s="759" t="s">
        <v>360</v>
      </c>
      <c r="D435" s="760">
        <f>SUM(D436,D439,D440)</f>
        <v>1259305</v>
      </c>
      <c r="E435" s="760">
        <f>SUM(E436,E439,E440)</f>
        <v>1257989.5999999999</v>
      </c>
      <c r="F435" s="761">
        <f t="shared" si="24"/>
        <v>99.89554555885984</v>
      </c>
      <c r="G435" s="762"/>
    </row>
    <row r="436" spans="1:7" s="770" customFormat="1" ht="18" customHeight="1">
      <c r="A436" s="764"/>
      <c r="B436" s="765"/>
      <c r="C436" s="766" t="s">
        <v>466</v>
      </c>
      <c r="D436" s="767">
        <f>SUM(D438,D437)</f>
        <v>1197655</v>
      </c>
      <c r="E436" s="767">
        <f>SUM(E438,E437)</f>
        <v>1196417.93</v>
      </c>
      <c r="F436" s="768">
        <f t="shared" si="24"/>
        <v>99.89670898547578</v>
      </c>
      <c r="G436" s="769"/>
    </row>
    <row r="437" spans="1:7" s="776" customFormat="1" ht="18.75" customHeight="1" hidden="1">
      <c r="A437" s="771"/>
      <c r="B437" s="772"/>
      <c r="C437" s="773" t="s">
        <v>910</v>
      </c>
      <c r="D437" s="774">
        <v>0</v>
      </c>
      <c r="E437" s="774">
        <v>0</v>
      </c>
      <c r="F437" s="775" t="e">
        <f t="shared" si="24"/>
        <v>#DIV/0!</v>
      </c>
      <c r="G437" s="769"/>
    </row>
    <row r="438" spans="1:7" s="776" customFormat="1" ht="18.75" customHeight="1">
      <c r="A438" s="771"/>
      <c r="B438" s="772"/>
      <c r="C438" s="773" t="s">
        <v>467</v>
      </c>
      <c r="D438" s="774">
        <v>1197655</v>
      </c>
      <c r="E438" s="774">
        <v>1196417.93</v>
      </c>
      <c r="F438" s="775">
        <f t="shared" si="24"/>
        <v>99.89670898547578</v>
      </c>
      <c r="G438" s="769"/>
    </row>
    <row r="439" spans="1:7" s="770" customFormat="1" ht="18.75" customHeight="1">
      <c r="A439" s="789"/>
      <c r="B439" s="765"/>
      <c r="C439" s="766" t="s">
        <v>468</v>
      </c>
      <c r="D439" s="767">
        <v>61300</v>
      </c>
      <c r="E439" s="767">
        <v>61221.67</v>
      </c>
      <c r="F439" s="768">
        <f t="shared" si="24"/>
        <v>99.87221859706362</v>
      </c>
      <c r="G439" s="782"/>
    </row>
    <row r="440" spans="1:7" s="770" customFormat="1" ht="18.75" customHeight="1">
      <c r="A440" s="789"/>
      <c r="B440" s="765"/>
      <c r="C440" s="800" t="s">
        <v>487</v>
      </c>
      <c r="D440" s="767">
        <v>350</v>
      </c>
      <c r="E440" s="767">
        <v>350</v>
      </c>
      <c r="F440" s="768">
        <f t="shared" si="24"/>
        <v>100</v>
      </c>
      <c r="G440" s="769"/>
    </row>
    <row r="441" spans="1:8" s="791" customFormat="1" ht="18.75" customHeight="1">
      <c r="A441" s="746" t="s">
        <v>245</v>
      </c>
      <c r="B441" s="747"/>
      <c r="C441" s="784" t="s">
        <v>246</v>
      </c>
      <c r="D441" s="749">
        <f>SUM(D442,D445)</f>
        <v>12267200</v>
      </c>
      <c r="E441" s="749">
        <f>SUM(E442,E445)</f>
        <v>10083046.12</v>
      </c>
      <c r="F441" s="750">
        <f aca="true" t="shared" si="25" ref="F441:F473">E441/D441*100</f>
        <v>82.19517184035476</v>
      </c>
      <c r="G441" s="769"/>
      <c r="H441" s="770"/>
    </row>
    <row r="442" spans="1:8" s="791" customFormat="1" ht="18.75" customHeight="1">
      <c r="A442" s="751"/>
      <c r="B442" s="752" t="s">
        <v>250</v>
      </c>
      <c r="C442" s="783" t="s">
        <v>251</v>
      </c>
      <c r="D442" s="754">
        <f>SUM(D443)</f>
        <v>8556000</v>
      </c>
      <c r="E442" s="754">
        <f>SUM(E443)</f>
        <v>6395156.56</v>
      </c>
      <c r="F442" s="755">
        <f t="shared" si="25"/>
        <v>74.74470032725571</v>
      </c>
      <c r="G442" s="769"/>
      <c r="H442" s="770"/>
    </row>
    <row r="443" spans="1:7" s="763" customFormat="1" ht="18.75" customHeight="1">
      <c r="A443" s="757"/>
      <c r="B443" s="758"/>
      <c r="C443" s="759" t="s">
        <v>469</v>
      </c>
      <c r="D443" s="760">
        <f>SUM(D444)</f>
        <v>8556000</v>
      </c>
      <c r="E443" s="760">
        <f>SUM(E444)</f>
        <v>6395156.56</v>
      </c>
      <c r="F443" s="761">
        <f t="shared" si="25"/>
        <v>74.74470032725571</v>
      </c>
      <c r="G443" s="762"/>
    </row>
    <row r="444" spans="1:7" s="770" customFormat="1" ht="18" customHeight="1">
      <c r="A444" s="764"/>
      <c r="B444" s="765"/>
      <c r="C444" s="766" t="s">
        <v>471</v>
      </c>
      <c r="D444" s="767">
        <v>8556000</v>
      </c>
      <c r="E444" s="767">
        <v>6395156.56</v>
      </c>
      <c r="F444" s="768">
        <f t="shared" si="25"/>
        <v>74.74470032725571</v>
      </c>
      <c r="G444" s="769"/>
    </row>
    <row r="445" spans="1:8" s="791" customFormat="1" ht="18.75" customHeight="1">
      <c r="A445" s="751"/>
      <c r="B445" s="752" t="s">
        <v>252</v>
      </c>
      <c r="C445" s="753" t="s">
        <v>253</v>
      </c>
      <c r="D445" s="754">
        <f>SUM(D446,D452)</f>
        <v>3711200</v>
      </c>
      <c r="E445" s="754">
        <f>SUM(E446,E452)</f>
        <v>3687889.5599999996</v>
      </c>
      <c r="F445" s="755">
        <f t="shared" si="25"/>
        <v>99.37188941582237</v>
      </c>
      <c r="G445" s="769"/>
      <c r="H445" s="770"/>
    </row>
    <row r="446" spans="1:7" s="763" customFormat="1" ht="18.75" customHeight="1">
      <c r="A446" s="757"/>
      <c r="B446" s="758"/>
      <c r="C446" s="759" t="s">
        <v>360</v>
      </c>
      <c r="D446" s="760">
        <f>SUM(D447,D450,D451)</f>
        <v>3321200</v>
      </c>
      <c r="E446" s="760">
        <f>SUM(E447,E450,E451)</f>
        <v>3297889.5599999996</v>
      </c>
      <c r="F446" s="761">
        <f t="shared" si="25"/>
        <v>99.29813200048174</v>
      </c>
      <c r="G446" s="762"/>
    </row>
    <row r="447" spans="1:7" s="770" customFormat="1" ht="18" customHeight="1">
      <c r="A447" s="764"/>
      <c r="B447" s="765"/>
      <c r="C447" s="766" t="s">
        <v>466</v>
      </c>
      <c r="D447" s="767">
        <f>SUM(D449,D448)</f>
        <v>120540</v>
      </c>
      <c r="E447" s="767">
        <f>SUM(E449,E448)</f>
        <v>119122.16</v>
      </c>
      <c r="F447" s="768">
        <f t="shared" si="25"/>
        <v>98.82375974780156</v>
      </c>
      <c r="G447" s="769"/>
    </row>
    <row r="448" spans="1:7" s="776" customFormat="1" ht="18.75" customHeight="1">
      <c r="A448" s="771"/>
      <c r="B448" s="772"/>
      <c r="C448" s="773" t="s">
        <v>910</v>
      </c>
      <c r="D448" s="774">
        <v>835</v>
      </c>
      <c r="E448" s="774">
        <v>832.47</v>
      </c>
      <c r="F448" s="775">
        <f t="shared" si="25"/>
        <v>99.69700598802396</v>
      </c>
      <c r="G448" s="769"/>
    </row>
    <row r="449" spans="1:7" s="776" customFormat="1" ht="18.75" customHeight="1">
      <c r="A449" s="771"/>
      <c r="B449" s="772"/>
      <c r="C449" s="773" t="s">
        <v>467</v>
      </c>
      <c r="D449" s="774">
        <v>119705</v>
      </c>
      <c r="E449" s="774">
        <v>118289.69</v>
      </c>
      <c r="F449" s="775">
        <f t="shared" si="25"/>
        <v>98.81766843490247</v>
      </c>
      <c r="G449" s="769"/>
    </row>
    <row r="450" spans="1:7" s="770" customFormat="1" ht="18.75" customHeight="1">
      <c r="A450" s="789"/>
      <c r="B450" s="765"/>
      <c r="C450" s="766" t="s">
        <v>468</v>
      </c>
      <c r="D450" s="767">
        <v>1911500</v>
      </c>
      <c r="E450" s="767">
        <v>1911500</v>
      </c>
      <c r="F450" s="768">
        <f t="shared" si="25"/>
        <v>100</v>
      </c>
      <c r="G450" s="782"/>
    </row>
    <row r="451" spans="1:7" s="770" customFormat="1" ht="18.75" customHeight="1">
      <c r="A451" s="789"/>
      <c r="B451" s="765"/>
      <c r="C451" s="800" t="s">
        <v>487</v>
      </c>
      <c r="D451" s="767">
        <v>1289160</v>
      </c>
      <c r="E451" s="767">
        <v>1267267.4</v>
      </c>
      <c r="F451" s="768">
        <f t="shared" si="25"/>
        <v>98.30179341586769</v>
      </c>
      <c r="G451" s="769"/>
    </row>
    <row r="452" spans="1:7" s="763" customFormat="1" ht="18.75" customHeight="1">
      <c r="A452" s="757"/>
      <c r="B452" s="758"/>
      <c r="C452" s="759" t="s">
        <v>469</v>
      </c>
      <c r="D452" s="760">
        <f>SUM(D453)</f>
        <v>390000</v>
      </c>
      <c r="E452" s="760">
        <f>SUM(E453)</f>
        <v>390000</v>
      </c>
      <c r="F452" s="761">
        <f t="shared" si="25"/>
        <v>100</v>
      </c>
      <c r="G452" s="762"/>
    </row>
    <row r="453" spans="1:7" s="770" customFormat="1" ht="18" customHeight="1">
      <c r="A453" s="764"/>
      <c r="B453" s="765"/>
      <c r="C453" s="766" t="s">
        <v>492</v>
      </c>
      <c r="D453" s="767">
        <v>390000</v>
      </c>
      <c r="E453" s="767">
        <v>390000</v>
      </c>
      <c r="F453" s="768">
        <f t="shared" si="25"/>
        <v>100</v>
      </c>
      <c r="G453" s="769"/>
    </row>
    <row r="454" spans="1:7" s="159" customFormat="1" ht="18.75" customHeight="1">
      <c r="A454" s="1424" t="s">
        <v>95</v>
      </c>
      <c r="B454" s="1425"/>
      <c r="C454" s="1426"/>
      <c r="D454" s="802">
        <f>SUM(D455,D465,D472,D487,D503,D524,D571,D594,D637,D661,D701)</f>
        <v>70647009</v>
      </c>
      <c r="E454" s="802">
        <f>SUM(E455,E465,E472,E487,E503,E524,E571,E594,E637,E661,E701)</f>
        <v>64537491.07000001</v>
      </c>
      <c r="F454" s="803">
        <f t="shared" si="25"/>
        <v>91.35205012005534</v>
      </c>
      <c r="G454" s="165"/>
    </row>
    <row r="455" spans="1:7" s="159" customFormat="1" ht="18.75" customHeight="1">
      <c r="A455" s="804" t="s">
        <v>67</v>
      </c>
      <c r="B455" s="805"/>
      <c r="C455" s="806" t="s">
        <v>68</v>
      </c>
      <c r="D455" s="338">
        <f>SUM(D456)</f>
        <v>37121383</v>
      </c>
      <c r="E455" s="338">
        <f>SUM(E456)</f>
        <v>32929553.240000002</v>
      </c>
      <c r="F455" s="807">
        <f t="shared" si="25"/>
        <v>88.7077758929402</v>
      </c>
      <c r="G455" s="165"/>
    </row>
    <row r="456" spans="1:6" ht="39" customHeight="1">
      <c r="A456" s="808"/>
      <c r="B456" s="809" t="s">
        <v>69</v>
      </c>
      <c r="C456" s="327" t="s">
        <v>654</v>
      </c>
      <c r="D456" s="328">
        <f>SUM(D457,D463)</f>
        <v>37121383</v>
      </c>
      <c r="E456" s="328">
        <f>SUM(E457,E463)</f>
        <v>32929553.240000002</v>
      </c>
      <c r="F456" s="810">
        <f t="shared" si="25"/>
        <v>88.7077758929402</v>
      </c>
    </row>
    <row r="457" spans="1:7" s="325" customFormat="1" ht="18.75" customHeight="1">
      <c r="A457" s="811"/>
      <c r="B457" s="812"/>
      <c r="C457" s="813" t="s">
        <v>360</v>
      </c>
      <c r="D457" s="322">
        <f>SUM(D458,D461,D462)</f>
        <v>26678383</v>
      </c>
      <c r="E457" s="322">
        <f>SUM(E458,E461,E462)</f>
        <v>26223451</v>
      </c>
      <c r="F457" s="814">
        <f t="shared" si="25"/>
        <v>98.29475422104855</v>
      </c>
      <c r="G457" s="815"/>
    </row>
    <row r="458" spans="1:7" s="822" customFormat="1" ht="18" customHeight="1">
      <c r="A458" s="816"/>
      <c r="B458" s="817"/>
      <c r="C458" s="818" t="s">
        <v>466</v>
      </c>
      <c r="D458" s="819">
        <f>SUM(D459,D460)</f>
        <v>26052604</v>
      </c>
      <c r="E458" s="819">
        <f>SUM(E459,E460)</f>
        <v>25606888.57</v>
      </c>
      <c r="F458" s="820">
        <f t="shared" si="25"/>
        <v>98.28917128591061</v>
      </c>
      <c r="G458" s="821"/>
    </row>
    <row r="459" spans="1:7" s="831" customFormat="1" ht="18.75" customHeight="1">
      <c r="A459" s="826"/>
      <c r="B459" s="827"/>
      <c r="C459" s="828" t="s">
        <v>467</v>
      </c>
      <c r="D459" s="829">
        <v>14962492</v>
      </c>
      <c r="E459" s="829">
        <v>14559512.38</v>
      </c>
      <c r="F459" s="830">
        <f t="shared" si="25"/>
        <v>97.30673460009203</v>
      </c>
      <c r="G459" s="821"/>
    </row>
    <row r="460" spans="1:7" s="831" customFormat="1" ht="18.75" customHeight="1">
      <c r="A460" s="826"/>
      <c r="B460" s="827"/>
      <c r="C460" s="828" t="s">
        <v>910</v>
      </c>
      <c r="D460" s="829">
        <v>11090112</v>
      </c>
      <c r="E460" s="829">
        <v>11047376.19</v>
      </c>
      <c r="F460" s="830">
        <f t="shared" si="25"/>
        <v>99.61464942824743</v>
      </c>
      <c r="G460" s="821"/>
    </row>
    <row r="461" spans="1:7" s="831" customFormat="1" ht="18.75" customHeight="1">
      <c r="A461" s="1317"/>
      <c r="B461" s="827"/>
      <c r="C461" s="825" t="s">
        <v>495</v>
      </c>
      <c r="D461" s="819">
        <v>18000</v>
      </c>
      <c r="E461" s="819">
        <v>8784</v>
      </c>
      <c r="F461" s="820">
        <f t="shared" si="25"/>
        <v>48.8</v>
      </c>
      <c r="G461" s="821"/>
    </row>
    <row r="462" spans="1:7" s="822" customFormat="1" ht="18.75" customHeight="1">
      <c r="A462" s="824"/>
      <c r="B462" s="817"/>
      <c r="C462" s="825" t="s">
        <v>487</v>
      </c>
      <c r="D462" s="819">
        <v>607779</v>
      </c>
      <c r="E462" s="819">
        <v>607778.43</v>
      </c>
      <c r="F462" s="820">
        <f t="shared" si="25"/>
        <v>99.99990621591073</v>
      </c>
      <c r="G462" s="821"/>
    </row>
    <row r="463" spans="1:7" s="325" customFormat="1" ht="18.75" customHeight="1">
      <c r="A463" s="811"/>
      <c r="B463" s="812"/>
      <c r="C463" s="813" t="s">
        <v>469</v>
      </c>
      <c r="D463" s="322">
        <f>SUM(D464)</f>
        <v>10443000</v>
      </c>
      <c r="E463" s="322">
        <f>SUM(E464)</f>
        <v>6706102.24</v>
      </c>
      <c r="F463" s="814">
        <f t="shared" si="25"/>
        <v>64.21624284209518</v>
      </c>
      <c r="G463" s="815"/>
    </row>
    <row r="464" spans="1:7" s="822" customFormat="1" ht="18.75" customHeight="1">
      <c r="A464" s="816"/>
      <c r="B464" s="817"/>
      <c r="C464" s="818" t="s">
        <v>471</v>
      </c>
      <c r="D464" s="819">
        <v>10443000</v>
      </c>
      <c r="E464" s="819">
        <v>6706102.24</v>
      </c>
      <c r="F464" s="820">
        <f t="shared" si="25"/>
        <v>64.21624284209518</v>
      </c>
      <c r="G464" s="823"/>
    </row>
    <row r="465" spans="1:7" s="159" customFormat="1" ht="18" customHeight="1">
      <c r="A465" s="804" t="s">
        <v>74</v>
      </c>
      <c r="B465" s="805"/>
      <c r="C465" s="806" t="s">
        <v>75</v>
      </c>
      <c r="D465" s="338">
        <f>SUM(D466)</f>
        <v>74000</v>
      </c>
      <c r="E465" s="338">
        <f>SUM(E466)</f>
        <v>39128.15</v>
      </c>
      <c r="F465" s="807">
        <f t="shared" si="25"/>
        <v>52.87587837837838</v>
      </c>
      <c r="G465" s="165"/>
    </row>
    <row r="466" spans="1:6" ht="17.25" customHeight="1">
      <c r="A466" s="808"/>
      <c r="B466" s="809" t="s">
        <v>76</v>
      </c>
      <c r="C466" s="327" t="s">
        <v>77</v>
      </c>
      <c r="D466" s="328">
        <f>SUM(D467,D470)</f>
        <v>74000</v>
      </c>
      <c r="E466" s="328">
        <f>SUM(E467,E470)</f>
        <v>39128.15</v>
      </c>
      <c r="F466" s="810">
        <f t="shared" si="25"/>
        <v>52.87587837837838</v>
      </c>
    </row>
    <row r="467" spans="1:7" s="325" customFormat="1" ht="18.75" customHeight="1">
      <c r="A467" s="811"/>
      <c r="B467" s="812"/>
      <c r="C467" s="813" t="s">
        <v>360</v>
      </c>
      <c r="D467" s="322">
        <f>SUM(D468)</f>
        <v>63878</v>
      </c>
      <c r="E467" s="322">
        <f>SUM(E468)</f>
        <v>39006.15</v>
      </c>
      <c r="F467" s="814">
        <f t="shared" si="25"/>
        <v>61.063511694167005</v>
      </c>
      <c r="G467" s="815"/>
    </row>
    <row r="468" spans="1:7" s="822" customFormat="1" ht="18" customHeight="1">
      <c r="A468" s="816"/>
      <c r="B468" s="817"/>
      <c r="C468" s="818" t="s">
        <v>466</v>
      </c>
      <c r="D468" s="819">
        <f>SUM(D469)</f>
        <v>63878</v>
      </c>
      <c r="E468" s="819">
        <f>SUM(E469)</f>
        <v>39006.15</v>
      </c>
      <c r="F468" s="820">
        <f t="shared" si="25"/>
        <v>61.063511694167005</v>
      </c>
      <c r="G468" s="821"/>
    </row>
    <row r="469" spans="1:7" s="831" customFormat="1" ht="18.75" customHeight="1">
      <c r="A469" s="826"/>
      <c r="B469" s="827"/>
      <c r="C469" s="828" t="s">
        <v>467</v>
      </c>
      <c r="D469" s="829">
        <v>63878</v>
      </c>
      <c r="E469" s="829">
        <v>39006.15</v>
      </c>
      <c r="F469" s="830">
        <f t="shared" si="25"/>
        <v>61.063511694167005</v>
      </c>
      <c r="G469" s="821"/>
    </row>
    <row r="470" spans="1:7" s="325" customFormat="1" ht="18.75" customHeight="1">
      <c r="A470" s="811"/>
      <c r="B470" s="812"/>
      <c r="C470" s="813" t="s">
        <v>469</v>
      </c>
      <c r="D470" s="322">
        <f>SUM(D471)</f>
        <v>10122</v>
      </c>
      <c r="E470" s="322">
        <f>SUM(E471)</f>
        <v>122</v>
      </c>
      <c r="F470" s="814">
        <f t="shared" si="25"/>
        <v>1.2052953961667656</v>
      </c>
      <c r="G470" s="815"/>
    </row>
    <row r="471" spans="1:7" s="822" customFormat="1" ht="18.75" customHeight="1">
      <c r="A471" s="816"/>
      <c r="B471" s="817"/>
      <c r="C471" s="818" t="s">
        <v>470</v>
      </c>
      <c r="D471" s="819">
        <v>10122</v>
      </c>
      <c r="E471" s="819">
        <v>122</v>
      </c>
      <c r="F471" s="820">
        <f t="shared" si="25"/>
        <v>1.2052953961667656</v>
      </c>
      <c r="G471" s="823"/>
    </row>
    <row r="472" spans="1:7" s="159" customFormat="1" ht="18.75" customHeight="1">
      <c r="A472" s="804" t="s">
        <v>78</v>
      </c>
      <c r="B472" s="805"/>
      <c r="C472" s="832" t="s">
        <v>79</v>
      </c>
      <c r="D472" s="338">
        <f>SUM(D473,D477,D481)</f>
        <v>523780</v>
      </c>
      <c r="E472" s="338">
        <f>SUM(E473,E477,E481)</f>
        <v>502433.21</v>
      </c>
      <c r="F472" s="807">
        <f t="shared" si="25"/>
        <v>95.92447401580817</v>
      </c>
      <c r="G472" s="165"/>
    </row>
    <row r="473" spans="1:6" ht="18.75" customHeight="1">
      <c r="A473" s="808"/>
      <c r="B473" s="809" t="s">
        <v>80</v>
      </c>
      <c r="C473" s="833" t="s">
        <v>387</v>
      </c>
      <c r="D473" s="328">
        <f>D474</f>
        <v>121197</v>
      </c>
      <c r="E473" s="328">
        <f>E474</f>
        <v>121197</v>
      </c>
      <c r="F473" s="810">
        <f t="shared" si="25"/>
        <v>100</v>
      </c>
    </row>
    <row r="474" spans="1:7" s="325" customFormat="1" ht="18.75" customHeight="1">
      <c r="A474" s="811"/>
      <c r="B474" s="812"/>
      <c r="C474" s="813" t="s">
        <v>360</v>
      </c>
      <c r="D474" s="322">
        <f>SUM(D475)</f>
        <v>121197</v>
      </c>
      <c r="E474" s="322">
        <f>SUM(E475)</f>
        <v>121197</v>
      </c>
      <c r="F474" s="814">
        <f aca="true" t="shared" si="26" ref="F474:F502">E474/D474*100</f>
        <v>100</v>
      </c>
      <c r="G474" s="815"/>
    </row>
    <row r="475" spans="1:7" s="822" customFormat="1" ht="18" customHeight="1">
      <c r="A475" s="816"/>
      <c r="B475" s="817"/>
      <c r="C475" s="818" t="s">
        <v>466</v>
      </c>
      <c r="D475" s="819">
        <f>SUM(D476)</f>
        <v>121197</v>
      </c>
      <c r="E475" s="819">
        <f>SUM(E476)</f>
        <v>121197</v>
      </c>
      <c r="F475" s="820">
        <f t="shared" si="26"/>
        <v>100</v>
      </c>
      <c r="G475" s="821"/>
    </row>
    <row r="476" spans="1:7" s="831" customFormat="1" ht="18.75" customHeight="1">
      <c r="A476" s="826"/>
      <c r="B476" s="827"/>
      <c r="C476" s="828" t="s">
        <v>467</v>
      </c>
      <c r="D476" s="829">
        <v>121197</v>
      </c>
      <c r="E476" s="829">
        <v>121197</v>
      </c>
      <c r="F476" s="830">
        <f t="shared" si="26"/>
        <v>100</v>
      </c>
      <c r="G476" s="821"/>
    </row>
    <row r="477" spans="1:6" ht="18.75" customHeight="1">
      <c r="A477" s="808"/>
      <c r="B477" s="809" t="s">
        <v>81</v>
      </c>
      <c r="C477" s="327" t="s">
        <v>82</v>
      </c>
      <c r="D477" s="328">
        <f>D480</f>
        <v>31000</v>
      </c>
      <c r="E477" s="328">
        <f>E480</f>
        <v>11000</v>
      </c>
      <c r="F477" s="810">
        <f t="shared" si="26"/>
        <v>35.483870967741936</v>
      </c>
    </row>
    <row r="478" spans="1:7" s="325" customFormat="1" ht="18.75" customHeight="1">
      <c r="A478" s="811"/>
      <c r="B478" s="812"/>
      <c r="C478" s="813" t="s">
        <v>360</v>
      </c>
      <c r="D478" s="322">
        <f>SUM(D479)</f>
        <v>31000</v>
      </c>
      <c r="E478" s="322">
        <f>SUM(E479)</f>
        <v>11000</v>
      </c>
      <c r="F478" s="814">
        <f t="shared" si="26"/>
        <v>35.483870967741936</v>
      </c>
      <c r="G478" s="815"/>
    </row>
    <row r="479" spans="1:7" s="822" customFormat="1" ht="18" customHeight="1">
      <c r="A479" s="816"/>
      <c r="B479" s="817"/>
      <c r="C479" s="818" t="s">
        <v>466</v>
      </c>
      <c r="D479" s="819">
        <f>SUM(D480)</f>
        <v>31000</v>
      </c>
      <c r="E479" s="819">
        <f>SUM(E480)</f>
        <v>11000</v>
      </c>
      <c r="F479" s="820">
        <f t="shared" si="26"/>
        <v>35.483870967741936</v>
      </c>
      <c r="G479" s="821"/>
    </row>
    <row r="480" spans="1:7" s="831" customFormat="1" ht="18.75" customHeight="1">
      <c r="A480" s="826"/>
      <c r="B480" s="827"/>
      <c r="C480" s="828" t="s">
        <v>467</v>
      </c>
      <c r="D480" s="829">
        <v>31000</v>
      </c>
      <c r="E480" s="829">
        <v>11000</v>
      </c>
      <c r="F480" s="830">
        <f t="shared" si="26"/>
        <v>35.483870967741936</v>
      </c>
      <c r="G480" s="821"/>
    </row>
    <row r="481" spans="1:6" ht="18.75" customHeight="1">
      <c r="A481" s="834"/>
      <c r="B481" s="809" t="s">
        <v>83</v>
      </c>
      <c r="C481" s="833" t="s">
        <v>87</v>
      </c>
      <c r="D481" s="328">
        <f>SUM(D482)</f>
        <v>371583</v>
      </c>
      <c r="E481" s="328">
        <f>SUM(E482)</f>
        <v>370236.21</v>
      </c>
      <c r="F481" s="810">
        <f t="shared" si="26"/>
        <v>99.6375533864574</v>
      </c>
    </row>
    <row r="482" spans="1:7" s="325" customFormat="1" ht="18.75" customHeight="1">
      <c r="A482" s="811"/>
      <c r="B482" s="812"/>
      <c r="C482" s="813" t="s">
        <v>360</v>
      </c>
      <c r="D482" s="322">
        <f>SUM(D483,D486)</f>
        <v>371583</v>
      </c>
      <c r="E482" s="322">
        <f>SUM(E483,E486)</f>
        <v>370236.21</v>
      </c>
      <c r="F482" s="814">
        <f t="shared" si="26"/>
        <v>99.6375533864574</v>
      </c>
      <c r="G482" s="815"/>
    </row>
    <row r="483" spans="1:7" s="822" customFormat="1" ht="18" customHeight="1">
      <c r="A483" s="816"/>
      <c r="B483" s="817"/>
      <c r="C483" s="818" t="s">
        <v>466</v>
      </c>
      <c r="D483" s="819">
        <f>SUM(D484,D485)</f>
        <v>370958</v>
      </c>
      <c r="E483" s="819">
        <f>SUM(E484,E485)</f>
        <v>369611.82</v>
      </c>
      <c r="F483" s="820">
        <f t="shared" si="26"/>
        <v>99.63710716577079</v>
      </c>
      <c r="G483" s="821"/>
    </row>
    <row r="484" spans="1:7" s="831" customFormat="1" ht="18.75" customHeight="1">
      <c r="A484" s="826"/>
      <c r="B484" s="827"/>
      <c r="C484" s="828" t="s">
        <v>467</v>
      </c>
      <c r="D484" s="829">
        <v>49133</v>
      </c>
      <c r="E484" s="829">
        <v>47789.44</v>
      </c>
      <c r="F484" s="830">
        <f t="shared" si="26"/>
        <v>97.2654631306861</v>
      </c>
      <c r="G484" s="821"/>
    </row>
    <row r="485" spans="1:7" s="831" customFormat="1" ht="18.75" customHeight="1">
      <c r="A485" s="826"/>
      <c r="B485" s="827"/>
      <c r="C485" s="828" t="s">
        <v>910</v>
      </c>
      <c r="D485" s="829">
        <v>321825</v>
      </c>
      <c r="E485" s="829">
        <v>321822.38</v>
      </c>
      <c r="F485" s="830">
        <f t="shared" si="26"/>
        <v>99.99918589295424</v>
      </c>
      <c r="G485" s="821"/>
    </row>
    <row r="486" spans="1:7" s="822" customFormat="1" ht="18.75" customHeight="1">
      <c r="A486" s="824"/>
      <c r="B486" s="817"/>
      <c r="C486" s="825" t="s">
        <v>487</v>
      </c>
      <c r="D486" s="819">
        <v>625</v>
      </c>
      <c r="E486" s="819">
        <v>624.39</v>
      </c>
      <c r="F486" s="820">
        <f t="shared" si="26"/>
        <v>99.9024</v>
      </c>
      <c r="G486" s="821"/>
    </row>
    <row r="487" spans="1:7" s="159" customFormat="1" ht="18.75" customHeight="1">
      <c r="A487" s="835" t="s">
        <v>90</v>
      </c>
      <c r="B487" s="805"/>
      <c r="C487" s="806" t="s">
        <v>91</v>
      </c>
      <c r="D487" s="338">
        <f>SUM(D488,D493,D498)</f>
        <v>2018320</v>
      </c>
      <c r="E487" s="338">
        <f>SUM(E488,E493,E498)</f>
        <v>1860388.4700000002</v>
      </c>
      <c r="F487" s="807">
        <f t="shared" si="26"/>
        <v>92.17509958777597</v>
      </c>
      <c r="G487" s="165"/>
    </row>
    <row r="488" spans="1:6" ht="18.75" customHeight="1">
      <c r="A488" s="834"/>
      <c r="B488" s="809" t="s">
        <v>92</v>
      </c>
      <c r="C488" s="833" t="s">
        <v>98</v>
      </c>
      <c r="D488" s="328">
        <f>D489</f>
        <v>82100</v>
      </c>
      <c r="E488" s="328">
        <f>E489</f>
        <v>82099.59</v>
      </c>
      <c r="F488" s="810">
        <f t="shared" si="26"/>
        <v>99.9995006090134</v>
      </c>
    </row>
    <row r="489" spans="1:7" s="325" customFormat="1" ht="18.75" customHeight="1">
      <c r="A489" s="811"/>
      <c r="B489" s="812"/>
      <c r="C489" s="813" t="s">
        <v>360</v>
      </c>
      <c r="D489" s="322">
        <f>SUM(D490)</f>
        <v>82100</v>
      </c>
      <c r="E489" s="322">
        <f>SUM(E490)</f>
        <v>82099.59</v>
      </c>
      <c r="F489" s="814">
        <f t="shared" si="26"/>
        <v>99.9995006090134</v>
      </c>
      <c r="G489" s="815"/>
    </row>
    <row r="490" spans="1:7" s="822" customFormat="1" ht="18" customHeight="1">
      <c r="A490" s="816"/>
      <c r="B490" s="817"/>
      <c r="C490" s="818" t="s">
        <v>466</v>
      </c>
      <c r="D490" s="819">
        <f>SUM(D491,D492)</f>
        <v>82100</v>
      </c>
      <c r="E490" s="819">
        <f>SUM(E491,E492)</f>
        <v>82099.59</v>
      </c>
      <c r="F490" s="820">
        <f t="shared" si="26"/>
        <v>99.9995006090134</v>
      </c>
      <c r="G490" s="821"/>
    </row>
    <row r="491" spans="1:7" s="831" customFormat="1" ht="18.75" customHeight="1">
      <c r="A491" s="826"/>
      <c r="B491" s="827"/>
      <c r="C491" s="828" t="s">
        <v>467</v>
      </c>
      <c r="D491" s="829">
        <v>1860</v>
      </c>
      <c r="E491" s="829">
        <v>1860</v>
      </c>
      <c r="F491" s="830">
        <f t="shared" si="26"/>
        <v>100</v>
      </c>
      <c r="G491" s="821"/>
    </row>
    <row r="492" spans="1:7" s="831" customFormat="1" ht="18.75" customHeight="1">
      <c r="A492" s="826"/>
      <c r="B492" s="827"/>
      <c r="C492" s="828" t="s">
        <v>910</v>
      </c>
      <c r="D492" s="829">
        <v>80240</v>
      </c>
      <c r="E492" s="829">
        <v>80239.59</v>
      </c>
      <c r="F492" s="830">
        <f t="shared" si="26"/>
        <v>99.9994890329013</v>
      </c>
      <c r="G492" s="821"/>
    </row>
    <row r="493" spans="1:6" ht="18.75" customHeight="1">
      <c r="A493" s="834"/>
      <c r="B493" s="809" t="s">
        <v>99</v>
      </c>
      <c r="C493" s="836" t="s">
        <v>100</v>
      </c>
      <c r="D493" s="328">
        <f>D494</f>
        <v>1915472</v>
      </c>
      <c r="E493" s="328">
        <f>E494</f>
        <v>1757541.1400000001</v>
      </c>
      <c r="F493" s="810">
        <f t="shared" si="26"/>
        <v>91.7549898928306</v>
      </c>
    </row>
    <row r="494" spans="1:7" s="325" customFormat="1" ht="18.75" customHeight="1">
      <c r="A494" s="811"/>
      <c r="B494" s="812"/>
      <c r="C494" s="813" t="s">
        <v>360</v>
      </c>
      <c r="D494" s="322">
        <f>SUM(D495)</f>
        <v>1915472</v>
      </c>
      <c r="E494" s="322">
        <f>SUM(E495)</f>
        <v>1757541.1400000001</v>
      </c>
      <c r="F494" s="814">
        <f t="shared" si="26"/>
        <v>91.7549898928306</v>
      </c>
      <c r="G494" s="815"/>
    </row>
    <row r="495" spans="1:7" s="822" customFormat="1" ht="18" customHeight="1">
      <c r="A495" s="816"/>
      <c r="B495" s="817"/>
      <c r="C495" s="818" t="s">
        <v>466</v>
      </c>
      <c r="D495" s="819">
        <f>SUM(D496,D497)</f>
        <v>1915472</v>
      </c>
      <c r="E495" s="819">
        <f>SUM(E496,E497)</f>
        <v>1757541.1400000001</v>
      </c>
      <c r="F495" s="820">
        <f t="shared" si="26"/>
        <v>91.7549898928306</v>
      </c>
      <c r="G495" s="821"/>
    </row>
    <row r="496" spans="1:7" s="831" customFormat="1" ht="18.75" customHeight="1">
      <c r="A496" s="826"/>
      <c r="B496" s="827"/>
      <c r="C496" s="828" t="s">
        <v>467</v>
      </c>
      <c r="D496" s="829">
        <v>382432</v>
      </c>
      <c r="E496" s="829">
        <v>358074.4</v>
      </c>
      <c r="F496" s="830">
        <f t="shared" si="26"/>
        <v>93.63086770981508</v>
      </c>
      <c r="G496" s="821"/>
    </row>
    <row r="497" spans="1:7" s="831" customFormat="1" ht="18.75" customHeight="1">
      <c r="A497" s="826"/>
      <c r="B497" s="827"/>
      <c r="C497" s="828" t="s">
        <v>910</v>
      </c>
      <c r="D497" s="829">
        <v>1533040</v>
      </c>
      <c r="E497" s="829">
        <v>1399466.74</v>
      </c>
      <c r="F497" s="830">
        <f t="shared" si="26"/>
        <v>91.28703360642906</v>
      </c>
      <c r="G497" s="821"/>
    </row>
    <row r="498" spans="1:6" ht="18.75" customHeight="1">
      <c r="A498" s="834"/>
      <c r="B498" s="809" t="s">
        <v>102</v>
      </c>
      <c r="C498" s="833" t="s">
        <v>957</v>
      </c>
      <c r="D498" s="328">
        <f>D499</f>
        <v>20748</v>
      </c>
      <c r="E498" s="328">
        <f>E499</f>
        <v>20747.739999999998</v>
      </c>
      <c r="F498" s="810">
        <f t="shared" si="26"/>
        <v>99.99874686716791</v>
      </c>
    </row>
    <row r="499" spans="1:7" s="325" customFormat="1" ht="18.75" customHeight="1">
      <c r="A499" s="811"/>
      <c r="B499" s="812"/>
      <c r="C499" s="813" t="s">
        <v>360</v>
      </c>
      <c r="D499" s="322">
        <f>SUM(D500)</f>
        <v>20748</v>
      </c>
      <c r="E499" s="322">
        <f>SUM(E500)</f>
        <v>20747.739999999998</v>
      </c>
      <c r="F499" s="814">
        <f t="shared" si="26"/>
        <v>99.99874686716791</v>
      </c>
      <c r="G499" s="815"/>
    </row>
    <row r="500" spans="1:7" s="822" customFormat="1" ht="18" customHeight="1">
      <c r="A500" s="816"/>
      <c r="B500" s="817"/>
      <c r="C500" s="818" t="s">
        <v>466</v>
      </c>
      <c r="D500" s="819">
        <f>SUM(D501,D502)</f>
        <v>20748</v>
      </c>
      <c r="E500" s="819">
        <f>SUM(E501,E502)</f>
        <v>20747.739999999998</v>
      </c>
      <c r="F500" s="820">
        <f t="shared" si="26"/>
        <v>99.99874686716791</v>
      </c>
      <c r="G500" s="821"/>
    </row>
    <row r="501" spans="1:7" s="831" customFormat="1" ht="18.75" customHeight="1">
      <c r="A501" s="826"/>
      <c r="B501" s="827"/>
      <c r="C501" s="828" t="s">
        <v>467</v>
      </c>
      <c r="D501" s="829">
        <v>12165</v>
      </c>
      <c r="E501" s="829">
        <v>12163.58</v>
      </c>
      <c r="F501" s="830">
        <f t="shared" si="26"/>
        <v>99.98832716810522</v>
      </c>
      <c r="G501" s="821"/>
    </row>
    <row r="502" spans="1:7" s="831" customFormat="1" ht="18.75" customHeight="1">
      <c r="A502" s="826"/>
      <c r="B502" s="827"/>
      <c r="C502" s="828" t="s">
        <v>910</v>
      </c>
      <c r="D502" s="829">
        <v>8583</v>
      </c>
      <c r="E502" s="829">
        <v>8584.16</v>
      </c>
      <c r="F502" s="830">
        <f t="shared" si="26"/>
        <v>100.01351508796459</v>
      </c>
      <c r="G502" s="821"/>
    </row>
    <row r="503" spans="1:8" s="838" customFormat="1" ht="27.75" customHeight="1">
      <c r="A503" s="837" t="s">
        <v>105</v>
      </c>
      <c r="B503" s="805"/>
      <c r="C503" s="832" t="s">
        <v>432</v>
      </c>
      <c r="D503" s="338">
        <f>SUM(D504,D509,D512,D520)</f>
        <v>4077436</v>
      </c>
      <c r="E503" s="338">
        <f>SUM(E504,E509,E512,E520)</f>
        <v>4077343.6100000003</v>
      </c>
      <c r="F503" s="807">
        <f aca="true" t="shared" si="27" ref="F503:F513">E503/D503*100</f>
        <v>99.99773411526263</v>
      </c>
      <c r="G503" s="821"/>
      <c r="H503" s="822"/>
    </row>
    <row r="504" spans="1:8" s="838" customFormat="1" ht="18.75" customHeight="1">
      <c r="A504" s="834"/>
      <c r="B504" s="809" t="s">
        <v>924</v>
      </c>
      <c r="C504" s="836" t="s">
        <v>925</v>
      </c>
      <c r="D504" s="328">
        <f>SUM(D505,D508)</f>
        <v>137000</v>
      </c>
      <c r="E504" s="328">
        <f>SUM(E505,E508)</f>
        <v>136917.14</v>
      </c>
      <c r="F504" s="810">
        <f t="shared" si="27"/>
        <v>99.93951824817519</v>
      </c>
      <c r="G504" s="821"/>
      <c r="H504" s="822"/>
    </row>
    <row r="505" spans="1:7" s="325" customFormat="1" ht="18.75" customHeight="1">
      <c r="A505" s="811"/>
      <c r="B505" s="812"/>
      <c r="C505" s="813" t="s">
        <v>360</v>
      </c>
      <c r="D505" s="322">
        <f>SUM(D506)</f>
        <v>112000</v>
      </c>
      <c r="E505" s="322">
        <f>SUM(E506)</f>
        <v>111917.14</v>
      </c>
      <c r="F505" s="814">
        <f t="shared" si="27"/>
        <v>99.92601785714285</v>
      </c>
      <c r="G505" s="815"/>
    </row>
    <row r="506" spans="1:7" s="822" customFormat="1" ht="18.75" customHeight="1">
      <c r="A506" s="824"/>
      <c r="B506" s="817"/>
      <c r="C506" s="818" t="s">
        <v>468</v>
      </c>
      <c r="D506" s="819">
        <v>112000</v>
      </c>
      <c r="E506" s="819">
        <v>111917.14</v>
      </c>
      <c r="F506" s="820">
        <f>E506/D506*100</f>
        <v>99.92601785714285</v>
      </c>
      <c r="G506" s="823"/>
    </row>
    <row r="507" spans="1:7" s="325" customFormat="1" ht="18.75" customHeight="1">
      <c r="A507" s="811"/>
      <c r="B507" s="812"/>
      <c r="C507" s="813" t="s">
        <v>469</v>
      </c>
      <c r="D507" s="322">
        <f>SUM(D508)</f>
        <v>25000</v>
      </c>
      <c r="E507" s="322">
        <f>SUM(E508)</f>
        <v>25000</v>
      </c>
      <c r="F507" s="814">
        <f>E507/D507*100</f>
        <v>100</v>
      </c>
      <c r="G507" s="815"/>
    </row>
    <row r="508" spans="1:7" s="822" customFormat="1" ht="18.75" customHeight="1">
      <c r="A508" s="816"/>
      <c r="B508" s="817"/>
      <c r="C508" s="818" t="s">
        <v>492</v>
      </c>
      <c r="D508" s="819">
        <v>25000</v>
      </c>
      <c r="E508" s="819">
        <v>25000</v>
      </c>
      <c r="F508" s="820">
        <f>E508/D508*100</f>
        <v>100</v>
      </c>
      <c r="G508" s="823"/>
    </row>
    <row r="509" spans="1:8" s="840" customFormat="1" ht="18.75" customHeight="1">
      <c r="A509" s="834"/>
      <c r="B509" s="809" t="s">
        <v>1418</v>
      </c>
      <c r="C509" s="327" t="s">
        <v>1419</v>
      </c>
      <c r="D509" s="328">
        <f>SUM(D510)</f>
        <v>10000</v>
      </c>
      <c r="E509" s="328">
        <f>SUM(E510)</f>
        <v>9999</v>
      </c>
      <c r="F509" s="810">
        <f t="shared" si="27"/>
        <v>99.99</v>
      </c>
      <c r="G509" s="165"/>
      <c r="H509" s="839"/>
    </row>
    <row r="510" spans="1:7" s="325" customFormat="1" ht="18.75" customHeight="1">
      <c r="A510" s="811"/>
      <c r="B510" s="812"/>
      <c r="C510" s="813" t="s">
        <v>360</v>
      </c>
      <c r="D510" s="322">
        <f>SUM(D511)</f>
        <v>10000</v>
      </c>
      <c r="E510" s="322">
        <f>SUM(E511)</f>
        <v>9999</v>
      </c>
      <c r="F510" s="814">
        <f>E510/D510*100</f>
        <v>99.99</v>
      </c>
      <c r="G510" s="815"/>
    </row>
    <row r="511" spans="1:7" s="822" customFormat="1" ht="18.75" customHeight="1">
      <c r="A511" s="824"/>
      <c r="B511" s="817"/>
      <c r="C511" s="818" t="s">
        <v>468</v>
      </c>
      <c r="D511" s="819">
        <v>10000</v>
      </c>
      <c r="E511" s="819">
        <v>9999</v>
      </c>
      <c r="F511" s="820">
        <f>E511/D511*100</f>
        <v>99.99</v>
      </c>
      <c r="G511" s="823"/>
    </row>
    <row r="512" spans="1:8" s="838" customFormat="1" ht="18.75" customHeight="1">
      <c r="A512" s="834"/>
      <c r="B512" s="809" t="s">
        <v>106</v>
      </c>
      <c r="C512" s="327" t="s">
        <v>403</v>
      </c>
      <c r="D512" s="328">
        <f>SUM(D513,D519)</f>
        <v>3925536</v>
      </c>
      <c r="E512" s="328">
        <f>SUM(E513,E519)</f>
        <v>3925527.47</v>
      </c>
      <c r="F512" s="810">
        <f t="shared" si="27"/>
        <v>99.99978270483318</v>
      </c>
      <c r="G512" s="821"/>
      <c r="H512" s="822"/>
    </row>
    <row r="513" spans="1:7" s="325" customFormat="1" ht="18.75" customHeight="1">
      <c r="A513" s="811"/>
      <c r="B513" s="812"/>
      <c r="C513" s="813" t="s">
        <v>360</v>
      </c>
      <c r="D513" s="322">
        <f>SUM(D514,D517)</f>
        <v>3925536</v>
      </c>
      <c r="E513" s="322">
        <f>SUM(E514,E517)</f>
        <v>3925527.47</v>
      </c>
      <c r="F513" s="814">
        <f t="shared" si="27"/>
        <v>99.99978270483318</v>
      </c>
      <c r="G513" s="815"/>
    </row>
    <row r="514" spans="1:7" s="822" customFormat="1" ht="18" customHeight="1">
      <c r="A514" s="816"/>
      <c r="B514" s="817"/>
      <c r="C514" s="818" t="s">
        <v>466</v>
      </c>
      <c r="D514" s="819">
        <f>SUM(D515,D516)</f>
        <v>3732442</v>
      </c>
      <c r="E514" s="819">
        <f>SUM(E515,E516)</f>
        <v>3732434.12</v>
      </c>
      <c r="F514" s="820">
        <f aca="true" t="shared" si="28" ref="F514:F560">E514/D514*100</f>
        <v>99.9997888781661</v>
      </c>
      <c r="G514" s="821"/>
    </row>
    <row r="515" spans="1:7" s="831" customFormat="1" ht="18.75" customHeight="1">
      <c r="A515" s="826"/>
      <c r="B515" s="827"/>
      <c r="C515" s="828" t="s">
        <v>910</v>
      </c>
      <c r="D515" s="829">
        <v>3123114</v>
      </c>
      <c r="E515" s="829">
        <v>3123111.77</v>
      </c>
      <c r="F515" s="830">
        <f t="shared" si="28"/>
        <v>99.99992859690681</v>
      </c>
      <c r="G515" s="821"/>
    </row>
    <row r="516" spans="1:7" s="831" customFormat="1" ht="18.75" customHeight="1">
      <c r="A516" s="826"/>
      <c r="B516" s="827"/>
      <c r="C516" s="828" t="s">
        <v>467</v>
      </c>
      <c r="D516" s="829">
        <v>609328</v>
      </c>
      <c r="E516" s="829">
        <v>609322.35</v>
      </c>
      <c r="F516" s="830">
        <f t="shared" si="28"/>
        <v>99.99907274899562</v>
      </c>
      <c r="G516" s="821"/>
    </row>
    <row r="517" spans="1:7" s="822" customFormat="1" ht="18.75" customHeight="1">
      <c r="A517" s="824"/>
      <c r="B517" s="817"/>
      <c r="C517" s="825" t="s">
        <v>487</v>
      </c>
      <c r="D517" s="819">
        <v>193094</v>
      </c>
      <c r="E517" s="819">
        <v>193093.35</v>
      </c>
      <c r="F517" s="820">
        <f t="shared" si="28"/>
        <v>99.99966337638664</v>
      </c>
      <c r="G517" s="821"/>
    </row>
    <row r="518" spans="1:7" s="325" customFormat="1" ht="18.75" customHeight="1" hidden="1">
      <c r="A518" s="811"/>
      <c r="B518" s="812"/>
      <c r="C518" s="813" t="s">
        <v>469</v>
      </c>
      <c r="D518" s="322">
        <f>SUM(D519)</f>
        <v>0</v>
      </c>
      <c r="E518" s="322">
        <f>SUM(E519)</f>
        <v>0</v>
      </c>
      <c r="F518" s="814" t="e">
        <f t="shared" si="28"/>
        <v>#DIV/0!</v>
      </c>
      <c r="G518" s="815"/>
    </row>
    <row r="519" spans="1:7" s="822" customFormat="1" ht="18.75" customHeight="1" hidden="1">
      <c r="A519" s="816"/>
      <c r="B519" s="817"/>
      <c r="C519" s="818" t="s">
        <v>470</v>
      </c>
      <c r="D519" s="819">
        <v>0</v>
      </c>
      <c r="E519" s="819">
        <v>0</v>
      </c>
      <c r="F519" s="820" t="e">
        <f t="shared" si="28"/>
        <v>#DIV/0!</v>
      </c>
      <c r="G519" s="823"/>
    </row>
    <row r="520" spans="1:8" s="838" customFormat="1" ht="18.75" customHeight="1">
      <c r="A520" s="834"/>
      <c r="B520" s="809" t="s">
        <v>930</v>
      </c>
      <c r="C520" s="327" t="s">
        <v>931</v>
      </c>
      <c r="D520" s="328">
        <f aca="true" t="shared" si="29" ref="D520:E522">SUM(D521)</f>
        <v>4900</v>
      </c>
      <c r="E520" s="328">
        <f t="shared" si="29"/>
        <v>4900</v>
      </c>
      <c r="F520" s="810">
        <f t="shared" si="28"/>
        <v>100</v>
      </c>
      <c r="G520" s="821"/>
      <c r="H520" s="822"/>
    </row>
    <row r="521" spans="1:7" s="325" customFormat="1" ht="18.75" customHeight="1">
      <c r="A521" s="811"/>
      <c r="B521" s="812"/>
      <c r="C521" s="813" t="s">
        <v>360</v>
      </c>
      <c r="D521" s="322">
        <f t="shared" si="29"/>
        <v>4900</v>
      </c>
      <c r="E521" s="322">
        <f t="shared" si="29"/>
        <v>4900</v>
      </c>
      <c r="F521" s="814">
        <f t="shared" si="28"/>
        <v>100</v>
      </c>
      <c r="G521" s="815"/>
    </row>
    <row r="522" spans="1:7" s="822" customFormat="1" ht="18" customHeight="1">
      <c r="A522" s="816"/>
      <c r="B522" s="817"/>
      <c r="C522" s="818" t="s">
        <v>466</v>
      </c>
      <c r="D522" s="819">
        <f t="shared" si="29"/>
        <v>4900</v>
      </c>
      <c r="E522" s="819">
        <f t="shared" si="29"/>
        <v>4900</v>
      </c>
      <c r="F522" s="820">
        <f>E522/D522*100</f>
        <v>100</v>
      </c>
      <c r="G522" s="821"/>
    </row>
    <row r="523" spans="1:7" s="831" customFormat="1" ht="18.75" customHeight="1">
      <c r="A523" s="826"/>
      <c r="B523" s="827"/>
      <c r="C523" s="828" t="s">
        <v>467</v>
      </c>
      <c r="D523" s="829">
        <v>4900</v>
      </c>
      <c r="E523" s="829">
        <v>4900</v>
      </c>
      <c r="F523" s="830">
        <f>E523/D523*100</f>
        <v>100</v>
      </c>
      <c r="G523" s="821"/>
    </row>
    <row r="524" spans="1:7" s="156" customFormat="1" ht="18.75" customHeight="1">
      <c r="A524" s="835" t="s">
        <v>112</v>
      </c>
      <c r="B524" s="805"/>
      <c r="C524" s="806" t="s">
        <v>113</v>
      </c>
      <c r="D524" s="338">
        <f>SUM(D525,D530,D535,D542,D550,D555,D561,D565)</f>
        <v>15374981</v>
      </c>
      <c r="E524" s="338">
        <f>SUM(E525,E530,E535,E542,E550,E555,E561,E565)</f>
        <v>14133037.440000001</v>
      </c>
      <c r="F524" s="807">
        <f t="shared" si="28"/>
        <v>91.92230832675502</v>
      </c>
      <c r="G524" s="165"/>
    </row>
    <row r="525" spans="1:8" s="838" customFormat="1" ht="18.75" customHeight="1">
      <c r="A525" s="834"/>
      <c r="B525" s="809" t="s">
        <v>955</v>
      </c>
      <c r="C525" s="836" t="s">
        <v>956</v>
      </c>
      <c r="D525" s="328">
        <f>SUM(D526)</f>
        <v>941737</v>
      </c>
      <c r="E525" s="328">
        <f>E526</f>
        <v>941737</v>
      </c>
      <c r="F525" s="810">
        <f t="shared" si="28"/>
        <v>100</v>
      </c>
      <c r="G525" s="821"/>
      <c r="H525" s="822"/>
    </row>
    <row r="526" spans="1:7" s="325" customFormat="1" ht="18.75" customHeight="1">
      <c r="A526" s="811"/>
      <c r="B526" s="812"/>
      <c r="C526" s="813" t="s">
        <v>360</v>
      </c>
      <c r="D526" s="322">
        <f>SUM(D527)</f>
        <v>941737</v>
      </c>
      <c r="E526" s="322">
        <f>SUM(E527)</f>
        <v>941737</v>
      </c>
      <c r="F526" s="814">
        <f t="shared" si="28"/>
        <v>100</v>
      </c>
      <c r="G526" s="815"/>
    </row>
    <row r="527" spans="1:7" s="822" customFormat="1" ht="18" customHeight="1">
      <c r="A527" s="816"/>
      <c r="B527" s="817"/>
      <c r="C527" s="818" t="s">
        <v>466</v>
      </c>
      <c r="D527" s="819">
        <f>SUM(D528,D529)</f>
        <v>941737</v>
      </c>
      <c r="E527" s="819">
        <f>SUM(E528,E529)</f>
        <v>941737</v>
      </c>
      <c r="F527" s="820">
        <f t="shared" si="28"/>
        <v>100</v>
      </c>
      <c r="G527" s="821"/>
    </row>
    <row r="528" spans="1:7" s="831" customFormat="1" ht="18.75" customHeight="1">
      <c r="A528" s="826"/>
      <c r="B528" s="827"/>
      <c r="C528" s="828" t="s">
        <v>910</v>
      </c>
      <c r="D528" s="829">
        <v>795941</v>
      </c>
      <c r="E528" s="829">
        <v>795940.93</v>
      </c>
      <c r="F528" s="830">
        <f t="shared" si="28"/>
        <v>99.9999912053783</v>
      </c>
      <c r="G528" s="821"/>
    </row>
    <row r="529" spans="1:7" s="831" customFormat="1" ht="18.75" customHeight="1">
      <c r="A529" s="826"/>
      <c r="B529" s="827"/>
      <c r="C529" s="828" t="s">
        <v>467</v>
      </c>
      <c r="D529" s="829">
        <v>145796</v>
      </c>
      <c r="E529" s="829">
        <v>145796.07</v>
      </c>
      <c r="F529" s="830">
        <f t="shared" si="28"/>
        <v>100.00004801229115</v>
      </c>
      <c r="G529" s="821"/>
    </row>
    <row r="530" spans="1:8" s="838" customFormat="1" ht="18.75" customHeight="1">
      <c r="A530" s="834"/>
      <c r="B530" s="809" t="s">
        <v>970</v>
      </c>
      <c r="C530" s="836" t="s">
        <v>971</v>
      </c>
      <c r="D530" s="328">
        <f>D531</f>
        <v>544609</v>
      </c>
      <c r="E530" s="328">
        <f>E531</f>
        <v>544609</v>
      </c>
      <c r="F530" s="810">
        <f t="shared" si="28"/>
        <v>100</v>
      </c>
      <c r="G530" s="821"/>
      <c r="H530" s="822"/>
    </row>
    <row r="531" spans="1:7" s="325" customFormat="1" ht="18.75" customHeight="1">
      <c r="A531" s="811"/>
      <c r="B531" s="812"/>
      <c r="C531" s="813" t="s">
        <v>360</v>
      </c>
      <c r="D531" s="322">
        <f>SUM(D532)</f>
        <v>544609</v>
      </c>
      <c r="E531" s="322">
        <f>SUM(E532)</f>
        <v>544609</v>
      </c>
      <c r="F531" s="814">
        <f t="shared" si="28"/>
        <v>100</v>
      </c>
      <c r="G531" s="815"/>
    </row>
    <row r="532" spans="1:7" s="822" customFormat="1" ht="18" customHeight="1">
      <c r="A532" s="816"/>
      <c r="B532" s="817"/>
      <c r="C532" s="818" t="s">
        <v>466</v>
      </c>
      <c r="D532" s="819">
        <f>SUM(D533,D534)</f>
        <v>544609</v>
      </c>
      <c r="E532" s="819">
        <f>SUM(E533,E534)</f>
        <v>544609</v>
      </c>
      <c r="F532" s="820">
        <f t="shared" si="28"/>
        <v>100</v>
      </c>
      <c r="G532" s="821"/>
    </row>
    <row r="533" spans="1:7" s="831" customFormat="1" ht="18.75" customHeight="1">
      <c r="A533" s="826"/>
      <c r="B533" s="827"/>
      <c r="C533" s="828" t="s">
        <v>910</v>
      </c>
      <c r="D533" s="829">
        <v>474175</v>
      </c>
      <c r="E533" s="829">
        <v>474175.65</v>
      </c>
      <c r="F533" s="830">
        <f t="shared" si="28"/>
        <v>100.0001370801919</v>
      </c>
      <c r="G533" s="821"/>
    </row>
    <row r="534" spans="1:7" s="831" customFormat="1" ht="18.75" customHeight="1">
      <c r="A534" s="826"/>
      <c r="B534" s="827"/>
      <c r="C534" s="828" t="s">
        <v>467</v>
      </c>
      <c r="D534" s="829">
        <v>70434</v>
      </c>
      <c r="E534" s="829">
        <v>70433.35</v>
      </c>
      <c r="F534" s="830">
        <f t="shared" si="28"/>
        <v>99.99907715023994</v>
      </c>
      <c r="G534" s="821"/>
    </row>
    <row r="535" spans="1:8" s="838" customFormat="1" ht="18.75" customHeight="1">
      <c r="A535" s="834"/>
      <c r="B535" s="809" t="s">
        <v>118</v>
      </c>
      <c r="C535" s="836" t="s">
        <v>973</v>
      </c>
      <c r="D535" s="328">
        <f>SUM(D536)</f>
        <v>4681144</v>
      </c>
      <c r="E535" s="328">
        <f>SUM(E536)</f>
        <v>4436294.970000001</v>
      </c>
      <c r="F535" s="810">
        <f t="shared" si="28"/>
        <v>94.76946169568808</v>
      </c>
      <c r="G535" s="821"/>
      <c r="H535" s="822"/>
    </row>
    <row r="536" spans="1:7" s="325" customFormat="1" ht="18.75" customHeight="1">
      <c r="A536" s="811"/>
      <c r="B536" s="812"/>
      <c r="C536" s="813" t="s">
        <v>360</v>
      </c>
      <c r="D536" s="322">
        <f>SUM(D537,D540,D541)</f>
        <v>4681144</v>
      </c>
      <c r="E536" s="322">
        <f>SUM(E537,E540,E541)</f>
        <v>4436294.970000001</v>
      </c>
      <c r="F536" s="814">
        <f t="shared" si="28"/>
        <v>94.76946169568808</v>
      </c>
      <c r="G536" s="815"/>
    </row>
    <row r="537" spans="1:7" s="822" customFormat="1" ht="18" customHeight="1">
      <c r="A537" s="816"/>
      <c r="B537" s="817"/>
      <c r="C537" s="818" t="s">
        <v>466</v>
      </c>
      <c r="D537" s="819">
        <f>SUM(D538,D539)</f>
        <v>3574885</v>
      </c>
      <c r="E537" s="819">
        <f>SUM(E538,E539)</f>
        <v>3552085.24</v>
      </c>
      <c r="F537" s="820">
        <f t="shared" si="28"/>
        <v>99.36222395965186</v>
      </c>
      <c r="G537" s="821"/>
    </row>
    <row r="538" spans="1:7" s="831" customFormat="1" ht="18.75" customHeight="1">
      <c r="A538" s="826"/>
      <c r="B538" s="827"/>
      <c r="C538" s="828" t="s">
        <v>910</v>
      </c>
      <c r="D538" s="829">
        <v>2991075</v>
      </c>
      <c r="E538" s="829">
        <v>2991075.25</v>
      </c>
      <c r="F538" s="830">
        <f t="shared" si="28"/>
        <v>100.00000835819898</v>
      </c>
      <c r="G538" s="821"/>
    </row>
    <row r="539" spans="1:7" s="831" customFormat="1" ht="18.75" customHeight="1">
      <c r="A539" s="826"/>
      <c r="B539" s="827"/>
      <c r="C539" s="828" t="s">
        <v>467</v>
      </c>
      <c r="D539" s="829">
        <v>583810</v>
      </c>
      <c r="E539" s="829">
        <v>561009.99</v>
      </c>
      <c r="F539" s="830">
        <f t="shared" si="28"/>
        <v>96.094618112057</v>
      </c>
      <c r="G539" s="821"/>
    </row>
    <row r="540" spans="1:7" s="822" customFormat="1" ht="18.75" customHeight="1">
      <c r="A540" s="824"/>
      <c r="B540" s="817"/>
      <c r="C540" s="818" t="s">
        <v>468</v>
      </c>
      <c r="D540" s="819">
        <v>1099680</v>
      </c>
      <c r="E540" s="819">
        <v>877630.5</v>
      </c>
      <c r="F540" s="820">
        <f t="shared" si="28"/>
        <v>79.80780772588389</v>
      </c>
      <c r="G540" s="823"/>
    </row>
    <row r="541" spans="1:7" s="822" customFormat="1" ht="18.75" customHeight="1">
      <c r="A541" s="824"/>
      <c r="B541" s="817"/>
      <c r="C541" s="825" t="s">
        <v>487</v>
      </c>
      <c r="D541" s="819">
        <v>6579</v>
      </c>
      <c r="E541" s="819">
        <v>6579.23</v>
      </c>
      <c r="F541" s="820">
        <f t="shared" si="28"/>
        <v>100.00349597203223</v>
      </c>
      <c r="G541" s="821"/>
    </row>
    <row r="542" spans="1:8" s="838" customFormat="1" ht="18.75" customHeight="1">
      <c r="A542" s="834"/>
      <c r="B542" s="809" t="s">
        <v>119</v>
      </c>
      <c r="C542" s="836" t="s">
        <v>120</v>
      </c>
      <c r="D542" s="328">
        <f>SUM(D543)</f>
        <v>7959198</v>
      </c>
      <c r="E542" s="328">
        <f>SUM(E543)</f>
        <v>6962103.33</v>
      </c>
      <c r="F542" s="810">
        <f t="shared" si="28"/>
        <v>87.47242284963887</v>
      </c>
      <c r="G542" s="821"/>
      <c r="H542" s="822"/>
    </row>
    <row r="543" spans="1:7" s="325" customFormat="1" ht="18.75" customHeight="1">
      <c r="A543" s="811"/>
      <c r="B543" s="812"/>
      <c r="C543" s="813" t="s">
        <v>360</v>
      </c>
      <c r="D543" s="322">
        <f>SUM(D544,D547,D548,D549)</f>
        <v>7959198</v>
      </c>
      <c r="E543" s="322">
        <f>SUM(E544,E547,E548,E549)</f>
        <v>6962103.33</v>
      </c>
      <c r="F543" s="814">
        <f t="shared" si="28"/>
        <v>87.47242284963887</v>
      </c>
      <c r="G543" s="815"/>
    </row>
    <row r="544" spans="1:7" s="822" customFormat="1" ht="18" customHeight="1">
      <c r="A544" s="816"/>
      <c r="B544" s="817"/>
      <c r="C544" s="818" t="s">
        <v>466</v>
      </c>
      <c r="D544" s="819">
        <f>SUM(D545,D546)</f>
        <v>5631428</v>
      </c>
      <c r="E544" s="819">
        <f>SUM(E545,E546)</f>
        <v>5631426.67</v>
      </c>
      <c r="F544" s="820">
        <f t="shared" si="28"/>
        <v>99.99997638254453</v>
      </c>
      <c r="G544" s="821"/>
    </row>
    <row r="545" spans="1:7" s="831" customFormat="1" ht="18.75" customHeight="1">
      <c r="A545" s="826"/>
      <c r="B545" s="827"/>
      <c r="C545" s="828" t="s">
        <v>910</v>
      </c>
      <c r="D545" s="829">
        <v>4515347</v>
      </c>
      <c r="E545" s="829">
        <v>4515346.6</v>
      </c>
      <c r="F545" s="830">
        <f t="shared" si="28"/>
        <v>99.99999114132314</v>
      </c>
      <c r="G545" s="821"/>
    </row>
    <row r="546" spans="1:7" s="831" customFormat="1" ht="18.75" customHeight="1">
      <c r="A546" s="826"/>
      <c r="B546" s="827"/>
      <c r="C546" s="828" t="s">
        <v>467</v>
      </c>
      <c r="D546" s="829">
        <v>1116081</v>
      </c>
      <c r="E546" s="829">
        <v>1116080.07</v>
      </c>
      <c r="F546" s="830">
        <f t="shared" si="28"/>
        <v>99.99991667271462</v>
      </c>
      <c r="G546" s="821"/>
    </row>
    <row r="547" spans="1:7" s="822" customFormat="1" ht="18.75" customHeight="1">
      <c r="A547" s="824"/>
      <c r="B547" s="817"/>
      <c r="C547" s="818" t="s">
        <v>468</v>
      </c>
      <c r="D547" s="819">
        <v>814510</v>
      </c>
      <c r="E547" s="819">
        <v>696313.12</v>
      </c>
      <c r="F547" s="820">
        <f t="shared" si="28"/>
        <v>85.48859068642497</v>
      </c>
      <c r="G547" s="823"/>
    </row>
    <row r="548" spans="1:7" s="822" customFormat="1" ht="18.75" customHeight="1">
      <c r="A548" s="824"/>
      <c r="B548" s="817"/>
      <c r="C548" s="825" t="s">
        <v>487</v>
      </c>
      <c r="D548" s="819">
        <v>2862</v>
      </c>
      <c r="E548" s="819">
        <v>2862.17</v>
      </c>
      <c r="F548" s="820">
        <f t="shared" si="28"/>
        <v>100.00593990216633</v>
      </c>
      <c r="G548" s="821"/>
    </row>
    <row r="549" spans="1:7" s="822" customFormat="1" ht="18.75" customHeight="1">
      <c r="A549" s="824"/>
      <c r="B549" s="817"/>
      <c r="C549" s="825" t="s">
        <v>495</v>
      </c>
      <c r="D549" s="819">
        <v>1510398</v>
      </c>
      <c r="E549" s="819">
        <v>631501.37</v>
      </c>
      <c r="F549" s="820">
        <f>E549/D549*100</f>
        <v>41.81026259303839</v>
      </c>
      <c r="G549" s="821"/>
    </row>
    <row r="550" spans="1:8" s="838" customFormat="1" ht="18.75" customHeight="1">
      <c r="A550" s="834"/>
      <c r="B550" s="809" t="s">
        <v>974</v>
      </c>
      <c r="C550" s="836" t="s">
        <v>975</v>
      </c>
      <c r="D550" s="328">
        <f>SUM(D551)</f>
        <v>853865</v>
      </c>
      <c r="E550" s="328">
        <f>SUM(E551)</f>
        <v>853865.4</v>
      </c>
      <c r="F550" s="810">
        <f t="shared" si="28"/>
        <v>100.00004684581288</v>
      </c>
      <c r="G550" s="821"/>
      <c r="H550" s="822"/>
    </row>
    <row r="551" spans="1:7" s="325" customFormat="1" ht="18.75" customHeight="1">
      <c r="A551" s="811"/>
      <c r="B551" s="812"/>
      <c r="C551" s="813" t="s">
        <v>360</v>
      </c>
      <c r="D551" s="322">
        <f>SUM(D552)</f>
        <v>853865</v>
      </c>
      <c r="E551" s="322">
        <f>SUM(E552)</f>
        <v>853865.4</v>
      </c>
      <c r="F551" s="814">
        <f t="shared" si="28"/>
        <v>100.00004684581288</v>
      </c>
      <c r="G551" s="815"/>
    </row>
    <row r="552" spans="1:7" s="822" customFormat="1" ht="18" customHeight="1">
      <c r="A552" s="816"/>
      <c r="B552" s="817"/>
      <c r="C552" s="818" t="s">
        <v>466</v>
      </c>
      <c r="D552" s="819">
        <f>SUM(D553,D554)</f>
        <v>853865</v>
      </c>
      <c r="E552" s="819">
        <f>SUM(E553,E554)</f>
        <v>853865.4</v>
      </c>
      <c r="F552" s="820">
        <f t="shared" si="28"/>
        <v>100.00004684581288</v>
      </c>
      <c r="G552" s="821"/>
    </row>
    <row r="553" spans="1:7" s="831" customFormat="1" ht="18.75" customHeight="1">
      <c r="A553" s="826"/>
      <c r="B553" s="827"/>
      <c r="C553" s="828" t="s">
        <v>910</v>
      </c>
      <c r="D553" s="829">
        <v>776528</v>
      </c>
      <c r="E553" s="829">
        <v>776528.52</v>
      </c>
      <c r="F553" s="830">
        <f t="shared" si="28"/>
        <v>100.00006696474564</v>
      </c>
      <c r="G553" s="821"/>
    </row>
    <row r="554" spans="1:7" s="831" customFormat="1" ht="18.75" customHeight="1">
      <c r="A554" s="826"/>
      <c r="B554" s="827"/>
      <c r="C554" s="828" t="s">
        <v>467</v>
      </c>
      <c r="D554" s="829">
        <v>77337</v>
      </c>
      <c r="E554" s="829">
        <v>77336.88</v>
      </c>
      <c r="F554" s="830">
        <f t="shared" si="28"/>
        <v>99.99984483494318</v>
      </c>
      <c r="G554" s="821"/>
    </row>
    <row r="555" spans="1:8" s="838" customFormat="1" ht="28.5" customHeight="1">
      <c r="A555" s="834"/>
      <c r="B555" s="841" t="s">
        <v>976</v>
      </c>
      <c r="C555" s="327" t="s">
        <v>977</v>
      </c>
      <c r="D555" s="328">
        <f>D556</f>
        <v>314844</v>
      </c>
      <c r="E555" s="328">
        <f>E556</f>
        <v>314845.22</v>
      </c>
      <c r="F555" s="810">
        <f t="shared" si="28"/>
        <v>100.00038749348883</v>
      </c>
      <c r="G555" s="821"/>
      <c r="H555" s="822"/>
    </row>
    <row r="556" spans="1:7" s="325" customFormat="1" ht="18.75" customHeight="1">
      <c r="A556" s="811"/>
      <c r="B556" s="812"/>
      <c r="C556" s="813" t="s">
        <v>360</v>
      </c>
      <c r="D556" s="322">
        <f>SUM(D557,D560)</f>
        <v>314844</v>
      </c>
      <c r="E556" s="322">
        <f>SUM(E557,E560)</f>
        <v>314845.22</v>
      </c>
      <c r="F556" s="814">
        <f t="shared" si="28"/>
        <v>100.00038749348883</v>
      </c>
      <c r="G556" s="815"/>
    </row>
    <row r="557" spans="1:7" s="822" customFormat="1" ht="18" customHeight="1">
      <c r="A557" s="816"/>
      <c r="B557" s="817"/>
      <c r="C557" s="818" t="s">
        <v>466</v>
      </c>
      <c r="D557" s="819">
        <f>SUM(D558,D559)</f>
        <v>313002</v>
      </c>
      <c r="E557" s="819">
        <f>SUM(E558,E559)</f>
        <v>313003.22</v>
      </c>
      <c r="F557" s="820">
        <f t="shared" si="28"/>
        <v>100.00038977386725</v>
      </c>
      <c r="G557" s="821"/>
    </row>
    <row r="558" spans="1:7" s="831" customFormat="1" ht="18.75" customHeight="1">
      <c r="A558" s="826"/>
      <c r="B558" s="827"/>
      <c r="C558" s="828" t="s">
        <v>910</v>
      </c>
      <c r="D558" s="829">
        <v>176975</v>
      </c>
      <c r="E558" s="829">
        <v>176975.52</v>
      </c>
      <c r="F558" s="830">
        <f t="shared" si="28"/>
        <v>100.00029382681168</v>
      </c>
      <c r="G558" s="821"/>
    </row>
    <row r="559" spans="1:7" s="831" customFormat="1" ht="18.75" customHeight="1">
      <c r="A559" s="826"/>
      <c r="B559" s="827"/>
      <c r="C559" s="828" t="s">
        <v>467</v>
      </c>
      <c r="D559" s="829">
        <v>136027</v>
      </c>
      <c r="E559" s="829">
        <v>136027.7</v>
      </c>
      <c r="F559" s="830">
        <f t="shared" si="28"/>
        <v>100.00051460371839</v>
      </c>
      <c r="G559" s="821"/>
    </row>
    <row r="560" spans="1:7" s="822" customFormat="1" ht="18.75" customHeight="1">
      <c r="A560" s="824"/>
      <c r="B560" s="817"/>
      <c r="C560" s="825" t="s">
        <v>487</v>
      </c>
      <c r="D560" s="819">
        <v>1842</v>
      </c>
      <c r="E560" s="819">
        <v>1842</v>
      </c>
      <c r="F560" s="820">
        <f t="shared" si="28"/>
        <v>100</v>
      </c>
      <c r="G560" s="821"/>
    </row>
    <row r="561" spans="1:7" s="156" customFormat="1" ht="18.75" customHeight="1">
      <c r="A561" s="834"/>
      <c r="B561" s="809" t="s">
        <v>978</v>
      </c>
      <c r="C561" s="836" t="s">
        <v>979</v>
      </c>
      <c r="D561" s="328">
        <f>D564</f>
        <v>35267</v>
      </c>
      <c r="E561" s="328">
        <f>E564</f>
        <v>35266.29</v>
      </c>
      <c r="F561" s="810">
        <f aca="true" t="shared" si="30" ref="F561:F573">E561/D561*100</f>
        <v>99.9979867865143</v>
      </c>
      <c r="G561" s="165"/>
    </row>
    <row r="562" spans="1:7" s="325" customFormat="1" ht="18.75" customHeight="1">
      <c r="A562" s="811"/>
      <c r="B562" s="812"/>
      <c r="C562" s="813" t="s">
        <v>360</v>
      </c>
      <c r="D562" s="322">
        <f>SUM(D563)</f>
        <v>35267</v>
      </c>
      <c r="E562" s="322">
        <f>SUM(E563)</f>
        <v>35266.29</v>
      </c>
      <c r="F562" s="814">
        <f t="shared" si="30"/>
        <v>99.9979867865143</v>
      </c>
      <c r="G562" s="815"/>
    </row>
    <row r="563" spans="1:7" s="822" customFormat="1" ht="18" customHeight="1">
      <c r="A563" s="816"/>
      <c r="B563" s="817"/>
      <c r="C563" s="818" t="s">
        <v>466</v>
      </c>
      <c r="D563" s="819">
        <f>SUM(D564)</f>
        <v>35267</v>
      </c>
      <c r="E563" s="819">
        <f>SUM(E564)</f>
        <v>35266.29</v>
      </c>
      <c r="F563" s="820">
        <f>E563/D563*100</f>
        <v>99.9979867865143</v>
      </c>
      <c r="G563" s="821"/>
    </row>
    <row r="564" spans="1:7" s="831" customFormat="1" ht="18.75" customHeight="1">
      <c r="A564" s="826"/>
      <c r="B564" s="827"/>
      <c r="C564" s="828" t="s">
        <v>467</v>
      </c>
      <c r="D564" s="829">
        <v>35267</v>
      </c>
      <c r="E564" s="829">
        <v>35266.29</v>
      </c>
      <c r="F564" s="830">
        <f>E564/D564*100</f>
        <v>99.9979867865143</v>
      </c>
      <c r="G564" s="821"/>
    </row>
    <row r="565" spans="1:8" s="838" customFormat="1" ht="18.75" customHeight="1">
      <c r="A565" s="834"/>
      <c r="B565" s="809" t="s">
        <v>980</v>
      </c>
      <c r="C565" s="836" t="s">
        <v>1433</v>
      </c>
      <c r="D565" s="328">
        <f>SUM(D566)</f>
        <v>44317</v>
      </c>
      <c r="E565" s="328">
        <f>SUM(E566)</f>
        <v>44316.23</v>
      </c>
      <c r="F565" s="810">
        <f t="shared" si="30"/>
        <v>99.9982625177697</v>
      </c>
      <c r="G565" s="821"/>
      <c r="H565" s="822"/>
    </row>
    <row r="566" spans="1:7" s="325" customFormat="1" ht="18.75" customHeight="1">
      <c r="A566" s="811"/>
      <c r="B566" s="812"/>
      <c r="C566" s="813" t="s">
        <v>360</v>
      </c>
      <c r="D566" s="322">
        <f>SUM(D567,D570)</f>
        <v>44317</v>
      </c>
      <c r="E566" s="322">
        <f>SUM(E567,E570)</f>
        <v>44316.23</v>
      </c>
      <c r="F566" s="814">
        <f t="shared" si="30"/>
        <v>99.9982625177697</v>
      </c>
      <c r="G566" s="815"/>
    </row>
    <row r="567" spans="1:7" s="822" customFormat="1" ht="18" customHeight="1">
      <c r="A567" s="816"/>
      <c r="B567" s="817"/>
      <c r="C567" s="818" t="s">
        <v>466</v>
      </c>
      <c r="D567" s="819">
        <f>SUM(D568,D569)</f>
        <v>29933</v>
      </c>
      <c r="E567" s="819">
        <f>SUM(E568,E569)</f>
        <v>29932.65</v>
      </c>
      <c r="F567" s="820">
        <f>E567/D567*100</f>
        <v>99.99883072194568</v>
      </c>
      <c r="G567" s="821"/>
    </row>
    <row r="568" spans="1:7" s="831" customFormat="1" ht="18.75" customHeight="1">
      <c r="A568" s="826"/>
      <c r="B568" s="827"/>
      <c r="C568" s="828" t="s">
        <v>910</v>
      </c>
      <c r="D568" s="829">
        <v>17720</v>
      </c>
      <c r="E568" s="829">
        <v>17718.8</v>
      </c>
      <c r="F568" s="830">
        <f>E568/D568*100</f>
        <v>99.99322799097065</v>
      </c>
      <c r="G568" s="821"/>
    </row>
    <row r="569" spans="1:7" s="831" customFormat="1" ht="18.75" customHeight="1">
      <c r="A569" s="826"/>
      <c r="B569" s="827"/>
      <c r="C569" s="828" t="s">
        <v>467</v>
      </c>
      <c r="D569" s="829">
        <v>12213</v>
      </c>
      <c r="E569" s="829">
        <v>12213.85</v>
      </c>
      <c r="F569" s="830">
        <f>E569/D569*100</f>
        <v>100.0069597969377</v>
      </c>
      <c r="G569" s="821"/>
    </row>
    <row r="570" spans="1:7" s="822" customFormat="1" ht="18.75" customHeight="1">
      <c r="A570" s="824"/>
      <c r="B570" s="817"/>
      <c r="C570" s="825" t="s">
        <v>487</v>
      </c>
      <c r="D570" s="819">
        <v>14384</v>
      </c>
      <c r="E570" s="819">
        <v>14383.58</v>
      </c>
      <c r="F570" s="820">
        <f>E570/D570*100</f>
        <v>99.99708008898777</v>
      </c>
      <c r="G570" s="821"/>
    </row>
    <row r="571" spans="1:10" s="156" customFormat="1" ht="18.75" customHeight="1">
      <c r="A571" s="835" t="s">
        <v>121</v>
      </c>
      <c r="B571" s="805"/>
      <c r="C571" s="806" t="s">
        <v>122</v>
      </c>
      <c r="D571" s="338">
        <f>SUM(D572,D577,D585,D589)</f>
        <v>1457581</v>
      </c>
      <c r="E571" s="338">
        <f>SUM(E572,E577,E585,E589)</f>
        <v>1300657</v>
      </c>
      <c r="F571" s="807">
        <f t="shared" si="30"/>
        <v>89.233943087897</v>
      </c>
      <c r="G571" s="165"/>
      <c r="I571" s="738"/>
      <c r="J571" s="738"/>
    </row>
    <row r="572" spans="1:7" s="822" customFormat="1" ht="18.75" customHeight="1">
      <c r="A572" s="834"/>
      <c r="B572" s="809" t="s">
        <v>981</v>
      </c>
      <c r="C572" s="836" t="s">
        <v>982</v>
      </c>
      <c r="D572" s="328">
        <f>SUM(D573,D576)</f>
        <v>348725</v>
      </c>
      <c r="E572" s="328">
        <f>SUM(E573,E576)</f>
        <v>319165.56999999995</v>
      </c>
      <c r="F572" s="810">
        <f t="shared" si="30"/>
        <v>91.52357014839771</v>
      </c>
      <c r="G572" s="821"/>
    </row>
    <row r="573" spans="1:7" s="325" customFormat="1" ht="18.75" customHeight="1">
      <c r="A573" s="811"/>
      <c r="B573" s="812"/>
      <c r="C573" s="813" t="s">
        <v>360</v>
      </c>
      <c r="D573" s="322">
        <f>SUM(D574)</f>
        <v>53300</v>
      </c>
      <c r="E573" s="322">
        <f>SUM(E574)</f>
        <v>53107.97</v>
      </c>
      <c r="F573" s="814">
        <f t="shared" si="30"/>
        <v>99.63971857410881</v>
      </c>
      <c r="G573" s="815"/>
    </row>
    <row r="574" spans="1:7" s="822" customFormat="1" ht="18.75" customHeight="1">
      <c r="A574" s="824"/>
      <c r="B574" s="817"/>
      <c r="C574" s="818" t="s">
        <v>468</v>
      </c>
      <c r="D574" s="819">
        <v>53300</v>
      </c>
      <c r="E574" s="819">
        <v>53107.97</v>
      </c>
      <c r="F574" s="820">
        <f aca="true" t="shared" si="31" ref="F574:F582">E574/D574*100</f>
        <v>99.63971857410881</v>
      </c>
      <c r="G574" s="823"/>
    </row>
    <row r="575" spans="1:7" s="325" customFormat="1" ht="18.75" customHeight="1">
      <c r="A575" s="811"/>
      <c r="B575" s="812"/>
      <c r="C575" s="813" t="s">
        <v>469</v>
      </c>
      <c r="D575" s="322">
        <f>SUM(D576)</f>
        <v>295425</v>
      </c>
      <c r="E575" s="322">
        <f>SUM(E576)</f>
        <v>266057.6</v>
      </c>
      <c r="F575" s="814">
        <f t="shared" si="31"/>
        <v>90.05927054243885</v>
      </c>
      <c r="G575" s="815"/>
    </row>
    <row r="576" spans="1:7" s="822" customFormat="1" ht="18.75" customHeight="1">
      <c r="A576" s="816"/>
      <c r="B576" s="817"/>
      <c r="C576" s="818" t="s">
        <v>492</v>
      </c>
      <c r="D576" s="819">
        <v>295425</v>
      </c>
      <c r="E576" s="819">
        <v>266057.6</v>
      </c>
      <c r="F576" s="820">
        <f t="shared" si="31"/>
        <v>90.05927054243885</v>
      </c>
      <c r="G576" s="823"/>
    </row>
    <row r="577" spans="1:10" s="156" customFormat="1" ht="27" customHeight="1">
      <c r="A577" s="834"/>
      <c r="B577" s="809" t="s">
        <v>983</v>
      </c>
      <c r="C577" s="327" t="s">
        <v>1000</v>
      </c>
      <c r="D577" s="328">
        <f>SUM(D578,D582)</f>
        <v>204575</v>
      </c>
      <c r="E577" s="328">
        <f>SUM(E578,E582)</f>
        <v>136944.41999999998</v>
      </c>
      <c r="F577" s="810">
        <f t="shared" si="31"/>
        <v>66.94093608700965</v>
      </c>
      <c r="G577" s="165"/>
      <c r="I577" s="738"/>
      <c r="J577" s="738"/>
    </row>
    <row r="578" spans="1:7" s="325" customFormat="1" ht="18.75" customHeight="1">
      <c r="A578" s="811"/>
      <c r="B578" s="812"/>
      <c r="C578" s="813" t="s">
        <v>360</v>
      </c>
      <c r="D578" s="322">
        <f>SUM(D579,D581)</f>
        <v>75971</v>
      </c>
      <c r="E578" s="322">
        <f>SUM(E579,E581)</f>
        <v>73840.98</v>
      </c>
      <c r="F578" s="814">
        <f t="shared" si="31"/>
        <v>97.1962722617841</v>
      </c>
      <c r="G578" s="815"/>
    </row>
    <row r="579" spans="1:7" s="822" customFormat="1" ht="18" customHeight="1">
      <c r="A579" s="816"/>
      <c r="B579" s="817"/>
      <c r="C579" s="818" t="s">
        <v>466</v>
      </c>
      <c r="D579" s="819">
        <f>SUM(D580)</f>
        <v>4900</v>
      </c>
      <c r="E579" s="819">
        <f>SUM(E580)</f>
        <v>4025</v>
      </c>
      <c r="F579" s="820">
        <f t="shared" si="31"/>
        <v>82.14285714285714</v>
      </c>
      <c r="G579" s="821"/>
    </row>
    <row r="580" spans="1:7" s="831" customFormat="1" ht="18.75" customHeight="1">
      <c r="A580" s="826"/>
      <c r="B580" s="827"/>
      <c r="C580" s="828" t="s">
        <v>910</v>
      </c>
      <c r="D580" s="829">
        <v>4900</v>
      </c>
      <c r="E580" s="829">
        <v>4025</v>
      </c>
      <c r="F580" s="830">
        <f t="shared" si="31"/>
        <v>82.14285714285714</v>
      </c>
      <c r="G580" s="821"/>
    </row>
    <row r="581" spans="1:7" s="822" customFormat="1" ht="18.75" customHeight="1">
      <c r="A581" s="824"/>
      <c r="B581" s="817"/>
      <c r="C581" s="818" t="s">
        <v>468</v>
      </c>
      <c r="D581" s="819">
        <v>71071</v>
      </c>
      <c r="E581" s="819">
        <v>69815.98</v>
      </c>
      <c r="F581" s="820">
        <f t="shared" si="31"/>
        <v>98.23413206511798</v>
      </c>
      <c r="G581" s="823"/>
    </row>
    <row r="582" spans="1:7" s="325" customFormat="1" ht="18.75" customHeight="1">
      <c r="A582" s="811"/>
      <c r="B582" s="812"/>
      <c r="C582" s="813" t="s">
        <v>469</v>
      </c>
      <c r="D582" s="322">
        <f>SUM(D583,D584)</f>
        <v>128604</v>
      </c>
      <c r="E582" s="322">
        <f>SUM(E583,E584)</f>
        <v>63103.44</v>
      </c>
      <c r="F582" s="814">
        <f t="shared" si="31"/>
        <v>49.06802276756555</v>
      </c>
      <c r="G582" s="815"/>
    </row>
    <row r="583" spans="1:7" s="822" customFormat="1" ht="18.75" customHeight="1">
      <c r="A583" s="816"/>
      <c r="B583" s="817"/>
      <c r="C583" s="818" t="s">
        <v>471</v>
      </c>
      <c r="D583" s="819">
        <v>96000</v>
      </c>
      <c r="E583" s="819">
        <v>30500</v>
      </c>
      <c r="F583" s="820">
        <f aca="true" t="shared" si="32" ref="F583:F588">E583/D583*100</f>
        <v>31.770833333333332</v>
      </c>
      <c r="G583" s="823"/>
    </row>
    <row r="584" spans="1:7" s="822" customFormat="1" ht="18.75" customHeight="1">
      <c r="A584" s="816"/>
      <c r="B584" s="817"/>
      <c r="C584" s="818" t="s">
        <v>492</v>
      </c>
      <c r="D584" s="819">
        <v>32604</v>
      </c>
      <c r="E584" s="819">
        <v>32603.44</v>
      </c>
      <c r="F584" s="820">
        <f t="shared" si="32"/>
        <v>99.99828241933506</v>
      </c>
      <c r="G584" s="823"/>
    </row>
    <row r="585" spans="1:10" s="156" customFormat="1" ht="18.75" customHeight="1">
      <c r="A585" s="834"/>
      <c r="B585" s="809" t="s">
        <v>1001</v>
      </c>
      <c r="C585" s="327" t="s">
        <v>1002</v>
      </c>
      <c r="D585" s="328">
        <f aca="true" t="shared" si="33" ref="D585:E587">SUM(D586)</f>
        <v>1281</v>
      </c>
      <c r="E585" s="328">
        <f t="shared" si="33"/>
        <v>1281</v>
      </c>
      <c r="F585" s="810">
        <f t="shared" si="32"/>
        <v>100</v>
      </c>
      <c r="G585" s="165"/>
      <c r="I585" s="738"/>
      <c r="J585" s="738"/>
    </row>
    <row r="586" spans="1:7" s="325" customFormat="1" ht="18.75" customHeight="1">
      <c r="A586" s="811"/>
      <c r="B586" s="812"/>
      <c r="C586" s="813" t="s">
        <v>360</v>
      </c>
      <c r="D586" s="322">
        <f t="shared" si="33"/>
        <v>1281</v>
      </c>
      <c r="E586" s="322">
        <f t="shared" si="33"/>
        <v>1281</v>
      </c>
      <c r="F586" s="814">
        <f t="shared" si="32"/>
        <v>100</v>
      </c>
      <c r="G586" s="815"/>
    </row>
    <row r="587" spans="1:7" s="822" customFormat="1" ht="18" customHeight="1">
      <c r="A587" s="816"/>
      <c r="B587" s="817"/>
      <c r="C587" s="818" t="s">
        <v>466</v>
      </c>
      <c r="D587" s="819">
        <f t="shared" si="33"/>
        <v>1281</v>
      </c>
      <c r="E587" s="819">
        <f t="shared" si="33"/>
        <v>1281</v>
      </c>
      <c r="F587" s="820">
        <f t="shared" si="32"/>
        <v>100</v>
      </c>
      <c r="G587" s="821"/>
    </row>
    <row r="588" spans="1:7" s="831" customFormat="1" ht="18.75" customHeight="1">
      <c r="A588" s="826"/>
      <c r="B588" s="827"/>
      <c r="C588" s="828" t="s">
        <v>467</v>
      </c>
      <c r="D588" s="829">
        <v>1281</v>
      </c>
      <c r="E588" s="829">
        <v>1281</v>
      </c>
      <c r="F588" s="830">
        <f t="shared" si="32"/>
        <v>100</v>
      </c>
      <c r="G588" s="821"/>
    </row>
    <row r="589" spans="1:8" s="838" customFormat="1" ht="40.5" customHeight="1">
      <c r="A589" s="834"/>
      <c r="B589" s="841" t="s">
        <v>324</v>
      </c>
      <c r="C589" s="842" t="s">
        <v>888</v>
      </c>
      <c r="D589" s="328">
        <f>D590</f>
        <v>903000</v>
      </c>
      <c r="E589" s="328">
        <f>E590</f>
        <v>843266.01</v>
      </c>
      <c r="F589" s="810">
        <f aca="true" t="shared" si="34" ref="F589:F596">E589/D589*100</f>
        <v>93.38494019933556</v>
      </c>
      <c r="G589" s="821"/>
      <c r="H589" s="822"/>
    </row>
    <row r="590" spans="1:7" s="325" customFormat="1" ht="18.75" customHeight="1">
      <c r="A590" s="811"/>
      <c r="B590" s="812"/>
      <c r="C590" s="813" t="s">
        <v>360</v>
      </c>
      <c r="D590" s="322">
        <f>SUM(D591)</f>
        <v>903000</v>
      </c>
      <c r="E590" s="322">
        <f>SUM(E591)</f>
        <v>843266.01</v>
      </c>
      <c r="F590" s="814">
        <f t="shared" si="34"/>
        <v>93.38494019933556</v>
      </c>
      <c r="G590" s="815"/>
    </row>
    <row r="591" spans="1:7" s="822" customFormat="1" ht="18" customHeight="1">
      <c r="A591" s="816"/>
      <c r="B591" s="817"/>
      <c r="C591" s="818" t="s">
        <v>466</v>
      </c>
      <c r="D591" s="819">
        <f>SUM(D592,D593)</f>
        <v>903000</v>
      </c>
      <c r="E591" s="819">
        <f>SUM(E592,E593)</f>
        <v>843266.01</v>
      </c>
      <c r="F591" s="820">
        <f>E591/D591*100</f>
        <v>93.38494019933556</v>
      </c>
      <c r="G591" s="821"/>
    </row>
    <row r="592" spans="1:7" s="831" customFormat="1" ht="18.75" customHeight="1" hidden="1">
      <c r="A592" s="826"/>
      <c r="B592" s="827"/>
      <c r="C592" s="828" t="s">
        <v>910</v>
      </c>
      <c r="D592" s="829"/>
      <c r="E592" s="829"/>
      <c r="F592" s="830" t="e">
        <f>E592/D592*100</f>
        <v>#DIV/0!</v>
      </c>
      <c r="G592" s="821"/>
    </row>
    <row r="593" spans="1:7" s="831" customFormat="1" ht="18.75" customHeight="1">
      <c r="A593" s="826"/>
      <c r="B593" s="827"/>
      <c r="C593" s="828" t="s">
        <v>910</v>
      </c>
      <c r="D593" s="829">
        <v>903000</v>
      </c>
      <c r="E593" s="829">
        <v>843266.01</v>
      </c>
      <c r="F593" s="830">
        <f>E593/D593*100</f>
        <v>93.38494019933556</v>
      </c>
      <c r="G593" s="821"/>
    </row>
    <row r="594" spans="1:8" s="838" customFormat="1" ht="18.75" customHeight="1">
      <c r="A594" s="835" t="s">
        <v>679</v>
      </c>
      <c r="B594" s="805"/>
      <c r="C594" s="806" t="s">
        <v>1008</v>
      </c>
      <c r="D594" s="338">
        <f>SUM(D595,D602,D608,D616,D621,D626,D631)</f>
        <v>3271387</v>
      </c>
      <c r="E594" s="338">
        <f>SUM(E595,E602,E608,E616,E621,E626,E631)</f>
        <v>3045922.5999999996</v>
      </c>
      <c r="F594" s="807">
        <f t="shared" si="34"/>
        <v>93.10798752944851</v>
      </c>
      <c r="G594" s="821"/>
      <c r="H594" s="822"/>
    </row>
    <row r="595" spans="1:7" s="156" customFormat="1" ht="18.75" customHeight="1">
      <c r="A595" s="834"/>
      <c r="B595" s="809" t="s">
        <v>680</v>
      </c>
      <c r="C595" s="836" t="s">
        <v>1009</v>
      </c>
      <c r="D595" s="328">
        <f>SUM(D596)</f>
        <v>1024165</v>
      </c>
      <c r="E595" s="328">
        <f>SUM(E596)</f>
        <v>974951.38</v>
      </c>
      <c r="F595" s="810">
        <f t="shared" si="34"/>
        <v>95.194756704242</v>
      </c>
      <c r="G595" s="165"/>
    </row>
    <row r="596" spans="1:7" s="325" customFormat="1" ht="18.75" customHeight="1">
      <c r="A596" s="811"/>
      <c r="B596" s="812"/>
      <c r="C596" s="813" t="s">
        <v>360</v>
      </c>
      <c r="D596" s="322">
        <f>SUM(D597,D600,D601)</f>
        <v>1024165</v>
      </c>
      <c r="E596" s="322">
        <f>SUM(E597,E600,E601)</f>
        <v>974951.38</v>
      </c>
      <c r="F596" s="814">
        <f t="shared" si="34"/>
        <v>95.194756704242</v>
      </c>
      <c r="G596" s="815"/>
    </row>
    <row r="597" spans="1:7" s="822" customFormat="1" ht="18" customHeight="1">
      <c r="A597" s="816"/>
      <c r="B597" s="817"/>
      <c r="C597" s="818" t="s">
        <v>466</v>
      </c>
      <c r="D597" s="819">
        <f>SUM(D598,D599)</f>
        <v>48286</v>
      </c>
      <c r="E597" s="819">
        <f>SUM(E598,E599)</f>
        <v>0</v>
      </c>
      <c r="F597" s="820">
        <f aca="true" t="shared" si="35" ref="F597:F630">E597/D597*100</f>
        <v>0</v>
      </c>
      <c r="G597" s="821"/>
    </row>
    <row r="598" spans="1:7" s="831" customFormat="1" ht="18.75" customHeight="1">
      <c r="A598" s="826"/>
      <c r="B598" s="827"/>
      <c r="C598" s="828" t="s">
        <v>910</v>
      </c>
      <c r="D598" s="829">
        <v>48286</v>
      </c>
      <c r="E598" s="829">
        <v>0</v>
      </c>
      <c r="F598" s="830">
        <f t="shared" si="35"/>
        <v>0</v>
      </c>
      <c r="G598" s="821"/>
    </row>
    <row r="599" spans="1:7" s="831" customFormat="1" ht="18.75" customHeight="1" hidden="1">
      <c r="A599" s="826"/>
      <c r="B599" s="827"/>
      <c r="C599" s="828" t="s">
        <v>467</v>
      </c>
      <c r="D599" s="829">
        <v>0</v>
      </c>
      <c r="E599" s="829">
        <v>0</v>
      </c>
      <c r="F599" s="830" t="e">
        <f t="shared" si="35"/>
        <v>#DIV/0!</v>
      </c>
      <c r="G599" s="821"/>
    </row>
    <row r="600" spans="1:7" s="822" customFormat="1" ht="18.75" customHeight="1">
      <c r="A600" s="824"/>
      <c r="B600" s="817"/>
      <c r="C600" s="818" t="s">
        <v>468</v>
      </c>
      <c r="D600" s="819">
        <v>894890</v>
      </c>
      <c r="E600" s="819">
        <v>894036.04</v>
      </c>
      <c r="F600" s="820">
        <f t="shared" si="35"/>
        <v>99.90457374649398</v>
      </c>
      <c r="G600" s="823"/>
    </row>
    <row r="601" spans="1:7" s="822" customFormat="1" ht="18.75" customHeight="1">
      <c r="A601" s="824"/>
      <c r="B601" s="817"/>
      <c r="C601" s="825" t="s">
        <v>487</v>
      </c>
      <c r="D601" s="819">
        <v>80989</v>
      </c>
      <c r="E601" s="819">
        <v>80915.34</v>
      </c>
      <c r="F601" s="820">
        <f t="shared" si="35"/>
        <v>99.9090493770759</v>
      </c>
      <c r="G601" s="821"/>
    </row>
    <row r="602" spans="1:7" s="822" customFormat="1" ht="18.75" customHeight="1">
      <c r="A602" s="834"/>
      <c r="B602" s="809" t="s">
        <v>691</v>
      </c>
      <c r="C602" s="836" t="s">
        <v>405</v>
      </c>
      <c r="D602" s="328">
        <f>SUM(D603,D606)</f>
        <v>210000</v>
      </c>
      <c r="E602" s="328">
        <f>SUM(E603,E606)</f>
        <v>169457.75</v>
      </c>
      <c r="F602" s="810">
        <f t="shared" si="35"/>
        <v>80.69416666666666</v>
      </c>
      <c r="G602" s="821"/>
    </row>
    <row r="603" spans="1:7" s="325" customFormat="1" ht="18.75" customHeight="1" hidden="1">
      <c r="A603" s="811"/>
      <c r="B603" s="812"/>
      <c r="C603" s="813" t="s">
        <v>360</v>
      </c>
      <c r="D603" s="322">
        <f>SUM(D604)</f>
        <v>0</v>
      </c>
      <c r="E603" s="322">
        <f>SUM(E604)</f>
        <v>0</v>
      </c>
      <c r="F603" s="814" t="e">
        <f t="shared" si="35"/>
        <v>#DIV/0!</v>
      </c>
      <c r="G603" s="815"/>
    </row>
    <row r="604" spans="1:7" s="822" customFormat="1" ht="18" customHeight="1" hidden="1">
      <c r="A604" s="816"/>
      <c r="B604" s="817"/>
      <c r="C604" s="818" t="s">
        <v>466</v>
      </c>
      <c r="D604" s="819">
        <f>SUM(D605)</f>
        <v>0</v>
      </c>
      <c r="E604" s="819">
        <f>SUM(E605)</f>
        <v>0</v>
      </c>
      <c r="F604" s="820" t="e">
        <f t="shared" si="35"/>
        <v>#DIV/0!</v>
      </c>
      <c r="G604" s="821"/>
    </row>
    <row r="605" spans="1:7" s="831" customFormat="1" ht="18.75" customHeight="1" hidden="1">
      <c r="A605" s="826"/>
      <c r="B605" s="827"/>
      <c r="C605" s="828" t="s">
        <v>467</v>
      </c>
      <c r="D605" s="829">
        <v>0</v>
      </c>
      <c r="E605" s="829">
        <v>0</v>
      </c>
      <c r="F605" s="830" t="e">
        <f t="shared" si="35"/>
        <v>#DIV/0!</v>
      </c>
      <c r="G605" s="821"/>
    </row>
    <row r="606" spans="1:7" s="325" customFormat="1" ht="18.75" customHeight="1">
      <c r="A606" s="811"/>
      <c r="B606" s="812"/>
      <c r="C606" s="813" t="s">
        <v>469</v>
      </c>
      <c r="D606" s="322">
        <f>SUM(D607)</f>
        <v>210000</v>
      </c>
      <c r="E606" s="322">
        <f>SUM(E607)</f>
        <v>169457.75</v>
      </c>
      <c r="F606" s="814">
        <f t="shared" si="35"/>
        <v>80.69416666666666</v>
      </c>
      <c r="G606" s="815"/>
    </row>
    <row r="607" spans="1:7" s="822" customFormat="1" ht="18.75" customHeight="1">
      <c r="A607" s="816"/>
      <c r="B607" s="817"/>
      <c r="C607" s="818" t="s">
        <v>471</v>
      </c>
      <c r="D607" s="819">
        <v>210000</v>
      </c>
      <c r="E607" s="819">
        <v>169457.75</v>
      </c>
      <c r="F607" s="820">
        <f>E607/D607*100</f>
        <v>80.69416666666666</v>
      </c>
      <c r="G607" s="823"/>
    </row>
    <row r="608" spans="1:8" s="838" customFormat="1" ht="18.75" customHeight="1">
      <c r="A608" s="834"/>
      <c r="B608" s="809" t="s">
        <v>1012</v>
      </c>
      <c r="C608" s="836" t="s">
        <v>1013</v>
      </c>
      <c r="D608" s="328">
        <f>D609</f>
        <v>1369592</v>
      </c>
      <c r="E608" s="328">
        <f>E609</f>
        <v>1297731.25</v>
      </c>
      <c r="F608" s="810">
        <f t="shared" si="35"/>
        <v>94.75312720868698</v>
      </c>
      <c r="G608" s="821"/>
      <c r="H608" s="822"/>
    </row>
    <row r="609" spans="1:7" s="325" customFormat="1" ht="18.75" customHeight="1">
      <c r="A609" s="811"/>
      <c r="B609" s="812"/>
      <c r="C609" s="813" t="s">
        <v>360</v>
      </c>
      <c r="D609" s="322">
        <f>SUM(D610,D613,D614,D615)</f>
        <v>1369592</v>
      </c>
      <c r="E609" s="322">
        <f>SUM(E610,E613,E614,E615)</f>
        <v>1297731.25</v>
      </c>
      <c r="F609" s="814">
        <f t="shared" si="35"/>
        <v>94.75312720868698</v>
      </c>
      <c r="G609" s="815"/>
    </row>
    <row r="610" spans="1:7" s="822" customFormat="1" ht="18" customHeight="1">
      <c r="A610" s="816"/>
      <c r="B610" s="817"/>
      <c r="C610" s="818" t="s">
        <v>466</v>
      </c>
      <c r="D610" s="819">
        <f>SUM(D611,D612)</f>
        <v>183096</v>
      </c>
      <c r="E610" s="819">
        <f>SUM(E611,E612)</f>
        <v>162326.39</v>
      </c>
      <c r="F610" s="820">
        <f t="shared" si="35"/>
        <v>88.65643706033994</v>
      </c>
      <c r="G610" s="821"/>
    </row>
    <row r="611" spans="1:7" s="831" customFormat="1" ht="18.75" customHeight="1">
      <c r="A611" s="826"/>
      <c r="B611" s="827"/>
      <c r="C611" s="828" t="s">
        <v>910</v>
      </c>
      <c r="D611" s="829">
        <v>177196</v>
      </c>
      <c r="E611" s="829">
        <v>156528.89</v>
      </c>
      <c r="F611" s="830">
        <f t="shared" si="35"/>
        <v>88.33658208988918</v>
      </c>
      <c r="G611" s="821"/>
    </row>
    <row r="612" spans="1:7" s="831" customFormat="1" ht="18.75" customHeight="1">
      <c r="A612" s="826"/>
      <c r="B612" s="827"/>
      <c r="C612" s="828" t="s">
        <v>467</v>
      </c>
      <c r="D612" s="829">
        <v>5900</v>
      </c>
      <c r="E612" s="829">
        <v>5797.5</v>
      </c>
      <c r="F612" s="830">
        <f>E612/D612*100</f>
        <v>98.26271186440678</v>
      </c>
      <c r="G612" s="821"/>
    </row>
    <row r="613" spans="1:7" s="822" customFormat="1" ht="18.75" customHeight="1">
      <c r="A613" s="824"/>
      <c r="B613" s="817"/>
      <c r="C613" s="818" t="s">
        <v>468</v>
      </c>
      <c r="D613" s="819">
        <v>87530</v>
      </c>
      <c r="E613" s="819">
        <v>79106.89</v>
      </c>
      <c r="F613" s="820">
        <f t="shared" si="35"/>
        <v>90.37688792414029</v>
      </c>
      <c r="G613" s="823"/>
    </row>
    <row r="614" spans="1:7" s="822" customFormat="1" ht="18.75" customHeight="1">
      <c r="A614" s="824"/>
      <c r="B614" s="817"/>
      <c r="C614" s="825" t="s">
        <v>487</v>
      </c>
      <c r="D614" s="819">
        <v>1072437</v>
      </c>
      <c r="E614" s="819">
        <v>1029768.97</v>
      </c>
      <c r="F614" s="820">
        <f t="shared" si="35"/>
        <v>96.02139519617468</v>
      </c>
      <c r="G614" s="821"/>
    </row>
    <row r="615" spans="1:7" s="822" customFormat="1" ht="18.75" customHeight="1">
      <c r="A615" s="824"/>
      <c r="B615" s="817"/>
      <c r="C615" s="825" t="s">
        <v>495</v>
      </c>
      <c r="D615" s="819">
        <v>26529</v>
      </c>
      <c r="E615" s="819">
        <v>26529</v>
      </c>
      <c r="F615" s="820">
        <f>E615/D615*100</f>
        <v>100</v>
      </c>
      <c r="G615" s="821"/>
    </row>
    <row r="616" spans="1:6" ht="28.5" customHeight="1">
      <c r="A616" s="834"/>
      <c r="B616" s="809" t="s">
        <v>647</v>
      </c>
      <c r="C616" s="327" t="s">
        <v>493</v>
      </c>
      <c r="D616" s="328">
        <f>SUM(D617)</f>
        <v>336000</v>
      </c>
      <c r="E616" s="328">
        <f>SUM(E617)</f>
        <v>296097.77</v>
      </c>
      <c r="F616" s="810">
        <f t="shared" si="35"/>
        <v>88.12433630952381</v>
      </c>
    </row>
    <row r="617" spans="1:7" s="325" customFormat="1" ht="18.75" customHeight="1">
      <c r="A617" s="811"/>
      <c r="B617" s="812"/>
      <c r="C617" s="813" t="s">
        <v>360</v>
      </c>
      <c r="D617" s="322">
        <f>SUM(D618)</f>
        <v>336000</v>
      </c>
      <c r="E617" s="322">
        <f>SUM(E618)</f>
        <v>296097.77</v>
      </c>
      <c r="F617" s="814">
        <f t="shared" si="35"/>
        <v>88.12433630952381</v>
      </c>
      <c r="G617" s="815"/>
    </row>
    <row r="618" spans="1:7" s="822" customFormat="1" ht="18" customHeight="1">
      <c r="A618" s="816"/>
      <c r="B618" s="817"/>
      <c r="C618" s="818" t="s">
        <v>466</v>
      </c>
      <c r="D618" s="819">
        <f>SUM(D619,D620)</f>
        <v>336000</v>
      </c>
      <c r="E618" s="819">
        <f>SUM(E619,E620)</f>
        <v>296097.77</v>
      </c>
      <c r="F618" s="820">
        <f t="shared" si="35"/>
        <v>88.12433630952381</v>
      </c>
      <c r="G618" s="821"/>
    </row>
    <row r="619" spans="1:7" s="831" customFormat="1" ht="18.75" customHeight="1">
      <c r="A619" s="826"/>
      <c r="B619" s="827"/>
      <c r="C619" s="828" t="s">
        <v>910</v>
      </c>
      <c r="D619" s="829">
        <v>228378</v>
      </c>
      <c r="E619" s="829">
        <v>205183.9</v>
      </c>
      <c r="F619" s="830">
        <f t="shared" si="35"/>
        <v>89.84398672376498</v>
      </c>
      <c r="G619" s="821"/>
    </row>
    <row r="620" spans="1:7" s="831" customFormat="1" ht="18.75" customHeight="1">
      <c r="A620" s="826"/>
      <c r="B620" s="827"/>
      <c r="C620" s="828" t="s">
        <v>467</v>
      </c>
      <c r="D620" s="829">
        <v>107622</v>
      </c>
      <c r="E620" s="829">
        <v>90913.87</v>
      </c>
      <c r="F620" s="830">
        <f t="shared" si="35"/>
        <v>84.4751723625281</v>
      </c>
      <c r="G620" s="821"/>
    </row>
    <row r="621" spans="1:7" s="822" customFormat="1" ht="18.75" customHeight="1">
      <c r="A621" s="834"/>
      <c r="B621" s="809" t="s">
        <v>1014</v>
      </c>
      <c r="C621" s="833" t="s">
        <v>1015</v>
      </c>
      <c r="D621" s="328">
        <f>D622</f>
        <v>226770</v>
      </c>
      <c r="E621" s="328">
        <f>E622</f>
        <v>222673.03999999998</v>
      </c>
      <c r="F621" s="810">
        <f t="shared" si="35"/>
        <v>98.1933412708912</v>
      </c>
      <c r="G621" s="821"/>
    </row>
    <row r="622" spans="1:7" s="325" customFormat="1" ht="18.75" customHeight="1">
      <c r="A622" s="811"/>
      <c r="B622" s="812"/>
      <c r="C622" s="813" t="s">
        <v>360</v>
      </c>
      <c r="D622" s="322">
        <f>SUM(D623)</f>
        <v>226770</v>
      </c>
      <c r="E622" s="322">
        <f>SUM(E623)</f>
        <v>222673.03999999998</v>
      </c>
      <c r="F622" s="814">
        <f t="shared" si="35"/>
        <v>98.1933412708912</v>
      </c>
      <c r="G622" s="815"/>
    </row>
    <row r="623" spans="1:7" s="822" customFormat="1" ht="18" customHeight="1">
      <c r="A623" s="816"/>
      <c r="B623" s="817"/>
      <c r="C623" s="818" t="s">
        <v>466</v>
      </c>
      <c r="D623" s="819">
        <f>SUM(D624,D625)</f>
        <v>226770</v>
      </c>
      <c r="E623" s="819">
        <f>SUM(E624,E625)</f>
        <v>222673.03999999998</v>
      </c>
      <c r="F623" s="820">
        <f t="shared" si="35"/>
        <v>98.1933412708912</v>
      </c>
      <c r="G623" s="821"/>
    </row>
    <row r="624" spans="1:7" s="831" customFormat="1" ht="18.75" customHeight="1">
      <c r="A624" s="826"/>
      <c r="B624" s="827"/>
      <c r="C624" s="828" t="s">
        <v>910</v>
      </c>
      <c r="D624" s="829">
        <v>196115</v>
      </c>
      <c r="E624" s="829">
        <v>193601.99</v>
      </c>
      <c r="F624" s="830">
        <f t="shared" si="35"/>
        <v>98.7186038803763</v>
      </c>
      <c r="G624" s="821"/>
    </row>
    <row r="625" spans="1:7" s="831" customFormat="1" ht="18.75" customHeight="1">
      <c r="A625" s="826"/>
      <c r="B625" s="827"/>
      <c r="C625" s="828" t="s">
        <v>467</v>
      </c>
      <c r="D625" s="829">
        <v>30655</v>
      </c>
      <c r="E625" s="829">
        <v>29071.05</v>
      </c>
      <c r="F625" s="830">
        <f t="shared" si="35"/>
        <v>94.8329799380199</v>
      </c>
      <c r="G625" s="821"/>
    </row>
    <row r="626" spans="1:7" s="822" customFormat="1" ht="42.75" customHeight="1">
      <c r="A626" s="834"/>
      <c r="B626" s="809" t="s">
        <v>1200</v>
      </c>
      <c r="C626" s="842" t="s">
        <v>1201</v>
      </c>
      <c r="D626" s="328">
        <f>SUM(D627)</f>
        <v>48860</v>
      </c>
      <c r="E626" s="328">
        <f>SUM(E627)</f>
        <v>36857.9</v>
      </c>
      <c r="F626" s="810">
        <f t="shared" si="35"/>
        <v>75.43573475235367</v>
      </c>
      <c r="G626" s="821"/>
    </row>
    <row r="627" spans="1:7" s="325" customFormat="1" ht="18.75" customHeight="1">
      <c r="A627" s="811"/>
      <c r="B627" s="812"/>
      <c r="C627" s="813" t="s">
        <v>360</v>
      </c>
      <c r="D627" s="322">
        <f>SUM(D628)</f>
        <v>48860</v>
      </c>
      <c r="E627" s="322">
        <f>SUM(E628)</f>
        <v>36857.9</v>
      </c>
      <c r="F627" s="814">
        <f t="shared" si="35"/>
        <v>75.43573475235367</v>
      </c>
      <c r="G627" s="815"/>
    </row>
    <row r="628" spans="1:7" s="822" customFormat="1" ht="18" customHeight="1">
      <c r="A628" s="816"/>
      <c r="B628" s="817"/>
      <c r="C628" s="818" t="s">
        <v>466</v>
      </c>
      <c r="D628" s="819">
        <f>SUM(D629,D630)</f>
        <v>48860</v>
      </c>
      <c r="E628" s="819">
        <f>SUM(E629,E630)</f>
        <v>36857.9</v>
      </c>
      <c r="F628" s="820">
        <f t="shared" si="35"/>
        <v>75.43573475235367</v>
      </c>
      <c r="G628" s="821"/>
    </row>
    <row r="629" spans="1:7" s="831" customFormat="1" ht="18.75" customHeight="1">
      <c r="A629" s="826"/>
      <c r="B629" s="827"/>
      <c r="C629" s="828" t="s">
        <v>910</v>
      </c>
      <c r="D629" s="829">
        <v>4245</v>
      </c>
      <c r="E629" s="829">
        <v>0</v>
      </c>
      <c r="F629" s="830">
        <f t="shared" si="35"/>
        <v>0</v>
      </c>
      <c r="G629" s="821"/>
    </row>
    <row r="630" spans="1:7" s="831" customFormat="1" ht="18.75" customHeight="1">
      <c r="A630" s="826"/>
      <c r="B630" s="827"/>
      <c r="C630" s="828" t="s">
        <v>467</v>
      </c>
      <c r="D630" s="829">
        <v>44615</v>
      </c>
      <c r="E630" s="829">
        <v>36857.9</v>
      </c>
      <c r="F630" s="830">
        <f t="shared" si="35"/>
        <v>82.61324666591953</v>
      </c>
      <c r="G630" s="821"/>
    </row>
    <row r="631" spans="1:7" s="822" customFormat="1" ht="18.75" customHeight="1">
      <c r="A631" s="834"/>
      <c r="B631" s="809" t="s">
        <v>689</v>
      </c>
      <c r="C631" s="836" t="s">
        <v>1433</v>
      </c>
      <c r="D631" s="328">
        <f>SUM(D632)</f>
        <v>56000</v>
      </c>
      <c r="E631" s="328">
        <f>SUM(E632)</f>
        <v>48153.51</v>
      </c>
      <c r="F631" s="810">
        <f aca="true" t="shared" si="36" ref="F631:F638">E631/D631*100</f>
        <v>85.98841071428572</v>
      </c>
      <c r="G631" s="821"/>
    </row>
    <row r="632" spans="1:7" s="325" customFormat="1" ht="18.75" customHeight="1">
      <c r="A632" s="811"/>
      <c r="B632" s="812"/>
      <c r="C632" s="813" t="s">
        <v>360</v>
      </c>
      <c r="D632" s="322">
        <f>SUM(D633,D636)</f>
        <v>56000</v>
      </c>
      <c r="E632" s="322">
        <f>SUM(E633,E636)</f>
        <v>48153.51</v>
      </c>
      <c r="F632" s="814">
        <f t="shared" si="36"/>
        <v>85.98841071428572</v>
      </c>
      <c r="G632" s="815"/>
    </row>
    <row r="633" spans="1:7" s="822" customFormat="1" ht="18" customHeight="1">
      <c r="A633" s="816"/>
      <c r="B633" s="817"/>
      <c r="C633" s="818" t="s">
        <v>466</v>
      </c>
      <c r="D633" s="819">
        <f>SUM(D634,D635)</f>
        <v>36400</v>
      </c>
      <c r="E633" s="819">
        <f>SUM(E634,E635)</f>
        <v>36395.91</v>
      </c>
      <c r="F633" s="820">
        <f>E633/D633*100</f>
        <v>99.98876373626373</v>
      </c>
      <c r="G633" s="821"/>
    </row>
    <row r="634" spans="1:7" s="831" customFormat="1" ht="18.75" customHeight="1">
      <c r="A634" s="826"/>
      <c r="B634" s="827"/>
      <c r="C634" s="828" t="s">
        <v>910</v>
      </c>
      <c r="D634" s="829">
        <v>6000</v>
      </c>
      <c r="E634" s="829">
        <v>5995.91</v>
      </c>
      <c r="F634" s="830">
        <f>E634/D634*100</f>
        <v>99.93183333333333</v>
      </c>
      <c r="G634" s="821"/>
    </row>
    <row r="635" spans="1:7" s="831" customFormat="1" ht="18.75" customHeight="1">
      <c r="A635" s="826"/>
      <c r="B635" s="827"/>
      <c r="C635" s="828" t="s">
        <v>467</v>
      </c>
      <c r="D635" s="829">
        <v>30400</v>
      </c>
      <c r="E635" s="829">
        <v>30400</v>
      </c>
      <c r="F635" s="830">
        <f>E635/D635*100</f>
        <v>100</v>
      </c>
      <c r="G635" s="821"/>
    </row>
    <row r="636" spans="1:7" s="822" customFormat="1" ht="18.75" customHeight="1">
      <c r="A636" s="824"/>
      <c r="B636" s="817"/>
      <c r="C636" s="825" t="s">
        <v>487</v>
      </c>
      <c r="D636" s="819">
        <v>19600</v>
      </c>
      <c r="E636" s="819">
        <v>11757.6</v>
      </c>
      <c r="F636" s="820">
        <f>E636/D636*100</f>
        <v>59.98775510204082</v>
      </c>
      <c r="G636" s="821"/>
    </row>
    <row r="637" spans="1:7" s="822" customFormat="1" ht="27" customHeight="1">
      <c r="A637" s="835" t="s">
        <v>125</v>
      </c>
      <c r="B637" s="805"/>
      <c r="C637" s="832" t="s">
        <v>1016</v>
      </c>
      <c r="D637" s="338">
        <f>SUM(D638,D641,D644,D649,D655)</f>
        <v>1281617</v>
      </c>
      <c r="E637" s="338">
        <f>SUM(E638,E641,E644,E649,E655)</f>
        <v>1245326.6099999999</v>
      </c>
      <c r="F637" s="807">
        <f t="shared" si="36"/>
        <v>97.16839040056428</v>
      </c>
      <c r="G637" s="821"/>
    </row>
    <row r="638" spans="1:7" s="822" customFormat="1" ht="30.75" customHeight="1">
      <c r="A638" s="834"/>
      <c r="B638" s="809" t="s">
        <v>1412</v>
      </c>
      <c r="C638" s="327" t="s">
        <v>1416</v>
      </c>
      <c r="D638" s="328">
        <f>SUM(D639)</f>
        <v>41100</v>
      </c>
      <c r="E638" s="328">
        <f>SUM(E639)</f>
        <v>41100</v>
      </c>
      <c r="F638" s="810">
        <f t="shared" si="36"/>
        <v>100</v>
      </c>
      <c r="G638" s="821"/>
    </row>
    <row r="639" spans="1:7" s="325" customFormat="1" ht="18.75" customHeight="1">
      <c r="A639" s="811"/>
      <c r="B639" s="812"/>
      <c r="C639" s="813" t="s">
        <v>360</v>
      </c>
      <c r="D639" s="322">
        <f>SUM(D640)</f>
        <v>41100</v>
      </c>
      <c r="E639" s="322">
        <f>SUM(E640)</f>
        <v>41100</v>
      </c>
      <c r="F639" s="814">
        <f aca="true" t="shared" si="37" ref="F639:F654">E639/D639*100</f>
        <v>100</v>
      </c>
      <c r="G639" s="815"/>
    </row>
    <row r="640" spans="1:7" s="822" customFormat="1" ht="18" customHeight="1">
      <c r="A640" s="816"/>
      <c r="B640" s="817"/>
      <c r="C640" s="818" t="s">
        <v>468</v>
      </c>
      <c r="D640" s="819">
        <v>41100</v>
      </c>
      <c r="E640" s="819">
        <v>41100</v>
      </c>
      <c r="F640" s="820">
        <f t="shared" si="37"/>
        <v>100</v>
      </c>
      <c r="G640" s="821"/>
    </row>
    <row r="641" spans="1:7" s="822" customFormat="1" ht="18.75" customHeight="1">
      <c r="A641" s="834"/>
      <c r="B641" s="809" t="s">
        <v>133</v>
      </c>
      <c r="C641" s="843" t="s">
        <v>411</v>
      </c>
      <c r="D641" s="844">
        <f>D642</f>
        <v>36000</v>
      </c>
      <c r="E641" s="844">
        <f>E642</f>
        <v>36000</v>
      </c>
      <c r="F641" s="810">
        <f t="shared" si="37"/>
        <v>100</v>
      </c>
      <c r="G641" s="821"/>
    </row>
    <row r="642" spans="1:7" s="325" customFormat="1" ht="18.75" customHeight="1">
      <c r="A642" s="811"/>
      <c r="B642" s="812"/>
      <c r="C642" s="813" t="s">
        <v>360</v>
      </c>
      <c r="D642" s="322">
        <f>SUM(D643)</f>
        <v>36000</v>
      </c>
      <c r="E642" s="322">
        <f>SUM(E643)</f>
        <v>36000</v>
      </c>
      <c r="F642" s="814">
        <f t="shared" si="37"/>
        <v>100</v>
      </c>
      <c r="G642" s="815"/>
    </row>
    <row r="643" spans="1:7" s="822" customFormat="1" ht="18" customHeight="1">
      <c r="A643" s="816"/>
      <c r="B643" s="817"/>
      <c r="C643" s="818" t="s">
        <v>468</v>
      </c>
      <c r="D643" s="819">
        <v>36000</v>
      </c>
      <c r="E643" s="819">
        <v>36000</v>
      </c>
      <c r="F643" s="820">
        <f t="shared" si="37"/>
        <v>100</v>
      </c>
      <c r="G643" s="821"/>
    </row>
    <row r="644" spans="1:7" s="822" customFormat="1" ht="25.5" customHeight="1">
      <c r="A644" s="834"/>
      <c r="B644" s="809" t="s">
        <v>1406</v>
      </c>
      <c r="C644" s="327" t="s">
        <v>1407</v>
      </c>
      <c r="D644" s="328">
        <f>SUM(D645)</f>
        <v>18038</v>
      </c>
      <c r="E644" s="328">
        <f>SUM(E645)</f>
        <v>17179.850000000002</v>
      </c>
      <c r="F644" s="810">
        <f t="shared" si="37"/>
        <v>95.24254351923717</v>
      </c>
      <c r="G644" s="821"/>
    </row>
    <row r="645" spans="1:7" s="325" customFormat="1" ht="18.75" customHeight="1">
      <c r="A645" s="811"/>
      <c r="B645" s="812"/>
      <c r="C645" s="813" t="s">
        <v>360</v>
      </c>
      <c r="D645" s="322">
        <f>SUM(D646)</f>
        <v>18038</v>
      </c>
      <c r="E645" s="322">
        <f>SUM(E646)</f>
        <v>17179.850000000002</v>
      </c>
      <c r="F645" s="814">
        <f t="shared" si="37"/>
        <v>95.24254351923717</v>
      </c>
      <c r="G645" s="815"/>
    </row>
    <row r="646" spans="1:7" s="822" customFormat="1" ht="18" customHeight="1">
      <c r="A646" s="816"/>
      <c r="B646" s="817"/>
      <c r="C646" s="818" t="s">
        <v>466</v>
      </c>
      <c r="D646" s="819">
        <f>SUM(D647,D648)</f>
        <v>18038</v>
      </c>
      <c r="E646" s="819">
        <f>SUM(E647,E648)</f>
        <v>17179.850000000002</v>
      </c>
      <c r="F646" s="820">
        <f t="shared" si="37"/>
        <v>95.24254351923717</v>
      </c>
      <c r="G646" s="821"/>
    </row>
    <row r="647" spans="1:7" s="831" customFormat="1" ht="18.75" customHeight="1">
      <c r="A647" s="826"/>
      <c r="B647" s="827"/>
      <c r="C647" s="828" t="s">
        <v>910</v>
      </c>
      <c r="D647" s="829">
        <v>16977</v>
      </c>
      <c r="E647" s="829">
        <v>16183.95</v>
      </c>
      <c r="F647" s="830">
        <f t="shared" si="37"/>
        <v>95.32867997879484</v>
      </c>
      <c r="G647" s="821"/>
    </row>
    <row r="648" spans="1:7" s="831" customFormat="1" ht="18.75" customHeight="1">
      <c r="A648" s="826"/>
      <c r="B648" s="827"/>
      <c r="C648" s="828" t="s">
        <v>467</v>
      </c>
      <c r="D648" s="829">
        <v>1061</v>
      </c>
      <c r="E648" s="829">
        <v>995.9</v>
      </c>
      <c r="F648" s="830">
        <f t="shared" si="37"/>
        <v>93.86427898209236</v>
      </c>
      <c r="G648" s="821"/>
    </row>
    <row r="649" spans="1:7" s="822" customFormat="1" ht="18.75" customHeight="1">
      <c r="A649" s="834"/>
      <c r="B649" s="809" t="s">
        <v>1018</v>
      </c>
      <c r="C649" s="836" t="s">
        <v>1019</v>
      </c>
      <c r="D649" s="328">
        <f>SUM(D650)</f>
        <v>900267</v>
      </c>
      <c r="E649" s="328">
        <f>SUM(E650)</f>
        <v>900266.86</v>
      </c>
      <c r="F649" s="810">
        <f t="shared" si="37"/>
        <v>99.99998444905789</v>
      </c>
      <c r="G649" s="821"/>
    </row>
    <row r="650" spans="1:7" s="325" customFormat="1" ht="18.75" customHeight="1">
      <c r="A650" s="811"/>
      <c r="B650" s="812"/>
      <c r="C650" s="813" t="s">
        <v>360</v>
      </c>
      <c r="D650" s="322">
        <f>SUM(D651,D654)</f>
        <v>900267</v>
      </c>
      <c r="E650" s="322">
        <f>SUM(E651,E654)</f>
        <v>900266.86</v>
      </c>
      <c r="F650" s="814">
        <f t="shared" si="37"/>
        <v>99.99998444905789</v>
      </c>
      <c r="G650" s="815"/>
    </row>
    <row r="651" spans="1:7" s="822" customFormat="1" ht="18" customHeight="1">
      <c r="A651" s="816"/>
      <c r="B651" s="817"/>
      <c r="C651" s="818" t="s">
        <v>466</v>
      </c>
      <c r="D651" s="819">
        <f>SUM(D652,D653)</f>
        <v>899786</v>
      </c>
      <c r="E651" s="819">
        <f>SUM(E652,E653)</f>
        <v>899786.84</v>
      </c>
      <c r="F651" s="820">
        <f t="shared" si="37"/>
        <v>100.00009335553119</v>
      </c>
      <c r="G651" s="821"/>
    </row>
    <row r="652" spans="1:7" s="831" customFormat="1" ht="18.75" customHeight="1">
      <c r="A652" s="826"/>
      <c r="B652" s="827"/>
      <c r="C652" s="828" t="s">
        <v>910</v>
      </c>
      <c r="D652" s="829">
        <v>761434</v>
      </c>
      <c r="E652" s="829">
        <v>761431.94</v>
      </c>
      <c r="F652" s="830">
        <f t="shared" si="37"/>
        <v>99.99972945783875</v>
      </c>
      <c r="G652" s="821"/>
    </row>
    <row r="653" spans="1:7" s="831" customFormat="1" ht="18.75" customHeight="1">
      <c r="A653" s="826"/>
      <c r="B653" s="827"/>
      <c r="C653" s="828" t="s">
        <v>467</v>
      </c>
      <c r="D653" s="829">
        <v>138352</v>
      </c>
      <c r="E653" s="829">
        <v>138354.9</v>
      </c>
      <c r="F653" s="830">
        <f t="shared" si="37"/>
        <v>100.00209610269457</v>
      </c>
      <c r="G653" s="821"/>
    </row>
    <row r="654" spans="1:7" s="822" customFormat="1" ht="18.75" customHeight="1">
      <c r="A654" s="824"/>
      <c r="B654" s="817"/>
      <c r="C654" s="825" t="s">
        <v>487</v>
      </c>
      <c r="D654" s="819">
        <v>481</v>
      </c>
      <c r="E654" s="819">
        <v>480.02</v>
      </c>
      <c r="F654" s="820">
        <f t="shared" si="37"/>
        <v>99.79625779625779</v>
      </c>
      <c r="G654" s="821"/>
    </row>
    <row r="655" spans="1:7" s="822" customFormat="1" ht="18" customHeight="1">
      <c r="A655" s="834"/>
      <c r="B655" s="809" t="s">
        <v>1020</v>
      </c>
      <c r="C655" s="327" t="s">
        <v>1433</v>
      </c>
      <c r="D655" s="328">
        <f>SUM(D656)</f>
        <v>286212</v>
      </c>
      <c r="E655" s="328">
        <f>SUM(E656)</f>
        <v>250779.9</v>
      </c>
      <c r="F655" s="810">
        <f aca="true" t="shared" si="38" ref="F655:F662">E655/D655*100</f>
        <v>87.62033038447025</v>
      </c>
      <c r="G655" s="821"/>
    </row>
    <row r="656" spans="1:7" s="325" customFormat="1" ht="18.75" customHeight="1">
      <c r="A656" s="811"/>
      <c r="B656" s="812"/>
      <c r="C656" s="813" t="s">
        <v>360</v>
      </c>
      <c r="D656" s="322">
        <f>SUM(D657,D660)</f>
        <v>286212</v>
      </c>
      <c r="E656" s="322">
        <f>SUM(E657,E660)</f>
        <v>250779.9</v>
      </c>
      <c r="F656" s="814">
        <f t="shared" si="38"/>
        <v>87.62033038447025</v>
      </c>
      <c r="G656" s="815"/>
    </row>
    <row r="657" spans="1:7" s="822" customFormat="1" ht="18" customHeight="1">
      <c r="A657" s="816"/>
      <c r="B657" s="817"/>
      <c r="C657" s="818" t="s">
        <v>466</v>
      </c>
      <c r="D657" s="819">
        <f>SUM(D658,D659)</f>
        <v>191600</v>
      </c>
      <c r="E657" s="819">
        <f>SUM(E658,E659)</f>
        <v>156167.9</v>
      </c>
      <c r="F657" s="820">
        <f>E657/D657*100</f>
        <v>81.50725469728602</v>
      </c>
      <c r="G657" s="821"/>
    </row>
    <row r="658" spans="1:7" s="831" customFormat="1" ht="23.25" customHeight="1">
      <c r="A658" s="826"/>
      <c r="B658" s="827"/>
      <c r="C658" s="828" t="s">
        <v>910</v>
      </c>
      <c r="D658" s="829">
        <v>4800</v>
      </c>
      <c r="E658" s="829">
        <v>1260</v>
      </c>
      <c r="F658" s="830">
        <f>E658/D658*100</f>
        <v>26.25</v>
      </c>
      <c r="G658" s="821"/>
    </row>
    <row r="659" spans="1:7" s="831" customFormat="1" ht="23.25" customHeight="1">
      <c r="A659" s="826"/>
      <c r="B659" s="827"/>
      <c r="C659" s="828" t="s">
        <v>467</v>
      </c>
      <c r="D659" s="829">
        <v>186800</v>
      </c>
      <c r="E659" s="829">
        <v>154907.9</v>
      </c>
      <c r="F659" s="830">
        <f>E659/D659*100</f>
        <v>82.92714132762312</v>
      </c>
      <c r="G659" s="821"/>
    </row>
    <row r="660" spans="1:7" s="822" customFormat="1" ht="23.25" customHeight="1">
      <c r="A660" s="824"/>
      <c r="B660" s="817"/>
      <c r="C660" s="825" t="s">
        <v>495</v>
      </c>
      <c r="D660" s="819">
        <v>94612</v>
      </c>
      <c r="E660" s="819">
        <v>94612</v>
      </c>
      <c r="F660" s="820">
        <f>E660/D660*100</f>
        <v>100</v>
      </c>
      <c r="G660" s="821"/>
    </row>
    <row r="661" spans="1:7" s="822" customFormat="1" ht="23.25" customHeight="1">
      <c r="A661" s="835" t="s">
        <v>135</v>
      </c>
      <c r="B661" s="805"/>
      <c r="C661" s="832" t="s">
        <v>139</v>
      </c>
      <c r="D661" s="338">
        <f>SUM(D662,D667,D672,D678,D683,D688,D691,D695)</f>
        <v>4224634</v>
      </c>
      <c r="E661" s="338">
        <f>SUM(E662,E667,E672,E678,E683,E688,E691,E695)</f>
        <v>4201028.779999999</v>
      </c>
      <c r="F661" s="807">
        <f t="shared" si="38"/>
        <v>99.44124816492977</v>
      </c>
      <c r="G661" s="821"/>
    </row>
    <row r="662" spans="1:8" s="838" customFormat="1" ht="23.25" customHeight="1">
      <c r="A662" s="834"/>
      <c r="B662" s="809" t="s">
        <v>140</v>
      </c>
      <c r="C662" s="327" t="s">
        <v>222</v>
      </c>
      <c r="D662" s="328">
        <f>SUM(D663)</f>
        <v>1930709</v>
      </c>
      <c r="E662" s="328">
        <f>SUM(E663)</f>
        <v>1930709</v>
      </c>
      <c r="F662" s="810">
        <f t="shared" si="38"/>
        <v>100</v>
      </c>
      <c r="G662" s="821"/>
      <c r="H662" s="822"/>
    </row>
    <row r="663" spans="1:7" s="325" customFormat="1" ht="23.25" customHeight="1">
      <c r="A663" s="811"/>
      <c r="B663" s="812"/>
      <c r="C663" s="813" t="s">
        <v>360</v>
      </c>
      <c r="D663" s="322">
        <f>SUM(D664)</f>
        <v>1930709</v>
      </c>
      <c r="E663" s="322">
        <f>SUM(E664)</f>
        <v>1930709</v>
      </c>
      <c r="F663" s="814">
        <f aca="true" t="shared" si="39" ref="F663:F694">E663/D663*100</f>
        <v>100</v>
      </c>
      <c r="G663" s="815"/>
    </row>
    <row r="664" spans="1:7" s="822" customFormat="1" ht="23.25" customHeight="1">
      <c r="A664" s="816"/>
      <c r="B664" s="817"/>
      <c r="C664" s="818" t="s">
        <v>466</v>
      </c>
      <c r="D664" s="819">
        <f>SUM(D665,D666)</f>
        <v>1930709</v>
      </c>
      <c r="E664" s="819">
        <f>SUM(E665,E666)</f>
        <v>1930709</v>
      </c>
      <c r="F664" s="820">
        <f t="shared" si="39"/>
        <v>100</v>
      </c>
      <c r="G664" s="821"/>
    </row>
    <row r="665" spans="1:7" s="831" customFormat="1" ht="18.75" customHeight="1">
      <c r="A665" s="826"/>
      <c r="B665" s="827"/>
      <c r="C665" s="828" t="s">
        <v>910</v>
      </c>
      <c r="D665" s="829">
        <v>1598309</v>
      </c>
      <c r="E665" s="829">
        <v>1598308.5</v>
      </c>
      <c r="F665" s="830">
        <f t="shared" si="39"/>
        <v>99.99996871693772</v>
      </c>
      <c r="G665" s="821"/>
    </row>
    <row r="666" spans="1:7" s="831" customFormat="1" ht="18.75" customHeight="1">
      <c r="A666" s="826"/>
      <c r="B666" s="827"/>
      <c r="C666" s="828" t="s">
        <v>467</v>
      </c>
      <c r="D666" s="829">
        <v>332400</v>
      </c>
      <c r="E666" s="829">
        <v>332400.5</v>
      </c>
      <c r="F666" s="830">
        <f t="shared" si="39"/>
        <v>100.00015042117931</v>
      </c>
      <c r="G666" s="821"/>
    </row>
    <row r="667" spans="1:8" s="838" customFormat="1" ht="20.25" customHeight="1">
      <c r="A667" s="834"/>
      <c r="B667" s="841" t="s">
        <v>517</v>
      </c>
      <c r="C667" s="327" t="s">
        <v>518</v>
      </c>
      <c r="D667" s="328">
        <f>D668</f>
        <v>96971</v>
      </c>
      <c r="E667" s="328">
        <f>E668</f>
        <v>96971.4</v>
      </c>
      <c r="F667" s="810">
        <f t="shared" si="39"/>
        <v>100.00041249445711</v>
      </c>
      <c r="G667" s="821"/>
      <c r="H667" s="822"/>
    </row>
    <row r="668" spans="1:7" s="325" customFormat="1" ht="18.75" customHeight="1">
      <c r="A668" s="811"/>
      <c r="B668" s="812"/>
      <c r="C668" s="813" t="s">
        <v>360</v>
      </c>
      <c r="D668" s="322">
        <f>SUM(D669)</f>
        <v>96971</v>
      </c>
      <c r="E668" s="322">
        <f>SUM(E669)</f>
        <v>96971.4</v>
      </c>
      <c r="F668" s="814">
        <f t="shared" si="39"/>
        <v>100.00041249445711</v>
      </c>
      <c r="G668" s="815"/>
    </row>
    <row r="669" spans="1:7" s="822" customFormat="1" ht="18" customHeight="1">
      <c r="A669" s="816"/>
      <c r="B669" s="817"/>
      <c r="C669" s="818" t="s">
        <v>466</v>
      </c>
      <c r="D669" s="819">
        <f>SUM(D670,D671)</f>
        <v>96971</v>
      </c>
      <c r="E669" s="819">
        <f>SUM(E670,E671)</f>
        <v>96971.4</v>
      </c>
      <c r="F669" s="820">
        <f t="shared" si="39"/>
        <v>100.00041249445711</v>
      </c>
      <c r="G669" s="821"/>
    </row>
    <row r="670" spans="1:7" s="831" customFormat="1" ht="18.75" customHeight="1">
      <c r="A670" s="826"/>
      <c r="B670" s="827"/>
      <c r="C670" s="828" t="s">
        <v>910</v>
      </c>
      <c r="D670" s="829">
        <v>86963</v>
      </c>
      <c r="E670" s="829">
        <v>86963.15</v>
      </c>
      <c r="F670" s="830">
        <f t="shared" si="39"/>
        <v>100.0001724871497</v>
      </c>
      <c r="G670" s="821"/>
    </row>
    <row r="671" spans="1:7" s="831" customFormat="1" ht="18.75" customHeight="1">
      <c r="A671" s="826"/>
      <c r="B671" s="827"/>
      <c r="C671" s="828" t="s">
        <v>467</v>
      </c>
      <c r="D671" s="829">
        <v>10008</v>
      </c>
      <c r="E671" s="829">
        <v>10008.25</v>
      </c>
      <c r="F671" s="830">
        <f t="shared" si="39"/>
        <v>100.00249800159872</v>
      </c>
      <c r="G671" s="821"/>
    </row>
    <row r="672" spans="1:8" s="838" customFormat="1" ht="27" customHeight="1">
      <c r="A672" s="834"/>
      <c r="B672" s="841" t="s">
        <v>141</v>
      </c>
      <c r="C672" s="327" t="s">
        <v>1023</v>
      </c>
      <c r="D672" s="328">
        <f>SUM(D673)</f>
        <v>943490</v>
      </c>
      <c r="E672" s="328">
        <f>SUM(E673)</f>
        <v>943489.9999999999</v>
      </c>
      <c r="F672" s="810">
        <f t="shared" si="39"/>
        <v>99.99999999999999</v>
      </c>
      <c r="G672" s="821"/>
      <c r="H672" s="822"/>
    </row>
    <row r="673" spans="1:7" s="325" customFormat="1" ht="18.75" customHeight="1">
      <c r="A673" s="811"/>
      <c r="B673" s="812"/>
      <c r="C673" s="813" t="s">
        <v>360</v>
      </c>
      <c r="D673" s="322">
        <f>SUM(D674,D677)</f>
        <v>943490</v>
      </c>
      <c r="E673" s="322">
        <f>SUM(E674,E677)</f>
        <v>943489.9999999999</v>
      </c>
      <c r="F673" s="814">
        <f t="shared" si="39"/>
        <v>99.99999999999999</v>
      </c>
      <c r="G673" s="815"/>
    </row>
    <row r="674" spans="1:7" s="822" customFormat="1" ht="18" customHeight="1">
      <c r="A674" s="816"/>
      <c r="B674" s="817"/>
      <c r="C674" s="818" t="s">
        <v>466</v>
      </c>
      <c r="D674" s="819">
        <f>SUM(D675,D676)</f>
        <v>942238</v>
      </c>
      <c r="E674" s="819">
        <f>SUM(E675,E676)</f>
        <v>942237.6399999999</v>
      </c>
      <c r="F674" s="820">
        <f t="shared" si="39"/>
        <v>99.99996179309261</v>
      </c>
      <c r="G674" s="821"/>
    </row>
    <row r="675" spans="1:7" s="831" customFormat="1" ht="18.75" customHeight="1">
      <c r="A675" s="826"/>
      <c r="B675" s="827"/>
      <c r="C675" s="828" t="s">
        <v>910</v>
      </c>
      <c r="D675" s="829">
        <v>868817</v>
      </c>
      <c r="E675" s="829">
        <v>868816.08</v>
      </c>
      <c r="F675" s="830">
        <f t="shared" si="39"/>
        <v>99.999894108886</v>
      </c>
      <c r="G675" s="821"/>
    </row>
    <row r="676" spans="1:7" s="831" customFormat="1" ht="18.75" customHeight="1">
      <c r="A676" s="826"/>
      <c r="B676" s="827"/>
      <c r="C676" s="828" t="s">
        <v>467</v>
      </c>
      <c r="D676" s="829">
        <v>73421</v>
      </c>
      <c r="E676" s="829">
        <v>73421.56</v>
      </c>
      <c r="F676" s="830">
        <f t="shared" si="39"/>
        <v>100.00076272456108</v>
      </c>
      <c r="G676" s="821"/>
    </row>
    <row r="677" spans="1:7" s="822" customFormat="1" ht="18.75" customHeight="1">
      <c r="A677" s="824"/>
      <c r="B677" s="817"/>
      <c r="C677" s="825" t="s">
        <v>487</v>
      </c>
      <c r="D677" s="819">
        <v>1252</v>
      </c>
      <c r="E677" s="819">
        <v>1252.36</v>
      </c>
      <c r="F677" s="820">
        <f t="shared" si="39"/>
        <v>100.02875399361022</v>
      </c>
      <c r="G677" s="821"/>
    </row>
    <row r="678" spans="1:8" s="838" customFormat="1" ht="18.75" customHeight="1">
      <c r="A678" s="834"/>
      <c r="B678" s="809" t="s">
        <v>212</v>
      </c>
      <c r="C678" s="836" t="s">
        <v>1025</v>
      </c>
      <c r="D678" s="328">
        <f>SUM(D679)</f>
        <v>499926</v>
      </c>
      <c r="E678" s="328">
        <f>SUM(E679)</f>
        <v>499926.46</v>
      </c>
      <c r="F678" s="810">
        <f t="shared" si="39"/>
        <v>100.00009201361802</v>
      </c>
      <c r="G678" s="821"/>
      <c r="H678" s="822"/>
    </row>
    <row r="679" spans="1:7" s="325" customFormat="1" ht="18.75" customHeight="1">
      <c r="A679" s="811"/>
      <c r="B679" s="812"/>
      <c r="C679" s="813" t="s">
        <v>360</v>
      </c>
      <c r="D679" s="322">
        <f>SUM(D680)</f>
        <v>499926</v>
      </c>
      <c r="E679" s="322">
        <f>SUM(E680)</f>
        <v>499926.46</v>
      </c>
      <c r="F679" s="814">
        <f t="shared" si="39"/>
        <v>100.00009201361802</v>
      </c>
      <c r="G679" s="815"/>
    </row>
    <row r="680" spans="1:7" s="822" customFormat="1" ht="18" customHeight="1">
      <c r="A680" s="816"/>
      <c r="B680" s="817"/>
      <c r="C680" s="818" t="s">
        <v>466</v>
      </c>
      <c r="D680" s="819">
        <f>SUM(D681,D682)</f>
        <v>499926</v>
      </c>
      <c r="E680" s="819">
        <f>SUM(E681,E682)</f>
        <v>499926.46</v>
      </c>
      <c r="F680" s="820">
        <f t="shared" si="39"/>
        <v>100.00009201361802</v>
      </c>
      <c r="G680" s="821"/>
    </row>
    <row r="681" spans="1:7" s="831" customFormat="1" ht="18.75" customHeight="1">
      <c r="A681" s="826"/>
      <c r="B681" s="827"/>
      <c r="C681" s="828" t="s">
        <v>910</v>
      </c>
      <c r="D681" s="829">
        <v>478503</v>
      </c>
      <c r="E681" s="829">
        <v>478503.46</v>
      </c>
      <c r="F681" s="830">
        <f t="shared" si="39"/>
        <v>100.0000961331486</v>
      </c>
      <c r="G681" s="821"/>
    </row>
    <row r="682" spans="1:7" s="831" customFormat="1" ht="18.75" customHeight="1">
      <c r="A682" s="826"/>
      <c r="B682" s="827"/>
      <c r="C682" s="828" t="s">
        <v>467</v>
      </c>
      <c r="D682" s="829">
        <v>21423</v>
      </c>
      <c r="E682" s="829">
        <v>21423</v>
      </c>
      <c r="F682" s="830">
        <f t="shared" si="39"/>
        <v>100</v>
      </c>
      <c r="G682" s="821"/>
    </row>
    <row r="683" spans="1:7" s="822" customFormat="1" ht="18.75" customHeight="1">
      <c r="A683" s="834"/>
      <c r="B683" s="809" t="s">
        <v>215</v>
      </c>
      <c r="C683" s="836" t="s">
        <v>1026</v>
      </c>
      <c r="D683" s="328">
        <f>D684</f>
        <v>212588</v>
      </c>
      <c r="E683" s="328">
        <f>E684</f>
        <v>212588.08</v>
      </c>
      <c r="F683" s="810">
        <f t="shared" si="39"/>
        <v>100.00003763147495</v>
      </c>
      <c r="G683" s="821"/>
    </row>
    <row r="684" spans="1:7" s="325" customFormat="1" ht="18.75" customHeight="1">
      <c r="A684" s="811"/>
      <c r="B684" s="812"/>
      <c r="C684" s="813" t="s">
        <v>360</v>
      </c>
      <c r="D684" s="322">
        <f>SUM(D685)</f>
        <v>212588</v>
      </c>
      <c r="E684" s="322">
        <f>SUM(E685)</f>
        <v>212588.08</v>
      </c>
      <c r="F684" s="814">
        <f t="shared" si="39"/>
        <v>100.00003763147495</v>
      </c>
      <c r="G684" s="815"/>
    </row>
    <row r="685" spans="1:7" s="822" customFormat="1" ht="18" customHeight="1">
      <c r="A685" s="816"/>
      <c r="B685" s="817"/>
      <c r="C685" s="818" t="s">
        <v>466</v>
      </c>
      <c r="D685" s="819">
        <f>SUM(D686,D687)</f>
        <v>212588</v>
      </c>
      <c r="E685" s="819">
        <f>SUM(E686,E687)</f>
        <v>212588.08</v>
      </c>
      <c r="F685" s="820">
        <f t="shared" si="39"/>
        <v>100.00003763147495</v>
      </c>
      <c r="G685" s="821"/>
    </row>
    <row r="686" spans="1:7" s="831" customFormat="1" ht="18.75" customHeight="1">
      <c r="A686" s="826"/>
      <c r="B686" s="827"/>
      <c r="C686" s="828" t="s">
        <v>910</v>
      </c>
      <c r="D686" s="829">
        <v>203364</v>
      </c>
      <c r="E686" s="829">
        <v>203364.08</v>
      </c>
      <c r="F686" s="830">
        <f t="shared" si="39"/>
        <v>100.0000393383293</v>
      </c>
      <c r="G686" s="821"/>
    </row>
    <row r="687" spans="1:7" s="831" customFormat="1" ht="18.75" customHeight="1">
      <c r="A687" s="826"/>
      <c r="B687" s="827"/>
      <c r="C687" s="828" t="s">
        <v>467</v>
      </c>
      <c r="D687" s="829">
        <v>9224</v>
      </c>
      <c r="E687" s="829">
        <v>9224</v>
      </c>
      <c r="F687" s="830">
        <f t="shared" si="39"/>
        <v>100</v>
      </c>
      <c r="G687" s="821"/>
    </row>
    <row r="688" spans="1:7" s="156" customFormat="1" ht="18.75" customHeight="1">
      <c r="A688" s="834"/>
      <c r="B688" s="809" t="s">
        <v>1027</v>
      </c>
      <c r="C688" s="327" t="s">
        <v>889</v>
      </c>
      <c r="D688" s="328">
        <f>SUM(D689)</f>
        <v>522089</v>
      </c>
      <c r="E688" s="328">
        <f>SUM(E689)</f>
        <v>498483.24</v>
      </c>
      <c r="F688" s="820">
        <f t="shared" si="39"/>
        <v>95.47859464574047</v>
      </c>
      <c r="G688" s="165"/>
    </row>
    <row r="689" spans="1:7" s="325" customFormat="1" ht="18.75" customHeight="1">
      <c r="A689" s="811"/>
      <c r="B689" s="812"/>
      <c r="C689" s="813" t="s">
        <v>360</v>
      </c>
      <c r="D689" s="322">
        <f>SUM(D690)</f>
        <v>522089</v>
      </c>
      <c r="E689" s="322">
        <f>SUM(E690)</f>
        <v>498483.24</v>
      </c>
      <c r="F689" s="814">
        <f t="shared" si="39"/>
        <v>95.47859464574047</v>
      </c>
      <c r="G689" s="815"/>
    </row>
    <row r="690" spans="1:7" s="822" customFormat="1" ht="18" customHeight="1">
      <c r="A690" s="816"/>
      <c r="B690" s="817"/>
      <c r="C690" s="818" t="s">
        <v>468</v>
      </c>
      <c r="D690" s="819">
        <v>522089</v>
      </c>
      <c r="E690" s="819">
        <v>498483.24</v>
      </c>
      <c r="F690" s="820">
        <f t="shared" si="39"/>
        <v>95.47859464574047</v>
      </c>
      <c r="G690" s="821"/>
    </row>
    <row r="691" spans="1:8" s="838" customFormat="1" ht="18.75" customHeight="1">
      <c r="A691" s="834"/>
      <c r="B691" s="809" t="s">
        <v>1028</v>
      </c>
      <c r="C691" s="836" t="s">
        <v>979</v>
      </c>
      <c r="D691" s="328">
        <f>D694</f>
        <v>11403</v>
      </c>
      <c r="E691" s="328">
        <f>E694</f>
        <v>11403</v>
      </c>
      <c r="F691" s="810">
        <f t="shared" si="39"/>
        <v>100</v>
      </c>
      <c r="G691" s="821"/>
      <c r="H691" s="822"/>
    </row>
    <row r="692" spans="1:7" s="325" customFormat="1" ht="18.75" customHeight="1">
      <c r="A692" s="811"/>
      <c r="B692" s="812"/>
      <c r="C692" s="813" t="s">
        <v>360</v>
      </c>
      <c r="D692" s="322">
        <f>SUM(D693)</f>
        <v>11403</v>
      </c>
      <c r="E692" s="322">
        <f>SUM(E693)</f>
        <v>11403</v>
      </c>
      <c r="F692" s="814">
        <f t="shared" si="39"/>
        <v>100</v>
      </c>
      <c r="G692" s="815"/>
    </row>
    <row r="693" spans="1:7" s="822" customFormat="1" ht="18" customHeight="1">
      <c r="A693" s="816"/>
      <c r="B693" s="817"/>
      <c r="C693" s="818" t="s">
        <v>466</v>
      </c>
      <c r="D693" s="819">
        <f>SUM(D694)</f>
        <v>11403</v>
      </c>
      <c r="E693" s="819">
        <f>SUM(E694)</f>
        <v>11403</v>
      </c>
      <c r="F693" s="820">
        <f t="shared" si="39"/>
        <v>100</v>
      </c>
      <c r="G693" s="821"/>
    </row>
    <row r="694" spans="1:7" s="831" customFormat="1" ht="18.75" customHeight="1">
      <c r="A694" s="826"/>
      <c r="B694" s="827"/>
      <c r="C694" s="828" t="s">
        <v>467</v>
      </c>
      <c r="D694" s="829">
        <v>11403</v>
      </c>
      <c r="E694" s="829">
        <v>11403</v>
      </c>
      <c r="F694" s="830">
        <f t="shared" si="39"/>
        <v>100</v>
      </c>
      <c r="G694" s="821"/>
    </row>
    <row r="695" spans="1:8" s="838" customFormat="1" ht="18.75" customHeight="1">
      <c r="A695" s="834"/>
      <c r="B695" s="809" t="s">
        <v>1029</v>
      </c>
      <c r="C695" s="836" t="s">
        <v>1433</v>
      </c>
      <c r="D695" s="328">
        <f>SUM(D696)</f>
        <v>7458</v>
      </c>
      <c r="E695" s="328">
        <f>SUM(E696)</f>
        <v>7457.6</v>
      </c>
      <c r="F695" s="810">
        <f aca="true" t="shared" si="40" ref="F695:F713">E695/D695*100</f>
        <v>99.99463663180478</v>
      </c>
      <c r="G695" s="821"/>
      <c r="H695" s="822"/>
    </row>
    <row r="696" spans="1:7" s="325" customFormat="1" ht="18.75" customHeight="1">
      <c r="A696" s="811"/>
      <c r="B696" s="812"/>
      <c r="C696" s="813" t="s">
        <v>360</v>
      </c>
      <c r="D696" s="322">
        <f>SUM(D697,D700)</f>
        <v>7458</v>
      </c>
      <c r="E696" s="322">
        <f>SUM(E697,E700)</f>
        <v>7457.6</v>
      </c>
      <c r="F696" s="814">
        <f t="shared" si="40"/>
        <v>99.99463663180478</v>
      </c>
      <c r="G696" s="815"/>
    </row>
    <row r="697" spans="1:7" s="822" customFormat="1" ht="18" customHeight="1">
      <c r="A697" s="816"/>
      <c r="B697" s="817"/>
      <c r="C697" s="818" t="s">
        <v>466</v>
      </c>
      <c r="D697" s="819">
        <f>SUM(D698,D699)</f>
        <v>2607</v>
      </c>
      <c r="E697" s="819">
        <f>SUM(E698,E699)</f>
        <v>2606.6</v>
      </c>
      <c r="F697" s="820">
        <f t="shared" si="40"/>
        <v>99.98465669351745</v>
      </c>
      <c r="G697" s="821"/>
    </row>
    <row r="698" spans="1:7" s="831" customFormat="1" ht="18.75" customHeight="1">
      <c r="A698" s="826"/>
      <c r="B698" s="827"/>
      <c r="C698" s="828" t="s">
        <v>910</v>
      </c>
      <c r="D698" s="829">
        <v>2367</v>
      </c>
      <c r="E698" s="829">
        <v>2366.6</v>
      </c>
      <c r="F698" s="830">
        <f t="shared" si="40"/>
        <v>99.98310097169413</v>
      </c>
      <c r="G698" s="821"/>
    </row>
    <row r="699" spans="1:7" s="831" customFormat="1" ht="18.75" customHeight="1">
      <c r="A699" s="826"/>
      <c r="B699" s="827"/>
      <c r="C699" s="828" t="s">
        <v>467</v>
      </c>
      <c r="D699" s="829">
        <v>240</v>
      </c>
      <c r="E699" s="829">
        <v>240</v>
      </c>
      <c r="F699" s="830">
        <f t="shared" si="40"/>
        <v>100</v>
      </c>
      <c r="G699" s="821"/>
    </row>
    <row r="700" spans="1:7" s="822" customFormat="1" ht="18.75" customHeight="1">
      <c r="A700" s="824"/>
      <c r="B700" s="817"/>
      <c r="C700" s="825" t="s">
        <v>487</v>
      </c>
      <c r="D700" s="819">
        <v>4851</v>
      </c>
      <c r="E700" s="819">
        <v>4851</v>
      </c>
      <c r="F700" s="820">
        <f t="shared" si="40"/>
        <v>100</v>
      </c>
      <c r="G700" s="821"/>
    </row>
    <row r="701" spans="1:7" s="822" customFormat="1" ht="24.75" customHeight="1">
      <c r="A701" s="835" t="s">
        <v>216</v>
      </c>
      <c r="B701" s="805"/>
      <c r="C701" s="832" t="s">
        <v>1050</v>
      </c>
      <c r="D701" s="338">
        <f>SUM(D702,D706,D710,D714)</f>
        <v>1221890</v>
      </c>
      <c r="E701" s="338">
        <f>SUM(E702,E706,E710,E714)</f>
        <v>1202671.96</v>
      </c>
      <c r="F701" s="807">
        <f t="shared" si="40"/>
        <v>98.42718739002693</v>
      </c>
      <c r="G701" s="821"/>
    </row>
    <row r="702" spans="1:7" s="822" customFormat="1" ht="18.75" customHeight="1">
      <c r="A702" s="834"/>
      <c r="B702" s="809" t="s">
        <v>217</v>
      </c>
      <c r="C702" s="327" t="s">
        <v>412</v>
      </c>
      <c r="D702" s="328">
        <f aca="true" t="shared" si="41" ref="D702:E704">SUM(D703)</f>
        <v>295638</v>
      </c>
      <c r="E702" s="328">
        <f t="shared" si="41"/>
        <v>282154.55</v>
      </c>
      <c r="F702" s="820">
        <f t="shared" si="40"/>
        <v>95.43920267353994</v>
      </c>
      <c r="G702" s="821"/>
    </row>
    <row r="703" spans="1:7" s="325" customFormat="1" ht="18.75" customHeight="1">
      <c r="A703" s="811"/>
      <c r="B703" s="812"/>
      <c r="C703" s="813" t="s">
        <v>360</v>
      </c>
      <c r="D703" s="322">
        <f t="shared" si="41"/>
        <v>295638</v>
      </c>
      <c r="E703" s="322">
        <f t="shared" si="41"/>
        <v>282154.55</v>
      </c>
      <c r="F703" s="814">
        <f t="shared" si="40"/>
        <v>95.43920267353994</v>
      </c>
      <c r="G703" s="815"/>
    </row>
    <row r="704" spans="1:7" s="822" customFormat="1" ht="18" customHeight="1">
      <c r="A704" s="816"/>
      <c r="B704" s="817"/>
      <c r="C704" s="818" t="s">
        <v>466</v>
      </c>
      <c r="D704" s="819">
        <f t="shared" si="41"/>
        <v>295638</v>
      </c>
      <c r="E704" s="819">
        <f t="shared" si="41"/>
        <v>282154.55</v>
      </c>
      <c r="F704" s="820">
        <f t="shared" si="40"/>
        <v>95.43920267353994</v>
      </c>
      <c r="G704" s="821"/>
    </row>
    <row r="705" spans="1:7" s="831" customFormat="1" ht="18.75" customHeight="1">
      <c r="A705" s="826"/>
      <c r="B705" s="827"/>
      <c r="C705" s="828" t="s">
        <v>467</v>
      </c>
      <c r="D705" s="829">
        <v>295638</v>
      </c>
      <c r="E705" s="829">
        <v>282154.55</v>
      </c>
      <c r="F705" s="830">
        <f t="shared" si="40"/>
        <v>95.43920267353994</v>
      </c>
      <c r="G705" s="821"/>
    </row>
    <row r="706" spans="1:7" s="822" customFormat="1" ht="18.75" customHeight="1">
      <c r="A706" s="834"/>
      <c r="B706" s="809" t="s">
        <v>1053</v>
      </c>
      <c r="C706" s="327" t="s">
        <v>1054</v>
      </c>
      <c r="D706" s="328">
        <f>SUM(D709)</f>
        <v>4389</v>
      </c>
      <c r="E706" s="328">
        <f>SUM(E709)</f>
        <v>1250</v>
      </c>
      <c r="F706" s="820">
        <f t="shared" si="40"/>
        <v>28.480291638186372</v>
      </c>
      <c r="G706" s="821"/>
    </row>
    <row r="707" spans="1:7" s="325" customFormat="1" ht="18.75" customHeight="1">
      <c r="A707" s="811"/>
      <c r="B707" s="812"/>
      <c r="C707" s="813" t="s">
        <v>360</v>
      </c>
      <c r="D707" s="322">
        <f>SUM(D708)</f>
        <v>4389</v>
      </c>
      <c r="E707" s="322">
        <f>SUM(E708)</f>
        <v>1250</v>
      </c>
      <c r="F707" s="814">
        <f t="shared" si="40"/>
        <v>28.480291638186372</v>
      </c>
      <c r="G707" s="815"/>
    </row>
    <row r="708" spans="1:7" s="822" customFormat="1" ht="18" customHeight="1">
      <c r="A708" s="816"/>
      <c r="B708" s="817"/>
      <c r="C708" s="818" t="s">
        <v>466</v>
      </c>
      <c r="D708" s="819">
        <f>SUM(D709)</f>
        <v>4389</v>
      </c>
      <c r="E708" s="819">
        <f>SUM(E709)</f>
        <v>1250</v>
      </c>
      <c r="F708" s="820">
        <f t="shared" si="40"/>
        <v>28.480291638186372</v>
      </c>
      <c r="G708" s="821"/>
    </row>
    <row r="709" spans="1:7" s="831" customFormat="1" ht="18.75" customHeight="1">
      <c r="A709" s="826"/>
      <c r="B709" s="827"/>
      <c r="C709" s="828" t="s">
        <v>467</v>
      </c>
      <c r="D709" s="829">
        <v>4389</v>
      </c>
      <c r="E709" s="829">
        <v>1250</v>
      </c>
      <c r="F709" s="830">
        <f t="shared" si="40"/>
        <v>28.480291638186372</v>
      </c>
      <c r="G709" s="821"/>
    </row>
    <row r="710" spans="1:8" s="838" customFormat="1" ht="18.75" customHeight="1">
      <c r="A710" s="834"/>
      <c r="B710" s="809" t="s">
        <v>218</v>
      </c>
      <c r="C710" s="836" t="s">
        <v>219</v>
      </c>
      <c r="D710" s="328">
        <f>SUM(D713)</f>
        <v>918000</v>
      </c>
      <c r="E710" s="328">
        <f>SUM(E713)</f>
        <v>915404.71</v>
      </c>
      <c r="F710" s="810">
        <f t="shared" si="40"/>
        <v>99.71728867102397</v>
      </c>
      <c r="G710" s="821"/>
      <c r="H710" s="822"/>
    </row>
    <row r="711" spans="1:7" s="325" customFormat="1" ht="15" customHeight="1">
      <c r="A711" s="811"/>
      <c r="B711" s="812"/>
      <c r="C711" s="813" t="s">
        <v>360</v>
      </c>
      <c r="D711" s="322">
        <f>SUM(D712)</f>
        <v>918000</v>
      </c>
      <c r="E711" s="322">
        <f>SUM(E712)</f>
        <v>915404.71</v>
      </c>
      <c r="F711" s="814">
        <f t="shared" si="40"/>
        <v>99.71728867102397</v>
      </c>
      <c r="G711" s="815"/>
    </row>
    <row r="712" spans="1:7" s="822" customFormat="1" ht="16.5" customHeight="1">
      <c r="A712" s="816"/>
      <c r="B712" s="817"/>
      <c r="C712" s="818" t="s">
        <v>466</v>
      </c>
      <c r="D712" s="819">
        <f>SUM(D713)</f>
        <v>918000</v>
      </c>
      <c r="E712" s="819">
        <f>SUM(E713)</f>
        <v>915404.71</v>
      </c>
      <c r="F712" s="820">
        <f t="shared" si="40"/>
        <v>99.71728867102397</v>
      </c>
      <c r="G712" s="821"/>
    </row>
    <row r="713" spans="1:7" s="831" customFormat="1" ht="15.75" customHeight="1">
      <c r="A713" s="826"/>
      <c r="B713" s="827"/>
      <c r="C713" s="828" t="s">
        <v>467</v>
      </c>
      <c r="D713" s="829">
        <v>918000</v>
      </c>
      <c r="E713" s="829">
        <v>915404.71</v>
      </c>
      <c r="F713" s="830">
        <f t="shared" si="40"/>
        <v>99.71728867102397</v>
      </c>
      <c r="G713" s="821"/>
    </row>
    <row r="714" spans="1:8" s="838" customFormat="1" ht="18.75" customHeight="1">
      <c r="A714" s="834"/>
      <c r="B714" s="809" t="s">
        <v>220</v>
      </c>
      <c r="C714" s="836" t="s">
        <v>1433</v>
      </c>
      <c r="D714" s="328">
        <f>SUM(D717)</f>
        <v>3863</v>
      </c>
      <c r="E714" s="328">
        <f>SUM(E717)</f>
        <v>3862.7</v>
      </c>
      <c r="F714" s="810">
        <f>E714/D714*100</f>
        <v>99.99223401501423</v>
      </c>
      <c r="G714" s="821"/>
      <c r="H714" s="822"/>
    </row>
    <row r="715" spans="1:7" s="325" customFormat="1" ht="15" customHeight="1">
      <c r="A715" s="811"/>
      <c r="B715" s="812"/>
      <c r="C715" s="813" t="s">
        <v>360</v>
      </c>
      <c r="D715" s="322">
        <f>SUM(D716)</f>
        <v>3863</v>
      </c>
      <c r="E715" s="322">
        <f>SUM(E716)</f>
        <v>3862.7</v>
      </c>
      <c r="F715" s="814">
        <f>E715/D715*100</f>
        <v>99.99223401501423</v>
      </c>
      <c r="G715" s="815"/>
    </row>
    <row r="716" spans="1:7" s="822" customFormat="1" ht="16.5" customHeight="1">
      <c r="A716" s="816"/>
      <c r="B716" s="817"/>
      <c r="C716" s="818" t="s">
        <v>466</v>
      </c>
      <c r="D716" s="819">
        <f>SUM(D717)</f>
        <v>3863</v>
      </c>
      <c r="E716" s="819">
        <f>SUM(E717)</f>
        <v>3862.7</v>
      </c>
      <c r="F716" s="820">
        <f>E716/D716*100</f>
        <v>99.99223401501423</v>
      </c>
      <c r="G716" s="821"/>
    </row>
    <row r="717" spans="1:7" s="831" customFormat="1" ht="15.75" customHeight="1">
      <c r="A717" s="1318"/>
      <c r="B717" s="1319"/>
      <c r="C717" s="1320" t="s">
        <v>467</v>
      </c>
      <c r="D717" s="1321">
        <v>3863</v>
      </c>
      <c r="E717" s="1321">
        <v>3862.7</v>
      </c>
      <c r="F717" s="1322">
        <f>E717/D717*100</f>
        <v>99.99223401501423</v>
      </c>
      <c r="G717" s="821"/>
    </row>
    <row r="718" spans="1:6" ht="18.75" customHeight="1">
      <c r="A718" s="795"/>
      <c r="B718" s="796"/>
      <c r="C718" s="845" t="s">
        <v>94</v>
      </c>
      <c r="D718" s="273">
        <f>SUM(D719,D729)</f>
        <v>136751374.92000002</v>
      </c>
      <c r="E718" s="273">
        <f>SUM(E719,E729)</f>
        <v>117193248.1</v>
      </c>
      <c r="F718" s="745">
        <f aca="true" t="shared" si="42" ref="F718:F729">E718/D718*100</f>
        <v>85.69804008812227</v>
      </c>
    </row>
    <row r="719" spans="1:7" s="763" customFormat="1" ht="18.75" customHeight="1">
      <c r="A719" s="757"/>
      <c r="B719" s="758"/>
      <c r="C719" s="759" t="s">
        <v>360</v>
      </c>
      <c r="D719" s="760">
        <f>SUM(D720,D723,D725,D726,D727,D728)</f>
        <v>100251109.92</v>
      </c>
      <c r="E719" s="760">
        <f>SUM(E720,E723,E725,E726,E727,E728)</f>
        <v>94728612.16</v>
      </c>
      <c r="F719" s="761">
        <f t="shared" si="42"/>
        <v>94.49133504416366</v>
      </c>
      <c r="G719" s="762"/>
    </row>
    <row r="720" spans="1:7" s="770" customFormat="1" ht="18" customHeight="1">
      <c r="A720" s="764"/>
      <c r="B720" s="765"/>
      <c r="C720" s="766" t="s">
        <v>466</v>
      </c>
      <c r="D720" s="767">
        <f>SUM(D721,D722)</f>
        <v>68541147.92</v>
      </c>
      <c r="E720" s="767">
        <f>SUM(E721,E722)</f>
        <v>64536963.390000015</v>
      </c>
      <c r="F720" s="768">
        <f t="shared" si="42"/>
        <v>94.15798443487758</v>
      </c>
      <c r="G720" s="769"/>
    </row>
    <row r="721" spans="1:7" s="776" customFormat="1" ht="18.75" customHeight="1">
      <c r="A721" s="771"/>
      <c r="B721" s="772"/>
      <c r="C721" s="773" t="s">
        <v>467</v>
      </c>
      <c r="D721" s="774">
        <f>SUM(D13,D20,D25,D30,D36,D41,D48,D55,D61,D76,D87,D91,D95,D103,D108,D116,D124,D130,D135,D151,D157,D164,D172,D177,D182,D188,D197,D203,D212)+D218+D229+D235+D239+D244+D250+D258+D264+D269+D277+D283+D287+D291+D297+D310+D324+D332+D338+D345+D352+D360+D366+D376+D381+D387+D391+D400+D406+D410+D430+D438+D449</f>
        <v>34802951.92</v>
      </c>
      <c r="E721" s="774">
        <f>SUM(E13,E20,E25,E30,E36,E41,E48,E55,E61,E76,E87,E91,E95,E103,E108,E116,E124,E130,E135,E151,E157,E164,E172,E177,E182,E188,E197,E203,E212)+E218+E229+E235+E239+E244+E250+E258+E264+E269+E277+E283+E287+E291+E297+E310+E324+E332+E338+E345+E352+E360+E366+E376+E381+E387+E391+E400+E406+E410+E430+E438+E449</f>
        <v>31446191.21</v>
      </c>
      <c r="F721" s="775">
        <f t="shared" si="42"/>
        <v>90.35495403460018</v>
      </c>
      <c r="G721" s="769"/>
    </row>
    <row r="722" spans="1:7" s="776" customFormat="1" ht="18.75" customHeight="1">
      <c r="A722" s="771"/>
      <c r="B722" s="772"/>
      <c r="C722" s="773" t="s">
        <v>910</v>
      </c>
      <c r="D722" s="774">
        <f>SUM(D12,D35,D47,D54,D60,D75,D86,D102,D107,D115,D123,D129,D134,D146,D150,D156,D163,D176,D187,D202,D211,D217,D228,D243,D249,D257,D263,D268,D276,D296)+D304+D309+D323+D331+D337+D344+D351+D359+D365+D380+D437+D448</f>
        <v>33738196</v>
      </c>
      <c r="E722" s="774">
        <f>SUM(E12,E35,E47,E54,E60,E75,E86,E102,E107,E115,E123,E129,E134,E146,E150,E156,E163,E176,E187,E202,E211,E217,E228,E243,E249,E257,E263,E268,E276,E296)+E304+E309+E323+E331+E337+E344+E351+E359+E365+E380+E437+E448</f>
        <v>33090772.180000015</v>
      </c>
      <c r="F722" s="775">
        <f t="shared" si="42"/>
        <v>98.08103604591074</v>
      </c>
      <c r="G722" s="769"/>
    </row>
    <row r="723" spans="1:7" s="770" customFormat="1" ht="18.75" customHeight="1">
      <c r="A723" s="789"/>
      <c r="B723" s="846"/>
      <c r="C723" s="766" t="s">
        <v>494</v>
      </c>
      <c r="D723" s="767">
        <f>SUM(D724)</f>
        <v>9280</v>
      </c>
      <c r="E723" s="767">
        <f>SUM(E724)</f>
        <v>8712.57</v>
      </c>
      <c r="F723" s="1345">
        <f>SUM(F724)</f>
        <v>93.8854525862069</v>
      </c>
      <c r="G723" s="782"/>
    </row>
    <row r="724" spans="1:7" s="776" customFormat="1" ht="18.75" customHeight="1">
      <c r="A724" s="771"/>
      <c r="B724" s="772"/>
      <c r="C724" s="773" t="s">
        <v>226</v>
      </c>
      <c r="D724" s="847">
        <f>SUM(D137)</f>
        <v>9280</v>
      </c>
      <c r="E724" s="847">
        <f>SUM(E137)</f>
        <v>8712.57</v>
      </c>
      <c r="F724" s="775">
        <f t="shared" si="42"/>
        <v>93.8854525862069</v>
      </c>
      <c r="G724" s="769"/>
    </row>
    <row r="725" spans="1:7" s="770" customFormat="1" ht="18.75" customHeight="1">
      <c r="A725" s="789"/>
      <c r="B725" s="846"/>
      <c r="C725" s="766" t="s">
        <v>468</v>
      </c>
      <c r="D725" s="767">
        <f>SUM(D16,D69,D138,D205,D213,D219,D224,D231,D251,D259,D270,D278,D292,D298,D305,D311,D353,D396,D411,D418,D423,D426,D439,D450)</f>
        <v>14465588</v>
      </c>
      <c r="E725" s="767">
        <f>SUM(E16,E69,E138,E205,E213,E219,E224,E231,E251,E259,E270,E278,E292,E298,E305,E311,E353,E396,E411,E418,E423,E426,E439,E450)</f>
        <v>14363067.28</v>
      </c>
      <c r="F725" s="768">
        <f t="shared" si="42"/>
        <v>99.29127858473502</v>
      </c>
      <c r="G725" s="782"/>
    </row>
    <row r="726" spans="1:7" s="770" customFormat="1" ht="18.75" customHeight="1">
      <c r="A726" s="789"/>
      <c r="B726" s="846"/>
      <c r="C726" s="800" t="s">
        <v>487</v>
      </c>
      <c r="D726" s="767">
        <f>SUM(D109,D117,D125,D152,D158,D165,D178,D204,D230,D245,D252,D299,D312,D316,D319,D325,D333,D339,D361,D367,D372,D382,D440,D451)</f>
        <v>11339136</v>
      </c>
      <c r="E726" s="767">
        <f>SUM(E109,E117,E125,E152,E158,E165,E178,E204,E230,E245,E252,E299,E312,E316,E319,E325,E333,E339,E361,E367,E372,E382,E440,E451)</f>
        <v>11166092.020000001</v>
      </c>
      <c r="F726" s="768">
        <f t="shared" si="42"/>
        <v>98.47392270451648</v>
      </c>
      <c r="G726" s="769"/>
    </row>
    <row r="727" spans="1:9" s="770" customFormat="1" ht="18.75" customHeight="1">
      <c r="A727" s="786"/>
      <c r="B727" s="853"/>
      <c r="C727" s="800" t="s">
        <v>495</v>
      </c>
      <c r="D727" s="767">
        <f>SUM(D62,D139,D166,D313,D354)</f>
        <v>2170958</v>
      </c>
      <c r="E727" s="767">
        <f>SUM(E62,E139,E166,E313,E354)</f>
        <v>1607493.21</v>
      </c>
      <c r="F727" s="768">
        <f t="shared" si="42"/>
        <v>74.04533897016893</v>
      </c>
      <c r="G727" s="782"/>
      <c r="I727" s="770" t="s">
        <v>779</v>
      </c>
    </row>
    <row r="728" spans="1:7" s="770" customFormat="1" ht="21.75" customHeight="1">
      <c r="A728" s="786"/>
      <c r="B728" s="853"/>
      <c r="C728" s="800" t="s">
        <v>489</v>
      </c>
      <c r="D728" s="767">
        <f>SUM(D192)</f>
        <v>3725000</v>
      </c>
      <c r="E728" s="767">
        <f>SUM(E192)</f>
        <v>3046283.69</v>
      </c>
      <c r="F728" s="768">
        <f t="shared" si="42"/>
        <v>81.77942791946309</v>
      </c>
      <c r="G728" s="782"/>
    </row>
    <row r="729" spans="1:7" s="763" customFormat="1" ht="18.75" customHeight="1">
      <c r="A729" s="757"/>
      <c r="B729" s="758"/>
      <c r="C729" s="759" t="s">
        <v>469</v>
      </c>
      <c r="D729" s="760">
        <f>SUM(D730,D731,D732)</f>
        <v>36500265</v>
      </c>
      <c r="E729" s="760">
        <f>SUM(E730,E731,E732)</f>
        <v>22464635.939999998</v>
      </c>
      <c r="F729" s="761">
        <f t="shared" si="42"/>
        <v>61.54650093636306</v>
      </c>
      <c r="G729" s="762"/>
    </row>
    <row r="730" spans="1:7" s="770" customFormat="1" ht="18.75" customHeight="1">
      <c r="A730" s="764"/>
      <c r="B730" s="765"/>
      <c r="C730" s="766" t="s">
        <v>471</v>
      </c>
      <c r="D730" s="767">
        <f>SUM(D50,D65,D81,D97,D141,D207,D221,D272,D393,D402,D413,D433,D444)</f>
        <v>31677800</v>
      </c>
      <c r="E730" s="767">
        <f>SUM(E50,E65,E81,E97,E141,E207,E221,E272,E393,E402,E413,E433,E444)</f>
        <v>20272592.169999998</v>
      </c>
      <c r="F730" s="768">
        <f>E730/D730*100</f>
        <v>63.99621239480013</v>
      </c>
      <c r="G730" s="782"/>
    </row>
    <row r="731" spans="1:7" s="770" customFormat="1" ht="18" customHeight="1">
      <c r="A731" s="764"/>
      <c r="B731" s="765"/>
      <c r="C731" s="766" t="s">
        <v>492</v>
      </c>
      <c r="D731" s="767">
        <f>SUM(D71,D420,D432,D453)</f>
        <v>1403850</v>
      </c>
      <c r="E731" s="767">
        <f>SUM(E71,E420,E432,E453)</f>
        <v>913591.7</v>
      </c>
      <c r="F731" s="768">
        <f>E731/D731*100</f>
        <v>65.07758663674895</v>
      </c>
      <c r="G731" s="782"/>
    </row>
    <row r="732" spans="1:7" s="515" customFormat="1" ht="20.25" customHeight="1">
      <c r="A732" s="848"/>
      <c r="B732" s="849"/>
      <c r="C732" s="850" t="s">
        <v>470</v>
      </c>
      <c r="D732" s="851">
        <f>SUM(D43,D78,D111,D119,D168,D327,D347,D369,D414)</f>
        <v>3418615</v>
      </c>
      <c r="E732" s="851">
        <f>SUM(E43,E78,E111,E119,E168,E327,E347,E369,E414)</f>
        <v>1278452.07</v>
      </c>
      <c r="F732" s="852">
        <f>E732/D732*100</f>
        <v>37.39678407776248</v>
      </c>
      <c r="G732" s="756"/>
    </row>
    <row r="733" spans="1:10" ht="18.75" customHeight="1">
      <c r="A733" s="795"/>
      <c r="B733" s="796"/>
      <c r="C733" s="845" t="s">
        <v>1387</v>
      </c>
      <c r="D733" s="273">
        <f>SUM(D734,D743)</f>
        <v>70647009</v>
      </c>
      <c r="E733" s="273">
        <f>SUM(E734,E743)</f>
        <v>64537491.06999999</v>
      </c>
      <c r="F733" s="854">
        <f>E733/D733*100</f>
        <v>91.35205012005531</v>
      </c>
      <c r="G733" s="855"/>
      <c r="H733" s="856"/>
      <c r="I733" s="857"/>
      <c r="J733" s="857"/>
    </row>
    <row r="734" spans="1:7" s="763" customFormat="1" ht="18.75" customHeight="1">
      <c r="A734" s="757"/>
      <c r="B734" s="758"/>
      <c r="C734" s="759" t="s">
        <v>360</v>
      </c>
      <c r="D734" s="760">
        <f>SUM(D735,D738,D739,D740,D741,D742)</f>
        <v>59534858</v>
      </c>
      <c r="E734" s="760">
        <f>SUM(E735,E738,E739,E740,E741,E742)</f>
        <v>57307648.03999999</v>
      </c>
      <c r="F734" s="761">
        <f aca="true" t="shared" si="43" ref="F734:F743">E734/D734*100</f>
        <v>96.25898165407565</v>
      </c>
      <c r="G734" s="762"/>
    </row>
    <row r="735" spans="1:7" s="770" customFormat="1" ht="18" customHeight="1">
      <c r="A735" s="764"/>
      <c r="B735" s="765"/>
      <c r="C735" s="766" t="s">
        <v>466</v>
      </c>
      <c r="D735" s="767">
        <f>SUM(D736,D737)</f>
        <v>52136374</v>
      </c>
      <c r="E735" s="767">
        <f>SUM(E736,E737)</f>
        <v>51222523.349999994</v>
      </c>
      <c r="F735" s="768">
        <f t="shared" si="43"/>
        <v>98.24719177823911</v>
      </c>
      <c r="G735" s="769"/>
    </row>
    <row r="736" spans="1:7" s="776" customFormat="1" ht="18.75" customHeight="1">
      <c r="A736" s="771"/>
      <c r="B736" s="772"/>
      <c r="C736" s="773" t="s">
        <v>467</v>
      </c>
      <c r="D736" s="774">
        <f>SUM(D459,D469,D476,D480,D484,D491,D496,D501,D516,D523,D529,D534,D539,D546,D554,D559,D564,D569,D588,D599,D605,D612,D620,D625,D630,D635,D648,D653,D659)+D666+D671+D676+D682+D687+D694+D699+D705+D709+D713+D717</f>
        <v>20642045</v>
      </c>
      <c r="E736" s="774">
        <f>SUM(E459,E469,E476,E480,E484,E491,E496,E501,E516,E523,E529,E534,E539,E546,E554,E559,E564,E569,E588,E599,E605,E612,E620,E625,E630,E635,E648,E653,E659)+E666+E671+E676+E682+E687+E694+E699+E705+E709+E713+E717</f>
        <v>20068361.789999995</v>
      </c>
      <c r="F736" s="775">
        <f t="shared" si="43"/>
        <v>97.220802444719</v>
      </c>
      <c r="G736" s="769"/>
    </row>
    <row r="737" spans="1:7" s="776" customFormat="1" ht="18.75" customHeight="1">
      <c r="A737" s="771"/>
      <c r="B737" s="772"/>
      <c r="C737" s="773" t="s">
        <v>910</v>
      </c>
      <c r="D737" s="774">
        <f>SUM(D460,D485,D492,D497,D502,D515,D528,D533,D538,D545,D553,D558,D568,D580,D593,D598,D611,D619,D624,D629,D634,D647,D652,D658,D665,D670,D675,D681,D686,D698)</f>
        <v>31494329</v>
      </c>
      <c r="E737" s="774">
        <f>SUM(E460,E485,E492,E497,E502,E515,E528,E533,E538,E545,E553,E558,E568,E580,E593,E598,E611,E619,E624,E629,E634,E647,E652,E658,E665,E670,E675,E681,E686,E698)</f>
        <v>31154161.559999995</v>
      </c>
      <c r="F737" s="775">
        <f t="shared" si="43"/>
        <v>98.91990891439534</v>
      </c>
      <c r="G737" s="769"/>
    </row>
    <row r="738" spans="1:7" s="770" customFormat="1" ht="18.75" customHeight="1" hidden="1">
      <c r="A738" s="789"/>
      <c r="B738" s="846"/>
      <c r="C738" s="766" t="s">
        <v>494</v>
      </c>
      <c r="D738" s="767"/>
      <c r="E738" s="767"/>
      <c r="F738" s="768" t="e">
        <f t="shared" si="43"/>
        <v>#DIV/0!</v>
      </c>
      <c r="G738" s="782"/>
    </row>
    <row r="739" spans="1:7" s="770" customFormat="1" ht="18.75" customHeight="1">
      <c r="A739" s="789"/>
      <c r="B739" s="846"/>
      <c r="C739" s="766" t="s">
        <v>468</v>
      </c>
      <c r="D739" s="767">
        <f>SUM(D506,D511,D540,D547,D574,D581,D600,D613,D640,D643,D690)</f>
        <v>3742170</v>
      </c>
      <c r="E739" s="767">
        <f>SUM(E506,E511,E540,E547,E574,E581,E600,E613,E640,E643,E690)</f>
        <v>3367509.88</v>
      </c>
      <c r="F739" s="768">
        <f t="shared" si="43"/>
        <v>89.9881587421202</v>
      </c>
      <c r="G739" s="782"/>
    </row>
    <row r="740" spans="1:7" s="770" customFormat="1" ht="18.75" customHeight="1">
      <c r="A740" s="789"/>
      <c r="B740" s="846"/>
      <c r="C740" s="800" t="s">
        <v>487</v>
      </c>
      <c r="D740" s="767">
        <f>SUM(D462,D486,D517,D541,D548,D560,D570,D601,D614,D636,D654,D677,D700)</f>
        <v>2006775</v>
      </c>
      <c r="E740" s="767">
        <f>SUM(E462,E486,E517,E541,E548,E560,E570,E601,E614,E636,E654,E677,E700)</f>
        <v>1956188.4400000002</v>
      </c>
      <c r="F740" s="768">
        <f t="shared" si="43"/>
        <v>97.47921117215434</v>
      </c>
      <c r="G740" s="769"/>
    </row>
    <row r="741" spans="1:7" s="770" customFormat="1" ht="18.75" customHeight="1">
      <c r="A741" s="786"/>
      <c r="B741" s="853"/>
      <c r="C741" s="800" t="s">
        <v>495</v>
      </c>
      <c r="D741" s="767">
        <f>SUM(D461,D549,D615,D660)</f>
        <v>1649539</v>
      </c>
      <c r="E741" s="767">
        <f>SUM(E461,E549,E615,E660)</f>
        <v>761426.37</v>
      </c>
      <c r="F741" s="768">
        <f t="shared" si="43"/>
        <v>46.15994953741621</v>
      </c>
      <c r="G741" s="782"/>
    </row>
    <row r="742" spans="1:7" s="770" customFormat="1" ht="21.75" customHeight="1" hidden="1">
      <c r="A742" s="786"/>
      <c r="B742" s="853"/>
      <c r="C742" s="800" t="s">
        <v>489</v>
      </c>
      <c r="D742" s="767"/>
      <c r="E742" s="767"/>
      <c r="F742" s="768" t="e">
        <f t="shared" si="43"/>
        <v>#DIV/0!</v>
      </c>
      <c r="G742" s="782"/>
    </row>
    <row r="743" spans="1:7" s="763" customFormat="1" ht="17.25" customHeight="1">
      <c r="A743" s="757"/>
      <c r="B743" s="758"/>
      <c r="C743" s="759" t="s">
        <v>469</v>
      </c>
      <c r="D743" s="760">
        <f>SUM(D744,D745,D746)</f>
        <v>11112151</v>
      </c>
      <c r="E743" s="760">
        <f>SUM(E744,E745,E746)</f>
        <v>7229843.03</v>
      </c>
      <c r="F743" s="761">
        <f t="shared" si="43"/>
        <v>65.06249807080555</v>
      </c>
      <c r="G743" s="762"/>
    </row>
    <row r="744" spans="1:7" s="770" customFormat="1" ht="15.75" customHeight="1">
      <c r="A744" s="764"/>
      <c r="B744" s="765"/>
      <c r="C744" s="766" t="s">
        <v>471</v>
      </c>
      <c r="D744" s="767">
        <f>SUM(D464,D583,D607)</f>
        <v>10749000</v>
      </c>
      <c r="E744" s="767">
        <f>SUM(E464,E583,E607)</f>
        <v>6906059.99</v>
      </c>
      <c r="F744" s="768">
        <f>E744/D744*100</f>
        <v>64.24839510652154</v>
      </c>
      <c r="G744" s="782"/>
    </row>
    <row r="745" spans="1:7" s="770" customFormat="1" ht="18.75" customHeight="1">
      <c r="A745" s="764"/>
      <c r="B745" s="765"/>
      <c r="C745" s="766" t="s">
        <v>492</v>
      </c>
      <c r="D745" s="767">
        <f>SUM(D508,D576,D584)</f>
        <v>353029</v>
      </c>
      <c r="E745" s="767">
        <f>SUM(E508,E576,E584)</f>
        <v>323661.04</v>
      </c>
      <c r="F745" s="768">
        <f>E745/D745*100</f>
        <v>91.68114800767076</v>
      </c>
      <c r="G745" s="782"/>
    </row>
    <row r="746" spans="1:7" s="515" customFormat="1" ht="18.75" customHeight="1">
      <c r="A746" s="848"/>
      <c r="B746" s="849"/>
      <c r="C746" s="850" t="s">
        <v>470</v>
      </c>
      <c r="D746" s="851">
        <f>SUM(D471,D519)</f>
        <v>10122</v>
      </c>
      <c r="E746" s="851">
        <f>SUM(E471,E519)</f>
        <v>122</v>
      </c>
      <c r="F746" s="852">
        <f>E746/D746*100</f>
        <v>1.2052953961667656</v>
      </c>
      <c r="G746" s="756"/>
    </row>
    <row r="747" spans="1:7" s="864" customFormat="1" ht="20.25" customHeight="1">
      <c r="A747" s="858"/>
      <c r="B747" s="859"/>
      <c r="C747" s="860" t="s">
        <v>179</v>
      </c>
      <c r="D747" s="861">
        <f>SUM(D748,D758)</f>
        <v>207398383.92000002</v>
      </c>
      <c r="E747" s="861">
        <f>SUM(E748,E758)</f>
        <v>181730739.17000002</v>
      </c>
      <c r="F747" s="862">
        <f aca="true" t="shared" si="44" ref="F747:F758">E747/D747*100</f>
        <v>87.62398999217814</v>
      </c>
      <c r="G747" s="863"/>
    </row>
    <row r="748" spans="1:7" s="871" customFormat="1" ht="14.25" customHeight="1">
      <c r="A748" s="865"/>
      <c r="B748" s="866"/>
      <c r="C748" s="867" t="s">
        <v>360</v>
      </c>
      <c r="D748" s="868">
        <f>SUM(D749,D752,D754,D755,D756,D757)</f>
        <v>159785967.92000002</v>
      </c>
      <c r="E748" s="868">
        <f>SUM(E749,E752,E754,E755,E756,E757)</f>
        <v>152036260.20000002</v>
      </c>
      <c r="F748" s="869">
        <f t="shared" si="44"/>
        <v>95.14994475367196</v>
      </c>
      <c r="G748" s="870"/>
    </row>
    <row r="749" spans="1:7" s="878" customFormat="1" ht="18" customHeight="1">
      <c r="A749" s="889"/>
      <c r="B749" s="890"/>
      <c r="C749" s="874" t="s">
        <v>466</v>
      </c>
      <c r="D749" s="875">
        <f>SUM(D750,D751)</f>
        <v>120677521.92</v>
      </c>
      <c r="E749" s="875">
        <f>SUM(E750,E751)</f>
        <v>115759486.74000001</v>
      </c>
      <c r="F749" s="876">
        <f t="shared" si="44"/>
        <v>95.92464685903951</v>
      </c>
      <c r="G749" s="882"/>
    </row>
    <row r="750" spans="1:7" s="888" customFormat="1" ht="18.75" customHeight="1">
      <c r="A750" s="883"/>
      <c r="B750" s="884"/>
      <c r="C750" s="885" t="s">
        <v>467</v>
      </c>
      <c r="D750" s="886">
        <f>SUM(D721,D736)</f>
        <v>55444996.92</v>
      </c>
      <c r="E750" s="886">
        <f>SUM(E721,E736)</f>
        <v>51514553</v>
      </c>
      <c r="F750" s="887">
        <f t="shared" si="44"/>
        <v>92.91109362730937</v>
      </c>
      <c r="G750" s="882"/>
    </row>
    <row r="751" spans="1:7" s="888" customFormat="1" ht="18.75" customHeight="1">
      <c r="A751" s="883"/>
      <c r="B751" s="884"/>
      <c r="C751" s="885" t="s">
        <v>910</v>
      </c>
      <c r="D751" s="886">
        <f>SUM(D722,D737)</f>
        <v>65232525</v>
      </c>
      <c r="E751" s="886">
        <f>SUM(E722,E737)</f>
        <v>64244933.74000001</v>
      </c>
      <c r="F751" s="887">
        <f t="shared" si="44"/>
        <v>98.48604471465731</v>
      </c>
      <c r="G751" s="882"/>
    </row>
    <row r="752" spans="1:7" s="878" customFormat="1" ht="18.75" customHeight="1">
      <c r="A752" s="872"/>
      <c r="B752" s="873"/>
      <c r="C752" s="874" t="s">
        <v>494</v>
      </c>
      <c r="D752" s="875">
        <f>SUM(D723)</f>
        <v>9280</v>
      </c>
      <c r="E752" s="875">
        <f>SUM(E723)</f>
        <v>8712.57</v>
      </c>
      <c r="F752" s="876">
        <f t="shared" si="44"/>
        <v>93.8854525862069</v>
      </c>
      <c r="G752" s="877"/>
    </row>
    <row r="753" spans="1:7" s="776" customFormat="1" ht="18.75" customHeight="1">
      <c r="A753" s="883"/>
      <c r="B753" s="884"/>
      <c r="C753" s="885" t="s">
        <v>226</v>
      </c>
      <c r="D753" s="886">
        <f>D724</f>
        <v>9280</v>
      </c>
      <c r="E753" s="886">
        <f>E724</f>
        <v>8712.57</v>
      </c>
      <c r="F753" s="887">
        <f t="shared" si="44"/>
        <v>93.8854525862069</v>
      </c>
      <c r="G753" s="769"/>
    </row>
    <row r="754" spans="1:7" s="878" customFormat="1" ht="18.75" customHeight="1">
      <c r="A754" s="872"/>
      <c r="B754" s="873"/>
      <c r="C754" s="874" t="s">
        <v>468</v>
      </c>
      <c r="D754" s="875">
        <f aca="true" t="shared" si="45" ref="D754:E756">SUM(D725,D739)</f>
        <v>18207758</v>
      </c>
      <c r="E754" s="875">
        <f t="shared" si="45"/>
        <v>17730577.16</v>
      </c>
      <c r="F754" s="876">
        <f t="shared" si="44"/>
        <v>97.37924438582719</v>
      </c>
      <c r="G754" s="877"/>
    </row>
    <row r="755" spans="1:7" s="878" customFormat="1" ht="18.75" customHeight="1">
      <c r="A755" s="872"/>
      <c r="B755" s="873"/>
      <c r="C755" s="881" t="s">
        <v>487</v>
      </c>
      <c r="D755" s="875">
        <f t="shared" si="45"/>
        <v>13345911</v>
      </c>
      <c r="E755" s="875">
        <f t="shared" si="45"/>
        <v>13122280.46</v>
      </c>
      <c r="F755" s="876">
        <f t="shared" si="44"/>
        <v>98.3243516309977</v>
      </c>
      <c r="G755" s="882"/>
    </row>
    <row r="756" spans="1:7" s="878" customFormat="1" ht="18" customHeight="1">
      <c r="A756" s="879"/>
      <c r="B756" s="880"/>
      <c r="C756" s="881" t="s">
        <v>495</v>
      </c>
      <c r="D756" s="875">
        <f t="shared" si="45"/>
        <v>3820497</v>
      </c>
      <c r="E756" s="875">
        <f t="shared" si="45"/>
        <v>2368919.58</v>
      </c>
      <c r="F756" s="876">
        <f t="shared" si="44"/>
        <v>62.005534358487914</v>
      </c>
      <c r="G756" s="877"/>
    </row>
    <row r="757" spans="1:7" s="878" customFormat="1" ht="18" customHeight="1">
      <c r="A757" s="879"/>
      <c r="B757" s="880"/>
      <c r="C757" s="881" t="s">
        <v>489</v>
      </c>
      <c r="D757" s="875">
        <f>SUM(D728)</f>
        <v>3725000</v>
      </c>
      <c r="E757" s="875">
        <f>SUM(E728)</f>
        <v>3046283.69</v>
      </c>
      <c r="F757" s="876">
        <f t="shared" si="44"/>
        <v>81.77942791946309</v>
      </c>
      <c r="G757" s="877"/>
    </row>
    <row r="758" spans="1:7" s="871" customFormat="1" ht="18.75" customHeight="1">
      <c r="A758" s="865"/>
      <c r="B758" s="866"/>
      <c r="C758" s="867" t="s">
        <v>469</v>
      </c>
      <c r="D758" s="868">
        <f>SUM(D759,D760,D761)</f>
        <v>47612416</v>
      </c>
      <c r="E758" s="868">
        <f>SUM(E759,E760,E761)</f>
        <v>29694478.969999995</v>
      </c>
      <c r="F758" s="869">
        <f t="shared" si="44"/>
        <v>62.36709132760664</v>
      </c>
      <c r="G758" s="870"/>
    </row>
    <row r="759" spans="1:7" s="878" customFormat="1" ht="18.75" customHeight="1">
      <c r="A759" s="889"/>
      <c r="B759" s="890"/>
      <c r="C759" s="874" t="s">
        <v>471</v>
      </c>
      <c r="D759" s="875">
        <f aca="true" t="shared" si="46" ref="D759:E761">SUM(D730,D744)</f>
        <v>42426800</v>
      </c>
      <c r="E759" s="875">
        <f t="shared" si="46"/>
        <v>27178652.159999996</v>
      </c>
      <c r="F759" s="876">
        <f>E759/D759*100</f>
        <v>64.06010389659366</v>
      </c>
      <c r="G759" s="877"/>
    </row>
    <row r="760" spans="1:7" s="878" customFormat="1" ht="18.75" customHeight="1">
      <c r="A760" s="889"/>
      <c r="B760" s="890"/>
      <c r="C760" s="874" t="s">
        <v>492</v>
      </c>
      <c r="D760" s="875">
        <f t="shared" si="46"/>
        <v>1756879</v>
      </c>
      <c r="E760" s="875">
        <f t="shared" si="46"/>
        <v>1237252.74</v>
      </c>
      <c r="F760" s="876">
        <f>E760/D760*100</f>
        <v>70.42333251180075</v>
      </c>
      <c r="G760" s="877"/>
    </row>
    <row r="761" spans="1:7" s="897" customFormat="1" ht="20.25" customHeight="1" thickBot="1">
      <c r="A761" s="891"/>
      <c r="B761" s="892"/>
      <c r="C761" s="893" t="s">
        <v>470</v>
      </c>
      <c r="D761" s="894">
        <f t="shared" si="46"/>
        <v>3428737</v>
      </c>
      <c r="E761" s="894">
        <f t="shared" si="46"/>
        <v>1278574.07</v>
      </c>
      <c r="F761" s="895">
        <f>E761/D761*100</f>
        <v>37.289942914840076</v>
      </c>
      <c r="G761" s="896"/>
    </row>
    <row r="762" spans="1:10" ht="18.75" customHeight="1">
      <c r="A762" s="898"/>
      <c r="B762" s="899"/>
      <c r="C762" s="900" t="s">
        <v>223</v>
      </c>
      <c r="D762" s="901">
        <f>SUM(D718,D733)</f>
        <v>207398383.92000002</v>
      </c>
      <c r="E762" s="901">
        <f>SUM(E718,E733)</f>
        <v>181730739.17</v>
      </c>
      <c r="F762" s="902">
        <f>E762/D762*100</f>
        <v>87.62398999217812</v>
      </c>
      <c r="G762" s="903"/>
      <c r="H762" s="904"/>
      <c r="I762" s="857"/>
      <c r="J762" s="857"/>
    </row>
    <row r="763" spans="1:10" ht="18.75" customHeight="1" hidden="1">
      <c r="A763" s="1323"/>
      <c r="B763" s="1324"/>
      <c r="C763" s="1325"/>
      <c r="D763" s="819"/>
      <c r="E763" s="819"/>
      <c r="F763" s="820"/>
      <c r="G763" s="1326"/>
      <c r="H763" s="856"/>
      <c r="I763" s="857"/>
      <c r="J763" s="857"/>
    </row>
    <row r="764" spans="1:10" ht="12" customHeight="1" hidden="1">
      <c r="A764" s="1323"/>
      <c r="B764" s="1324"/>
      <c r="C764" s="1327"/>
      <c r="D764" s="1328"/>
      <c r="E764" s="1328"/>
      <c r="F764" s="1329"/>
      <c r="G764" s="903"/>
      <c r="H764" s="904"/>
      <c r="I764" s="857"/>
      <c r="J764" s="857"/>
    </row>
    <row r="765" spans="1:10" s="739" customFormat="1" ht="18.75" customHeight="1" hidden="1">
      <c r="A765" s="1330"/>
      <c r="B765" s="741"/>
      <c r="C765" s="1331"/>
      <c r="D765" s="829"/>
      <c r="E765" s="829"/>
      <c r="F765" s="830"/>
      <c r="G765" s="1332"/>
      <c r="H765" s="303"/>
      <c r="I765" s="1333"/>
      <c r="J765" s="1333"/>
    </row>
    <row r="766" spans="1:10" s="739" customFormat="1" ht="18.75" customHeight="1" hidden="1">
      <c r="A766" s="1330"/>
      <c r="B766" s="741"/>
      <c r="C766" s="1331"/>
      <c r="D766" s="829"/>
      <c r="E766" s="829"/>
      <c r="F766" s="830"/>
      <c r="G766" s="1332"/>
      <c r="H766" s="303"/>
      <c r="I766" s="1333"/>
      <c r="J766" s="1333"/>
    </row>
    <row r="767" spans="1:10" s="739" customFormat="1" ht="18.75" customHeight="1" hidden="1">
      <c r="A767" s="1330"/>
      <c r="B767" s="741"/>
      <c r="C767" s="1331"/>
      <c r="D767" s="829"/>
      <c r="E767" s="829"/>
      <c r="F767" s="830"/>
      <c r="G767" s="1332"/>
      <c r="H767" s="303"/>
      <c r="I767" s="1333"/>
      <c r="J767" s="1333"/>
    </row>
    <row r="768" spans="1:10" s="739" customFormat="1" ht="18.75" customHeight="1" hidden="1">
      <c r="A768" s="1330"/>
      <c r="B768" s="741"/>
      <c r="C768" s="1331"/>
      <c r="D768" s="829"/>
      <c r="E768" s="829"/>
      <c r="F768" s="830"/>
      <c r="G768" s="1332"/>
      <c r="H768" s="303"/>
      <c r="I768" s="1333"/>
      <c r="J768" s="1333"/>
    </row>
    <row r="769" spans="1:10" ht="18.75" customHeight="1" hidden="1">
      <c r="A769" s="1330"/>
      <c r="B769" s="741"/>
      <c r="C769" s="1334"/>
      <c r="D769" s="1335"/>
      <c r="E769" s="1335"/>
      <c r="F769" s="1336"/>
      <c r="G769" s="1337"/>
      <c r="H769" s="1338"/>
      <c r="I769" s="857"/>
      <c r="J769" s="857"/>
    </row>
    <row r="770" spans="1:10" ht="24.75" customHeight="1" hidden="1">
      <c r="A770" s="1330"/>
      <c r="B770" s="741"/>
      <c r="C770" s="1334"/>
      <c r="D770" s="1335"/>
      <c r="E770" s="1335"/>
      <c r="F770" s="1336"/>
      <c r="G770" s="1332"/>
      <c r="H770" s="303"/>
      <c r="I770" s="857"/>
      <c r="J770" s="857"/>
    </row>
    <row r="771" spans="1:10" s="739" customFormat="1" ht="18.75" customHeight="1" hidden="1">
      <c r="A771" s="1330"/>
      <c r="B771" s="741"/>
      <c r="C771" s="1331"/>
      <c r="D771" s="829"/>
      <c r="E771" s="829"/>
      <c r="F771" s="830"/>
      <c r="G771" s="1332"/>
      <c r="H771" s="303"/>
      <c r="I771" s="1333"/>
      <c r="J771" s="1333"/>
    </row>
    <row r="772" spans="1:10" s="739" customFormat="1" ht="18.75" customHeight="1" hidden="1">
      <c r="A772" s="1330"/>
      <c r="B772" s="741"/>
      <c r="C772" s="1331"/>
      <c r="D772" s="829"/>
      <c r="E772" s="829"/>
      <c r="F772" s="830"/>
      <c r="G772" s="1332"/>
      <c r="H772" s="303"/>
      <c r="I772" s="1333"/>
      <c r="J772" s="1333"/>
    </row>
    <row r="773" spans="1:10" ht="18.75" customHeight="1" hidden="1">
      <c r="A773" s="1323"/>
      <c r="B773" s="1324"/>
      <c r="C773" s="1325"/>
      <c r="D773" s="819"/>
      <c r="E773" s="819"/>
      <c r="F773" s="820"/>
      <c r="G773" s="1332"/>
      <c r="H773" s="303"/>
      <c r="I773" s="857"/>
      <c r="J773" s="857"/>
    </row>
    <row r="774" spans="1:10" ht="12" customHeight="1" hidden="1">
      <c r="A774" s="1323"/>
      <c r="B774" s="1324"/>
      <c r="C774" s="1327"/>
      <c r="D774" s="1328"/>
      <c r="E774" s="1328"/>
      <c r="F774" s="1329"/>
      <c r="G774" s="1332"/>
      <c r="H774" s="1339"/>
      <c r="I774" s="857"/>
      <c r="J774" s="857"/>
    </row>
    <row r="775" spans="1:10" s="739" customFormat="1" ht="18.75" customHeight="1" hidden="1" thickBot="1">
      <c r="A775" s="1340"/>
      <c r="B775" s="1341"/>
      <c r="C775" s="1342"/>
      <c r="D775" s="1343"/>
      <c r="E775" s="1343"/>
      <c r="F775" s="1344"/>
      <c r="G775" s="1332"/>
      <c r="H775" s="303"/>
      <c r="I775" s="1333"/>
      <c r="J775" s="1333"/>
    </row>
    <row r="776" spans="1:10" s="156" customFormat="1" ht="18.75" customHeight="1">
      <c r="A776" s="905"/>
      <c r="B776" s="905"/>
      <c r="C776" s="906" t="s">
        <v>1360</v>
      </c>
      <c r="D776" s="907">
        <v>207398383.92</v>
      </c>
      <c r="E776" s="907">
        <v>181730739.17</v>
      </c>
      <c r="F776" s="908"/>
      <c r="G776" s="855"/>
      <c r="H776" s="856"/>
      <c r="I776" s="856"/>
      <c r="J776" s="856"/>
    </row>
    <row r="777" spans="1:10" s="156" customFormat="1" ht="18.75" customHeight="1">
      <c r="A777" s="905"/>
      <c r="B777" s="905"/>
      <c r="C777" s="906" t="s">
        <v>1392</v>
      </c>
      <c r="D777" s="907">
        <f>D762-D776</f>
        <v>0</v>
      </c>
      <c r="E777" s="907">
        <f>E762-E776</f>
        <v>0</v>
      </c>
      <c r="F777" s="908"/>
      <c r="G777" s="855"/>
      <c r="H777" s="856"/>
      <c r="I777" s="856"/>
      <c r="J777" s="856"/>
    </row>
    <row r="778" spans="3:10" ht="18.75" customHeight="1" hidden="1">
      <c r="C778" s="737" t="s">
        <v>886</v>
      </c>
      <c r="D778" s="909">
        <f>SUM(D719,D731)</f>
        <v>101654959.92</v>
      </c>
      <c r="E778" s="909">
        <f>SUM(E719,E731)</f>
        <v>95642203.86</v>
      </c>
      <c r="F778" s="910">
        <f>E778/D778*100</f>
        <v>94.08513262438754</v>
      </c>
      <c r="I778" s="857"/>
      <c r="J778" s="857"/>
    </row>
    <row r="779" spans="3:10" ht="13.5" customHeight="1" hidden="1">
      <c r="C779" s="737" t="s">
        <v>577</v>
      </c>
      <c r="D779" s="909"/>
      <c r="E779" s="909"/>
      <c r="F779" s="910" t="e">
        <f>E779/D779*100</f>
        <v>#DIV/0!</v>
      </c>
      <c r="G779" s="855"/>
      <c r="H779" s="856"/>
      <c r="I779" s="857"/>
      <c r="J779" s="857"/>
    </row>
    <row r="780" spans="3:10" ht="14.25" customHeight="1" hidden="1">
      <c r="C780" s="737" t="s">
        <v>578</v>
      </c>
      <c r="D780" s="909"/>
      <c r="E780" s="909"/>
      <c r="F780" s="910" t="e">
        <f>E780/D780*100</f>
        <v>#DIV/0!</v>
      </c>
      <c r="G780" s="855"/>
      <c r="H780" s="856"/>
      <c r="I780" s="857"/>
      <c r="J780" s="857"/>
    </row>
    <row r="781" spans="3:10" ht="15" customHeight="1" hidden="1">
      <c r="C781" s="911" t="s">
        <v>579</v>
      </c>
      <c r="D781" s="912"/>
      <c r="E781" s="912"/>
      <c r="F781" s="913" t="e">
        <f>E781/D781*100</f>
        <v>#DIV/0!</v>
      </c>
      <c r="G781" s="855"/>
      <c r="H781" s="856"/>
      <c r="I781" s="857"/>
      <c r="J781" s="857"/>
    </row>
    <row r="782" spans="3:10" ht="15" customHeight="1" hidden="1">
      <c r="C782" s="736" t="s">
        <v>580</v>
      </c>
      <c r="D782" s="909">
        <f>SUM(D779:D781)</f>
        <v>0</v>
      </c>
      <c r="E782" s="909">
        <f>SUM(E779:E781)</f>
        <v>0</v>
      </c>
      <c r="F782" s="910" t="e">
        <f>E782/D782*100</f>
        <v>#DIV/0!</v>
      </c>
      <c r="G782" s="855"/>
      <c r="H782" s="856"/>
      <c r="I782" s="857"/>
      <c r="J782" s="857"/>
    </row>
    <row r="783" spans="3:10" ht="14.25" customHeight="1" hidden="1">
      <c r="C783" s="737" t="s">
        <v>581</v>
      </c>
      <c r="D783" s="909">
        <f>SUM(D7-D782)</f>
        <v>136751374.92000002</v>
      </c>
      <c r="E783" s="909">
        <f>SUM(E7-E782)</f>
        <v>117193248.10000001</v>
      </c>
      <c r="F783" s="910"/>
      <c r="I783" s="857"/>
      <c r="J783" s="857"/>
    </row>
    <row r="784" spans="1:10" s="156" customFormat="1" ht="11.25" customHeight="1" hidden="1">
      <c r="A784" s="736"/>
      <c r="B784" s="736"/>
      <c r="C784" s="737" t="s">
        <v>593</v>
      </c>
      <c r="D784" s="909"/>
      <c r="E784" s="909"/>
      <c r="F784" s="910"/>
      <c r="G784" s="165"/>
      <c r="I784" s="856"/>
      <c r="J784" s="856"/>
    </row>
    <row r="785" spans="1:7" s="156" customFormat="1" ht="12" customHeight="1" hidden="1">
      <c r="A785" s="914"/>
      <c r="B785" s="914"/>
      <c r="C785" s="915" t="s">
        <v>572</v>
      </c>
      <c r="D785" s="916"/>
      <c r="E785" s="916"/>
      <c r="F785" s="910" t="e">
        <f aca="true" t="shared" si="47" ref="F785:F794">E785/D785*100</f>
        <v>#DIV/0!</v>
      </c>
      <c r="G785" s="165"/>
    </row>
    <row r="786" spans="1:7" s="156" customFormat="1" ht="12" customHeight="1" hidden="1">
      <c r="A786" s="914"/>
      <c r="B786" s="914"/>
      <c r="C786" s="915" t="s">
        <v>573</v>
      </c>
      <c r="D786" s="916"/>
      <c r="E786" s="916"/>
      <c r="F786" s="910" t="e">
        <f t="shared" si="47"/>
        <v>#DIV/0!</v>
      </c>
      <c r="G786" s="165"/>
    </row>
    <row r="787" spans="1:7" s="156" customFormat="1" ht="12" customHeight="1" hidden="1">
      <c r="A787" s="914"/>
      <c r="B787" s="914"/>
      <c r="C787" s="917" t="s">
        <v>574</v>
      </c>
      <c r="D787" s="918"/>
      <c r="E787" s="918"/>
      <c r="F787" s="913" t="e">
        <f t="shared" si="47"/>
        <v>#DIV/0!</v>
      </c>
      <c r="G787" s="165"/>
    </row>
    <row r="788" spans="1:7" s="831" customFormat="1" ht="18" customHeight="1" hidden="1">
      <c r="A788" s="919"/>
      <c r="B788" s="919"/>
      <c r="C788" s="920" t="s">
        <v>582</v>
      </c>
      <c r="D788" s="921">
        <f>SUM(D785:D787)</f>
        <v>0</v>
      </c>
      <c r="E788" s="921">
        <f>SUM(E785:E787)</f>
        <v>0</v>
      </c>
      <c r="F788" s="910" t="e">
        <f t="shared" si="47"/>
        <v>#DIV/0!</v>
      </c>
      <c r="G788" s="821"/>
    </row>
    <row r="789" spans="1:7" s="156" customFormat="1" ht="12" customHeight="1" hidden="1">
      <c r="A789" s="914"/>
      <c r="B789" s="914"/>
      <c r="C789" s="915" t="s">
        <v>575</v>
      </c>
      <c r="D789" s="916"/>
      <c r="E789" s="916"/>
      <c r="F789" s="910" t="e">
        <f t="shared" si="47"/>
        <v>#DIV/0!</v>
      </c>
      <c r="G789" s="165"/>
    </row>
    <row r="790" spans="1:7" s="156" customFormat="1" ht="12" customHeight="1" hidden="1">
      <c r="A790" s="914"/>
      <c r="B790" s="914"/>
      <c r="C790" s="917" t="s">
        <v>576</v>
      </c>
      <c r="D790" s="918"/>
      <c r="E790" s="918"/>
      <c r="F790" s="913" t="e">
        <f t="shared" si="47"/>
        <v>#DIV/0!</v>
      </c>
      <c r="G790" s="165"/>
    </row>
    <row r="791" spans="1:7" s="159" customFormat="1" ht="14.25" customHeight="1" hidden="1">
      <c r="A791" s="919"/>
      <c r="B791" s="919"/>
      <c r="C791" s="920" t="s">
        <v>584</v>
      </c>
      <c r="D791" s="922">
        <f>SUM(D789:D790)</f>
        <v>0</v>
      </c>
      <c r="E791" s="922">
        <f>SUM(E789:E790)</f>
        <v>0</v>
      </c>
      <c r="F791" s="910" t="e">
        <f t="shared" si="47"/>
        <v>#DIV/0!</v>
      </c>
      <c r="G791" s="165"/>
    </row>
    <row r="792" spans="1:10" s="156" customFormat="1" ht="12" customHeight="1" hidden="1">
      <c r="A792" s="914"/>
      <c r="B792" s="914"/>
      <c r="C792" s="923" t="s">
        <v>1350</v>
      </c>
      <c r="D792" s="924"/>
      <c r="E792" s="924"/>
      <c r="F792" s="910" t="e">
        <f t="shared" si="47"/>
        <v>#DIV/0!</v>
      </c>
      <c r="G792" s="165"/>
      <c r="I792" s="738"/>
      <c r="J792" s="738"/>
    </row>
    <row r="793" spans="1:10" s="156" customFormat="1" ht="12" customHeight="1" hidden="1">
      <c r="A793" s="914"/>
      <c r="B793" s="914"/>
      <c r="C793" s="925" t="s">
        <v>1353</v>
      </c>
      <c r="D793" s="918"/>
      <c r="E793" s="918"/>
      <c r="F793" s="913" t="e">
        <f t="shared" si="47"/>
        <v>#DIV/0!</v>
      </c>
      <c r="G793" s="165"/>
      <c r="I793" s="738"/>
      <c r="J793" s="738"/>
    </row>
    <row r="794" spans="1:7" s="159" customFormat="1" ht="15" customHeight="1" hidden="1">
      <c r="A794" s="919"/>
      <c r="B794" s="919"/>
      <c r="C794" s="919" t="s">
        <v>583</v>
      </c>
      <c r="D794" s="921">
        <f>SUM(D792:D793)</f>
        <v>0</v>
      </c>
      <c r="E794" s="921">
        <f>SUM(E792:E793)</f>
        <v>0</v>
      </c>
      <c r="F794" s="910" t="e">
        <f t="shared" si="47"/>
        <v>#DIV/0!</v>
      </c>
      <c r="G794" s="165"/>
    </row>
    <row r="795" ht="18.75" customHeight="1" hidden="1"/>
  </sheetData>
  <sheetProtection password="CF93" sheet="1" formatRows="0" insertColumns="0" insertRows="0" insertHyperlinks="0" deleteColumns="0" deleteRows="0" sort="0" autoFilter="0" pivotTables="0"/>
  <mergeCells count="4">
    <mergeCell ref="A454:C454"/>
    <mergeCell ref="A3:E3"/>
    <mergeCell ref="E1:F1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2" manualBreakCount="2">
    <brk id="717" max="5" man="1"/>
    <brk id="7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wzd</cp:lastModifiedBy>
  <cp:lastPrinted>2011-06-21T05:42:34Z</cp:lastPrinted>
  <dcterms:created xsi:type="dcterms:W3CDTF">2002-07-29T09:23:44Z</dcterms:created>
  <dcterms:modified xsi:type="dcterms:W3CDTF">2011-06-21T06:02:28Z</dcterms:modified>
  <cp:category/>
  <cp:version/>
  <cp:contentType/>
  <cp:contentStatus/>
</cp:coreProperties>
</file>