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420" tabRatio="912" activeTab="8"/>
  </bookViews>
  <sheets>
    <sheet name="1Zmiany D i W" sheetId="1" r:id="rId1"/>
    <sheet name="2Zmiany P i R" sheetId="2" r:id="rId2"/>
    <sheet name="3Wysokość i przezn. nadwyżki" sheetId="3" r:id="rId3"/>
    <sheet name="4D i W wg działów" sheetId="4" r:id="rId4"/>
    <sheet name="5PiR" sheetId="5" r:id="rId5"/>
    <sheet name="6D" sheetId="6" r:id="rId6"/>
    <sheet name="7Dmajatkowe" sheetId="7" r:id="rId7"/>
    <sheet name="8D wg źródeł" sheetId="8" r:id="rId8"/>
    <sheet name="9W" sheetId="9" r:id="rId9"/>
    <sheet name="10W dotacje z budżetu miasta" sheetId="10" r:id="rId10"/>
    <sheet name="11W jednostek pom." sheetId="11" r:id="rId11"/>
    <sheet name="12D i W dot. z budż. państwa" sheetId="12" r:id="rId12"/>
    <sheet name="13DiW zlecone" sheetId="13" r:id="rId13"/>
    <sheet name="14DiW porozumienia" sheetId="14" r:id="rId14"/>
    <sheet name="15DiW porozumienia z jst" sheetId="15" r:id="rId15"/>
    <sheet name="16Programy UE" sheetId="16" r:id="rId16"/>
    <sheet name="17Inwestycje WIM" sheetId="17" r:id="rId17"/>
    <sheet name="18D i W własne jednostek" sheetId="18" r:id="rId18"/>
    <sheet name="19niewygasy2009" sheetId="19" r:id="rId19"/>
    <sheet name="20ZGM" sheetId="20" r:id="rId20"/>
    <sheet name="21Przedszkola" sheetId="21" r:id="rId21"/>
    <sheet name="22 Wyspiarz" sheetId="22" r:id="rId22"/>
    <sheet name="23PFGZGiK" sheetId="23" r:id="rId23"/>
    <sheet name="24MDK" sheetId="24" r:id="rId24"/>
    <sheet name="25Bibloteka" sheetId="25" r:id="rId25"/>
    <sheet name="26Muzeum" sheetId="26" r:id="rId26"/>
    <sheet name="27SP ZOZ SZPITAL" sheetId="27" r:id="rId27"/>
    <sheet name="28SP ZOZ ZP-O" sheetId="28" r:id="rId28"/>
  </sheets>
  <definedNames>
    <definedName name="_xlnm.Print_Area" localSheetId="9">'10W dotacje z budżetu miasta'!$A$1:$F$103</definedName>
    <definedName name="_xlnm.Print_Area" localSheetId="10">'11W jednostek pom.'!$A$1:$H$18</definedName>
    <definedName name="_xlnm.Print_Area" localSheetId="11">'12D i W dot. z budż. państwa'!$A$1:$I$55</definedName>
    <definedName name="_xlnm.Print_Area" localSheetId="12">'13DiW zlecone'!$A$1:$K$59</definedName>
    <definedName name="_xlnm.Print_Area" localSheetId="13">'14DiW porozumienia'!$A$1:$K$25</definedName>
    <definedName name="_xlnm.Print_Area" localSheetId="14">'15DiW porozumienia z jst'!$A$1:$K$14</definedName>
    <definedName name="_xlnm.Print_Area" localSheetId="15">'16Programy UE'!$A$1:$L$57</definedName>
    <definedName name="_xlnm.Print_Area" localSheetId="16">'17Inwestycje WIM'!$A$1:$F$52</definedName>
    <definedName name="_xlnm.Print_Area" localSheetId="17">'18D i W własne jednostek'!$A$1:$I$35</definedName>
    <definedName name="_xlnm.Print_Area" localSheetId="18">'19niewygasy2009'!$A$1:$G$17</definedName>
    <definedName name="_xlnm.Print_Area" localSheetId="0">'1Zmiany D i W'!$A$1:$F$35</definedName>
    <definedName name="_xlnm.Print_Area" localSheetId="19">'20ZGM'!$A$1:$F$55</definedName>
    <definedName name="_xlnm.Print_Area" localSheetId="20">'21Przedszkola'!$A$1:$F$43</definedName>
    <definedName name="_xlnm.Print_Area" localSheetId="21">'22 Wyspiarz'!$A$1:$F$51</definedName>
    <definedName name="_xlnm.Print_Area" localSheetId="22">'23PFGZGiK'!$A$1:$F$32</definedName>
    <definedName name="_xlnm.Print_Area" localSheetId="23">'24MDK'!$A$1:$E$30</definedName>
    <definedName name="_xlnm.Print_Area" localSheetId="24">'25Bibloteka'!$A$1:$E$33</definedName>
    <definedName name="_xlnm.Print_Area" localSheetId="25">'26Muzeum'!$A$1:$E$32</definedName>
    <definedName name="_xlnm.Print_Area" localSheetId="26">'27SP ZOZ SZPITAL'!$A$1:$E$89</definedName>
    <definedName name="_xlnm.Print_Area" localSheetId="27">'28SP ZOZ ZP-O'!$A$1:$E$56</definedName>
    <definedName name="_xlnm.Print_Area" localSheetId="1">'2Zmiany P i R'!$A$1:$F$12</definedName>
    <definedName name="_xlnm.Print_Area" localSheetId="2">'3Wysokość i przezn. nadwyżki'!$A$1:$F$45</definedName>
    <definedName name="_xlnm.Print_Area" localSheetId="3">'4D i W wg działów'!$A$1:$H$33</definedName>
    <definedName name="_xlnm.Print_Area" localSheetId="4">'5PiR'!$A$1:$F$16</definedName>
    <definedName name="_xlnm.Print_Area" localSheetId="5">'6D'!$A$1:$G$429</definedName>
    <definedName name="_xlnm.Print_Area" localSheetId="6">'7Dmajatkowe'!$A$1:$G$68</definedName>
    <definedName name="_xlnm.Print_Area" localSheetId="7">'8D wg źródeł'!$A$1:$E$83</definedName>
    <definedName name="_xlnm.Print_Area" localSheetId="8">'9W'!$A$1:$F$721</definedName>
    <definedName name="_xlnm.Print_Titles" localSheetId="9">'10W dotacje z budżetu miasta'!$6:$7</definedName>
    <definedName name="_xlnm.Print_Titles" localSheetId="11">'12D i W dot. z budż. państwa'!$5:$7</definedName>
    <definedName name="_xlnm.Print_Titles" localSheetId="12">'13DiW zlecone'!$5:$9</definedName>
    <definedName name="_xlnm.Print_Titles" localSheetId="13">'14DiW porozumienia'!$5:$9</definedName>
    <definedName name="_xlnm.Print_Titles" localSheetId="14">'15DiW porozumienia z jst'!$5:$9</definedName>
    <definedName name="_xlnm.Print_Titles" localSheetId="15">'16Programy UE'!$3:$5</definedName>
    <definedName name="_xlnm.Print_Titles" localSheetId="16">'17Inwestycje WIM'!$5:$6</definedName>
    <definedName name="_xlnm.Print_Titles" localSheetId="17">'18D i W własne jednostek'!$6:$8</definedName>
    <definedName name="_xlnm.Print_Titles" localSheetId="0">'1Zmiany D i W'!$5:$7</definedName>
    <definedName name="_xlnm.Print_Titles" localSheetId="19">'20ZGM'!$6:$7</definedName>
    <definedName name="_xlnm.Print_Titles" localSheetId="20">'21Przedszkola'!$4:$5</definedName>
    <definedName name="_xlnm.Print_Titles" localSheetId="21">'22 Wyspiarz'!$6:$7</definedName>
    <definedName name="_xlnm.Print_Titles" localSheetId="22">'23PFGZGiK'!$6:$7</definedName>
    <definedName name="_xlnm.Print_Titles" localSheetId="26">'27SP ZOZ SZPITAL'!$5:$6</definedName>
    <definedName name="_xlnm.Print_Titles" localSheetId="27">'28SP ZOZ ZP-O'!$6:$7</definedName>
    <definedName name="_xlnm.Print_Titles" localSheetId="3">'4D i W wg działów'!$5:$7</definedName>
    <definedName name="_xlnm.Print_Titles" localSheetId="5">'6D'!$5:$6</definedName>
    <definedName name="_xlnm.Print_Titles" localSheetId="6">'7Dmajatkowe'!$5:$6</definedName>
    <definedName name="_xlnm.Print_Titles" localSheetId="7">'8D wg źródeł'!$5:$6</definedName>
    <definedName name="_xlnm.Print_Titles" localSheetId="8">'9W'!$5:$6</definedName>
  </definedNames>
  <calcPr fullCalcOnLoad="1"/>
</workbook>
</file>

<file path=xl/sharedStrings.xml><?xml version="1.0" encoding="utf-8"?>
<sst xmlns="http://schemas.openxmlformats.org/spreadsheetml/2006/main" count="4151" uniqueCount="1369">
  <si>
    <t>Wpływy ze sprzedaży składników majątkowych</t>
  </si>
  <si>
    <t>0870</t>
  </si>
  <si>
    <t>Różnica (5-8)</t>
  </si>
  <si>
    <t>wynagrodzenia (zad. własne)</t>
  </si>
  <si>
    <t>wynagrodzenia (zad. zlecone)</t>
  </si>
  <si>
    <t>wynagrodzenia (zad. z porozumień)</t>
  </si>
  <si>
    <t>dotacje bieżące z budżetu (z zad.własnych)</t>
  </si>
  <si>
    <t>dotacje bieżące z budżetu (z zad. zleconych)</t>
  </si>
  <si>
    <t>Razem wydatki własne</t>
  </si>
  <si>
    <t>Razem wydatki zlecone</t>
  </si>
  <si>
    <t>Razem wydatki z porozumień</t>
  </si>
  <si>
    <t>ŁĄCZNIE</t>
  </si>
  <si>
    <t>Sprawdzenie (różnica wiersz 455 - wiersz 468)</t>
  </si>
  <si>
    <t>Razem wynagrodzenia</t>
  </si>
  <si>
    <t>Razem majątkowe</t>
  </si>
  <si>
    <t>Razem dotacje</t>
  </si>
  <si>
    <t xml:space="preserve">    - grzywny, mandaty i inne kary pieniężne</t>
  </si>
  <si>
    <t>75616</t>
  </si>
  <si>
    <t>Wpływy z podatku rolnego, podatku leśnego, podatku od spadków i darowizn, podatku od czynności cywilnoprawnych oraz podatków i opłat lokalnych od osób fizycznych</t>
  </si>
  <si>
    <t>2320</t>
  </si>
  <si>
    <t>Dotacje celowe otrzymane z powiatu na zadania bieżące realizowane na podstawie porozumień (umów) między jednostkami samorządu terytorialnego</t>
  </si>
  <si>
    <t>2888</t>
  </si>
  <si>
    <t>2889</t>
  </si>
  <si>
    <t>Dotacja celowa otrzymana przez jednostkę samorządu terytorialnego od innej jednostki samorządu terytorialnego będącej instytucją wdrażającą na zadania bieżące realizowane na podstawie porozumień (umów)</t>
  </si>
  <si>
    <t>w tym:</t>
  </si>
  <si>
    <t>wkład pieniężny Beneficjenta</t>
  </si>
  <si>
    <t>wkł. niepieniężny Beneficjenta</t>
  </si>
  <si>
    <t>Zespół Szkół Morskich w Świnoujściu - szkoła nowoczesna i bezpieczna</t>
  </si>
  <si>
    <t>Zespół Szkół Morskich w Świnoujściu - edukacja zawodowa w nowoczesnej i bezpiecznej szkole</t>
  </si>
  <si>
    <t>852
853</t>
  </si>
  <si>
    <t>85204
85214
85395</t>
  </si>
  <si>
    <t>Remont elewacji zabytkowego budynku Muzeum Rybołówstwa Morskiego w Świnoujściu, Plac Rybaka 1</t>
  </si>
  <si>
    <t xml:space="preserve">INWESTYCJE KOMUNALNE FINANSOWANE Z BUDŻETU MIASTA </t>
  </si>
  <si>
    <t>Przebudowa ulicy Słowackiego</t>
  </si>
  <si>
    <t>Przebudowa ulicy H. Kołłątaja</t>
  </si>
  <si>
    <t>Przebudowa promenady w Dzielnicy Nadmorskiej w Świnoujściu</t>
  </si>
  <si>
    <t>Projekt zintegrowany "Śródmieście" - Przebudowa ulic: Hołdu Pruskiego, Wyszyńskiego i Monte Cassino</t>
  </si>
  <si>
    <t>Przygotowanie terenów inwestycyjnych przy ul. Karsiborskiej w Świnoujściu</t>
  </si>
  <si>
    <t>Modernizacja budynku CAM nr 5</t>
  </si>
  <si>
    <t>Budowa Zespołu Opieki Długoterminowej</t>
  </si>
  <si>
    <t>Projekt zintegrowany "Śródmieście" - Przebudowa Parku przy ul. Chopina</t>
  </si>
  <si>
    <t>Fontanna na Placu Słowiańskim</t>
  </si>
  <si>
    <t>Oświetlenie ulic (wg uzgodnień)</t>
  </si>
  <si>
    <t>Rozbudowa i modernizacja sieci deszczowych</t>
  </si>
  <si>
    <t>Zadania w zakresie administracji publicznej</t>
  </si>
  <si>
    <t>0830</t>
  </si>
  <si>
    <t>0920</t>
  </si>
  <si>
    <t>0970</t>
  </si>
  <si>
    <t>0570</t>
  </si>
  <si>
    <t>0690</t>
  </si>
  <si>
    <t>0750</t>
  </si>
  <si>
    <t>55097</t>
  </si>
  <si>
    <t>Gospodarstwa pomocnicze</t>
  </si>
  <si>
    <t>2380</t>
  </si>
  <si>
    <t>0470</t>
  </si>
  <si>
    <t>0490</t>
  </si>
  <si>
    <t>0760</t>
  </si>
  <si>
    <t>0770</t>
  </si>
  <si>
    <t>0350</t>
  </si>
  <si>
    <t>0910</t>
  </si>
  <si>
    <t>0310</t>
  </si>
  <si>
    <t>0320</t>
  </si>
  <si>
    <t>0330</t>
  </si>
  <si>
    <t>0340</t>
  </si>
  <si>
    <t>0500</t>
  </si>
  <si>
    <t>0360</t>
  </si>
  <si>
    <t>uchwała RM</t>
  </si>
  <si>
    <t>2007</t>
  </si>
  <si>
    <t>Pozostałe</t>
  </si>
  <si>
    <t>Finansowanie programów i projektów ze środków funduszy strukturalnych, Funduszu Spójności, Europejskiego Funduszu Rybackiego oraz z funduszy unijnych finansujących Wspólną Politykę Rolną z wyłączeniem budżetu środków europejskich</t>
  </si>
  <si>
    <t>75107</t>
  </si>
  <si>
    <t>Wybory Prezydenta Rzeczpospolitej Polskiej</t>
  </si>
  <si>
    <t>0370</t>
  </si>
  <si>
    <t>Opłata od posiadania psów</t>
  </si>
  <si>
    <t>2870</t>
  </si>
  <si>
    <t>Dotacja z budżetu państwa dla gmin uzdrowiskowych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</si>
  <si>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</si>
  <si>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</si>
  <si>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0980</t>
  </si>
  <si>
    <t>Wpływy z tytułu zwrotów wypłaconych świadczeń z funduszu alimentacyjnego</t>
  </si>
  <si>
    <t>85216</t>
  </si>
  <si>
    <t>90011</t>
  </si>
  <si>
    <t>Fundusz Ochrony Środowiska i Gospodarki Wodnej</t>
  </si>
  <si>
    <t>85205</t>
  </si>
  <si>
    <t>2120</t>
  </si>
  <si>
    <t xml:space="preserve">Pozostałe </t>
  </si>
  <si>
    <t>§ 931</t>
  </si>
  <si>
    <t>Przychody ze sprzedaży innych papierów wartościowych</t>
  </si>
  <si>
    <t>2370</t>
  </si>
  <si>
    <t>Wpływy do budżetu nadwyżki środków obrotowych zakładu budżetowego</t>
  </si>
  <si>
    <t>Drogi publiczne w miastach na prawach powiatu 
(w rozdziale nie ujmuje się wydatków na drogi gminne)</t>
  </si>
  <si>
    <t>0430</t>
  </si>
  <si>
    <t>0410</t>
  </si>
  <si>
    <t>0420</t>
  </si>
  <si>
    <t>0460</t>
  </si>
  <si>
    <t>0480</t>
  </si>
  <si>
    <t>0590</t>
  </si>
  <si>
    <t>0010</t>
  </si>
  <si>
    <t>0020</t>
  </si>
  <si>
    <t>2920</t>
  </si>
  <si>
    <t>6330</t>
  </si>
  <si>
    <t>2130</t>
  </si>
  <si>
    <t>2020</t>
  </si>
  <si>
    <t>2030</t>
  </si>
  <si>
    <t>0400</t>
  </si>
  <si>
    <t>6290</t>
  </si>
  <si>
    <t>Edukacyjny plac Zabaw na terenie Parku Zdrojowego w Świnoujściu w ramach projektu "Morze Bałtyckie  łączące wyspy kraje kultury i regiony przyrodnicze  wspólny polsko- niemiecki projekt w zakresie edukacji ekologicznej</t>
  </si>
  <si>
    <t>2360</t>
  </si>
  <si>
    <t>2790</t>
  </si>
  <si>
    <t>75832</t>
  </si>
  <si>
    <t>852</t>
  </si>
  <si>
    <t>85201</t>
  </si>
  <si>
    <t>85212</t>
  </si>
  <si>
    <t>85213</t>
  </si>
  <si>
    <t>85214</t>
  </si>
  <si>
    <t>85215</t>
  </si>
  <si>
    <t>85219</t>
  </si>
  <si>
    <t>Rozdział 92116</t>
  </si>
  <si>
    <t>85228</t>
  </si>
  <si>
    <t>2010</t>
  </si>
  <si>
    <t>85295</t>
  </si>
  <si>
    <t>POMOC SPOŁECZNA</t>
  </si>
  <si>
    <t>85203</t>
  </si>
  <si>
    <t>90002</t>
  </si>
  <si>
    <t>Gospodarka odpadami</t>
  </si>
  <si>
    <t>Część równoważąca subwencji ogólnej dla powiatów</t>
  </si>
  <si>
    <t>Pomoc społeczna</t>
  </si>
  <si>
    <t>Dochody jednostek samorządu terytorialnego związane z realizacją zadań  z zakresu administracji rządowej oraz innych zadań zleconych ustawami</t>
  </si>
  <si>
    <t>2</t>
  </si>
  <si>
    <t>Szkolenia drogą do zapewnienia wysokiej jakości usług świadczonych przez JST w obszarze wysp Uznam-Wolin</t>
  </si>
  <si>
    <t>Dochody z najmu i dzierżawy składników majątkowych Skarbu Państwa, jednostek samorządu terytorialnego lub innych jednostek zaliczanych do sektora finansów publicznych oraz innych umów o podobnym charakterze</t>
  </si>
  <si>
    <t>Data wprowadzenia</t>
  </si>
  <si>
    <t>zmniejszenia</t>
  </si>
  <si>
    <t>zwiększenia</t>
  </si>
  <si>
    <t>PLAN POCZĄTKOWY</t>
  </si>
  <si>
    <t>Ogółem zmiany</t>
  </si>
  <si>
    <t>PLAN KOŃCOWY</t>
  </si>
  <si>
    <t xml:space="preserve">  c) równoważąca</t>
  </si>
  <si>
    <t>80148</t>
  </si>
  <si>
    <t>92120</t>
  </si>
  <si>
    <t>Ochrona zabytków i opieka nad zabytkami</t>
  </si>
  <si>
    <t xml:space="preserve">    - podatki zniesione</t>
  </si>
  <si>
    <t>Środki na dofinansowanie własnych inwestycji gmin (związków gmin), powiatów (związków powiatów), samorządów województw, pozyskane z innych źródeł</t>
  </si>
  <si>
    <t>Finansowanie programów i projektów ze środków funduszy strukturalnych, Funduszu Spójności, Europejskiego Funduszu Rybackiego oraz z funduszy unijnych finansujących Wspólną Politykę Rolną, z wyłączeniem budżetu środków europejskich</t>
  </si>
  <si>
    <t>Wpłaty z tytułu odpłatnego nabycia prawa własności oraz prawa użytkowania wieczystego nieruchomości</t>
  </si>
  <si>
    <t>Stan środków pieniężnych na początek okresu sprawozdawczego</t>
  </si>
  <si>
    <t>Stan środków pieniężnych na koniec okresu sprawozdawczego</t>
  </si>
  <si>
    <t>Żegluga Świnoujska</t>
  </si>
  <si>
    <t>Urząd Miasta</t>
  </si>
  <si>
    <t>Żłobek Miejski</t>
  </si>
  <si>
    <t>Specjalny Ośrodek Szkolno-Wychowawczy</t>
  </si>
  <si>
    <t>Poradnia Psychologiczno-Pedagogiczna</t>
  </si>
  <si>
    <t>Młodzieżowy Dom Kultury</t>
  </si>
  <si>
    <t xml:space="preserve">% </t>
  </si>
  <si>
    <t>I.</t>
  </si>
  <si>
    <t>II.</t>
  </si>
  <si>
    <t>Wpływy z usług</t>
  </si>
  <si>
    <t>2650</t>
  </si>
  <si>
    <t>Dotacja przedmiotowa z budżetu otrzymana przez zakład budżetowy</t>
  </si>
  <si>
    <t>pokrycie amortyzacji</t>
  </si>
  <si>
    <t>RAZEM I+II</t>
  </si>
  <si>
    <t>Wpływy ze zwrotów dotacji oraz płatności, w tym wykorzystanych niezgodnie z przeznaczeniem lub wykorzystanych z naruszeniem procedur, o których mowa w art. 184 ustawy, pobranych nienależnie lub w nadmiernej wysokości</t>
  </si>
  <si>
    <t>III.</t>
  </si>
  <si>
    <t>Koszty i inne obciążenia ogółem</t>
  </si>
  <si>
    <t>Wydatki osobowe niezaliczone do wynagrodzeń</t>
  </si>
  <si>
    <t>Wynagrodzenia osobowe pracowników</t>
  </si>
  <si>
    <t>Dodatkowe wynagrodzenie roczne</t>
  </si>
  <si>
    <t>OGÓŁEM</t>
  </si>
  <si>
    <t>PLAN</t>
  </si>
  <si>
    <t>WYKONANIE</t>
  </si>
  <si>
    <t>Gmina</t>
  </si>
  <si>
    <t>Powiat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</si>
  <si>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</si>
  <si>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</si>
  <si>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</si>
  <si>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</si>
  <si>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</si>
  <si>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</si>
  <si>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2310</t>
  </si>
  <si>
    <t>2700</t>
  </si>
  <si>
    <t>Budowa mostu nad Starą Świną łączącego wyspy Karsibór i Wolin</t>
  </si>
  <si>
    <t>Przebudowa ulicy Pogodnej</t>
  </si>
  <si>
    <t>Przebudowa ulicy Gdyńskiej</t>
  </si>
  <si>
    <t>DZIAŁALNOŚĆ  USŁUGOWA</t>
  </si>
  <si>
    <t>Rozbudowa Cmentarza Komunalnego w Świnoujściu</t>
  </si>
  <si>
    <t>Stołówki szkolne i przedszkolne</t>
  </si>
  <si>
    <t>ADMINISTRACJA  PUBLICZNA</t>
  </si>
  <si>
    <t>Termomodernizacja obiektów szkolnych</t>
  </si>
  <si>
    <t>85334</t>
  </si>
  <si>
    <t>Pomoc dla repatriantów</t>
  </si>
  <si>
    <t>4. Wpłaty od zakładów budżetowych i gospodarstw
    pomocniczych</t>
  </si>
  <si>
    <t>Zakup usług pozostałych</t>
  </si>
  <si>
    <t>Zakup usług dostępu do sieci Internet</t>
  </si>
  <si>
    <t>Opłaty z tytułu zakupu usług telekomunikacyjnych telefonii komórkowej</t>
  </si>
  <si>
    <t>Opłaty z tytułu zakupu usług telekomunikacyjnych telefonii stacjonarnej</t>
  </si>
  <si>
    <t>Opłaty za administrowanie i czynsze za budynki, lokale i pomieszczenia garażowe</t>
  </si>
  <si>
    <t>Podróże służbowe krajowe</t>
  </si>
  <si>
    <t>Różne opłaty i składki</t>
  </si>
  <si>
    <t>Odpisy na zakładowy fundusz świadczeń socjalnych</t>
  </si>
  <si>
    <t xml:space="preserve">Odsetki od nieterminowych wpłat z tytułu pozostałych podatków i opłat </t>
  </si>
  <si>
    <t>Kary i odszkodowania wypłacane na rzecz osób fizycznych</t>
  </si>
  <si>
    <t>Koszty postępowania sądowego i prokuratorskiego</t>
  </si>
  <si>
    <t>Szkolenia pracowników niebędących członkami korpusu służby cywilnej</t>
  </si>
  <si>
    <t>Zakup materiałów papierniczych do sprzętu drukarskiego i urządzeń kserograficznych</t>
  </si>
  <si>
    <t>usługi lekarskie i porady</t>
  </si>
  <si>
    <t>usługi księgowe i statystyka medyczna</t>
  </si>
  <si>
    <t>Zakup akcesoriów komputerowych, w tym programów i licencji</t>
  </si>
  <si>
    <t>Wydatki inwestycyjne zakładów budżetowych</t>
  </si>
  <si>
    <t>Wydatki na zakupy inwestycyjne zakładów budżetowych</t>
  </si>
  <si>
    <t>odpisy amortyzacji</t>
  </si>
  <si>
    <t>inne zmniejszenia</t>
  </si>
  <si>
    <t>IV.</t>
  </si>
  <si>
    <t>RAZEM III+IV</t>
  </si>
  <si>
    <t>PRZEDSZKOLA MIEJSKIE</t>
  </si>
  <si>
    <t>Dochody z najmu i dzierżawy składników majątkowych Skarbu 
Państwa, jednostek samorządu terytorialnego lub innych jednostek zaliczanych do sektora finansów publicznych oraz innych umów o podobnym charakterze</t>
  </si>
  <si>
    <t>2510</t>
  </si>
  <si>
    <t>Finansowanie programów i projektów ze środków funduszy strukturalnych, Funduszu Spójności, Europejskiego Funduszu Rybackiego oraz z funduszy unijnych finansujących Wspólną Politykę Rolną</t>
  </si>
  <si>
    <t xml:space="preserve">Wykonane wydatków </t>
  </si>
  <si>
    <t>Nazwy zadań inwestycyjnych</t>
  </si>
  <si>
    <t>Bez dotacji § 2870 - Dotacje z budżetu państwa dla gmin uzdrowiskowych</t>
  </si>
  <si>
    <t>§281 i 282</t>
  </si>
  <si>
    <t xml:space="preserve">5. Dotacje inwestycyjne (§6210 - zakłady budżetowe, §6220 - inne jednostki sektora fp, §6230 - inne jednostki nie zaliczane do sektora fp , §6170 - wpłaty na fundusz celowy, §6570 - dofinansowanie zadań inwestycyjnych obiektów zabytkowych jednostkom niezaliczanym do sektora fp </t>
  </si>
  <si>
    <t>umowy zlecenia</t>
  </si>
  <si>
    <t>4.11</t>
  </si>
  <si>
    <t>kontrakt z NFZ - specjalistyka</t>
  </si>
  <si>
    <t xml:space="preserve">      - uzupełnienie dochodów gminy</t>
  </si>
  <si>
    <t>Składki na ubezpieczenie zdrowotne opłacane za osoby pobierające niektóre świadczenia z pomocy społecznej, niektóre świadczenia rodzinne oraz za osoby uczestniczące w zajęciach w centrum integracji społecznej</t>
  </si>
  <si>
    <t>Współfinansowanie programów i projektów realizowanych ze środków funduszy strukturalnych, Funduszu Spójności, Europejskiego Funduszu Rybackiego oraz z funduszy unijnych finansujących Wspólną Politykę Rolną</t>
  </si>
  <si>
    <t>Środki na  inwestycje na drogach publicznych powiatowych i wojewódzkich oraz na drogach powiatowych, wojewódzkich i krajowych w granicach miast na prawach powiatu</t>
  </si>
  <si>
    <t>razem z pochodnymi od świadczeń społ.</t>
  </si>
  <si>
    <t>Zespół Szkolno-Przedszkolny</t>
  </si>
  <si>
    <t>Dotacja podmiotowa z budżetu otrzymana przez zakład budżetowy</t>
  </si>
  <si>
    <t>Zakup środków żywności</t>
  </si>
  <si>
    <t>Zakup pomocy naukowych, dydaktycznych i książek</t>
  </si>
  <si>
    <t>Zakup usług zdrowotnych</t>
  </si>
  <si>
    <t>OŚRODEK SPORTU I REKREACJI "WYSPIARZ"</t>
  </si>
  <si>
    <t>Wpłaty na Państwowy Fundusz Rehabilitacji Osób Niepełnosprawnych</t>
  </si>
  <si>
    <t>Zakup usług obejmujących wykonanie ekspertyz, analiz i opinii</t>
  </si>
  <si>
    <t>Podróże służbowe zagraniczne</t>
  </si>
  <si>
    <t>Opłaty na rzecz budżetów jednostek samorządu terytorialnego</t>
  </si>
  <si>
    <t>Wpłata do budżetu nadwyżki środków obrotowych</t>
  </si>
  <si>
    <t>V.</t>
  </si>
  <si>
    <t>Gimnazjum im. św. Jadwigi Królowej</t>
  </si>
  <si>
    <t>Katolickie Liceum Ogólnokształcące im. św. Jadwigi Królowej</t>
  </si>
  <si>
    <t>Liceum Ogólnokształcące im. św. Jadwigi Królowej dla Dorosłych</t>
  </si>
  <si>
    <t>Opieka paliatywna nad dziećmi</t>
  </si>
  <si>
    <t>RAZEM III+IV+V</t>
  </si>
  <si>
    <t>POWIATOWY FUNDUSZ GOSPODARKI ZASOBEM GEODEZYJNYM I KARTOGRAFICZNYM</t>
  </si>
  <si>
    <t>2960</t>
  </si>
  <si>
    <t>Przelewy redystrybucyjne</t>
  </si>
  <si>
    <t>Wydatki na zakupy inwestycyjne funduszy celowych</t>
  </si>
  <si>
    <t>Różnica
(5 - 6)</t>
  </si>
  <si>
    <t>75095/
75023</t>
  </si>
  <si>
    <t>- bieżąca</t>
  </si>
  <si>
    <t>- inwestycyjna</t>
  </si>
  <si>
    <t>transfery z budżetu państwa (dotacje, subwencje, udziały)</t>
  </si>
  <si>
    <t>4. Dochody z majątku</t>
  </si>
  <si>
    <t>5. Odsetki od środków finansowych zgromadzonych na rachunkach  bankowych</t>
  </si>
  <si>
    <t>6. Odsetki od nieterminowego regulowania należności, 
    stanowiących dochody Miasta i inne</t>
  </si>
  <si>
    <t xml:space="preserve">7. Inne dochody </t>
  </si>
  <si>
    <t>transfery z budżetu państwa (dotacja)</t>
  </si>
  <si>
    <t>1.6</t>
  </si>
  <si>
    <t>programy unijne</t>
  </si>
  <si>
    <t>Program Operacyjny Kapitał Ludzki</t>
  </si>
  <si>
    <t>Stać mnie na więcej - przeciwdziałanie wykluczeniu społecznemu młodzieży w wieku 15-25 lat</t>
  </si>
  <si>
    <t>Doradca zawodowy i pośrednik pracy w standardach unijnych</t>
  </si>
  <si>
    <t>6180</t>
  </si>
  <si>
    <t>75803</t>
  </si>
  <si>
    <t>inne środki
Fundusz Pracy</t>
  </si>
  <si>
    <t>Część wyrównawcza subwencji ogólnej dla powiatów</t>
  </si>
  <si>
    <t>2009</t>
  </si>
  <si>
    <t>Tabela 1</t>
  </si>
  <si>
    <t>Tabela 2</t>
  </si>
  <si>
    <t xml:space="preserve">             Tabela nr 4</t>
  </si>
  <si>
    <t>Tabela nr  9</t>
  </si>
  <si>
    <t>Tabela nr 10</t>
  </si>
  <si>
    <t>Tabela nr 11</t>
  </si>
  <si>
    <t xml:space="preserve">Tabela nr  12 </t>
  </si>
  <si>
    <t xml:space="preserve">Tabela nr 14 </t>
  </si>
  <si>
    <t>Tabela nr 18</t>
  </si>
  <si>
    <t>Tabela nr 19</t>
  </si>
  <si>
    <t>Tabela 28</t>
  </si>
  <si>
    <t>Tabela 27</t>
  </si>
  <si>
    <t>Tabela 26</t>
  </si>
  <si>
    <t>Tabela 25</t>
  </si>
  <si>
    <t>Tabela 24</t>
  </si>
  <si>
    <t>Tabela 23</t>
  </si>
  <si>
    <t>Tabela 22</t>
  </si>
  <si>
    <t>Tabela 21</t>
  </si>
  <si>
    <t>Tabela 20</t>
  </si>
  <si>
    <t xml:space="preserve">Dotacja na wykonanie remontów </t>
  </si>
  <si>
    <t>Rozdział 92118</t>
  </si>
  <si>
    <t>odpis na zakładowy fundusz świadczeń socjalnych</t>
  </si>
  <si>
    <t>kontrakt z NFZ - szpital</t>
  </si>
  <si>
    <t>Dotacje celowe otrzymane z budżetu państwa na inwestycje i zakupy inwestycyjne realizowane przez powiat na podstawie porozumień z organami administracji rządowej</t>
  </si>
  <si>
    <t>Finansowanie z pożyczek i kredytów zagranicznych</t>
  </si>
  <si>
    <t>różnica</t>
  </si>
  <si>
    <t>Pozostałe podatki na rzecz budżetów jednostek samorządu terytorialnego</t>
  </si>
  <si>
    <t xml:space="preserve">    - targowa</t>
  </si>
  <si>
    <t>Wpływy z podatku rolnego, podatku leśnego, podatku od czynności cywilnoprawnych, podatków i opłat lokalnych od osób prawnych i innych jednostek organizacyjnych</t>
  </si>
  <si>
    <t>Zasiłki i pomoc w naturze oraz składki na ubezpieczenia emerytalne i rentowe</t>
  </si>
  <si>
    <t>Zasiłki i pomoc w naturze  oraz składki na ubezpieczenia emerytalne i rentowe</t>
  </si>
  <si>
    <t>DOCHODY OD OSÓB PRAWNYCH, OD OSÓB FIZYCZNYCH I OD INNYCH JEDNOSTEK NIEPOSIADAJĄCYCH  OSOBOWOŚCI PRAWNEJ ORAZ WYDATKI ZWIĄZANE Z ICH POBOREM</t>
  </si>
  <si>
    <t>POZOSTAŁE ZADANIA W ZAKRESIE 
POLITYKI SPOŁECZNEJ</t>
  </si>
  <si>
    <t>Przebudowa chodników i jezdni w drogach powiatowych</t>
  </si>
  <si>
    <t>Podniesienie atrakcyjności turystycznej regionu poprzez budowę ścieżek rowerowych w ramach Międzynarodowego Szlaku Rowerowego R-10 w Świnoujściu - ul. Uzdrowiskowa, wzdłuż Świny i ul. Barlickiego</t>
  </si>
  <si>
    <t>Podniesienie atrakcyjności turystycznej regionu poprzez budowę ścieżek rowerowych w ramach Międzynarodowego Szlaku Rowerowego R-10 w Świnoujściu - ul. Jachtowa</t>
  </si>
  <si>
    <t xml:space="preserve">Edukacyjny plac zabaw na terenie Parku Zdrojowego w Świnoujściu w ramach projektu "Morze Bałtyckie łączące wyspy, kraje kultury i regiony przyrodnicze -  wspólny polsko-niemiecki projekt w zakresie edukacji ekologicznej" </t>
  </si>
  <si>
    <t>Melioracja terenów zurbanizowanych na obszarze Miasta Świnoujście</t>
  </si>
  <si>
    <t>Rewitalizacja ulicy Hołdu Pruskiego</t>
  </si>
  <si>
    <t>suma wierszy 586 (bieżące) i 593 (majątkowe)</t>
  </si>
  <si>
    <t>Uzupełnienie subwencji ogólnej dla jednostek 
samorządu terytorialnego</t>
  </si>
  <si>
    <t>Składki na ubezpieczenie zdrowotne oraz świadczenia dla osób nieobjętych obowiązkiem ubezpieczenia zdrowotnego</t>
  </si>
  <si>
    <t>Ośrodki rewalidacyjno-wychowawcze</t>
  </si>
  <si>
    <t xml:space="preserve">Dział  </t>
  </si>
  <si>
    <t>ROLNICTWO I ŁOWIECTWO</t>
  </si>
  <si>
    <t>01008</t>
  </si>
  <si>
    <t>Melioracje wodne</t>
  </si>
  <si>
    <t>01030</t>
  </si>
  <si>
    <t>Izby rolnicze</t>
  </si>
  <si>
    <t>01095</t>
  </si>
  <si>
    <t xml:space="preserve">LEŚNICTWO </t>
  </si>
  <si>
    <t>WYTWARZANIE I ZAOPATRYWANIE 
W ENERGIĘ ELEKTRYCZNĄ, GAZ I WODĘ</t>
  </si>
  <si>
    <t>40002</t>
  </si>
  <si>
    <t>Dostarczanie wody</t>
  </si>
  <si>
    <t>HANDEL</t>
  </si>
  <si>
    <t>Zadania w zakresie kultury i ochrony dziedzictwa narodowego</t>
  </si>
  <si>
    <t>Ośrodek Sportu i Rekreacji "Wyspiarz"</t>
  </si>
  <si>
    <t>Zespół Szkół Publicznych nr 4 
z Oddziałami Integracyjnymi</t>
  </si>
  <si>
    <t>Prowadzenie spraw orzekania o niepełnosprawności</t>
  </si>
  <si>
    <t>WYDATKI JEDNOSTEK POMOCNICZYCH</t>
  </si>
  <si>
    <t>Tabela nr 8</t>
  </si>
  <si>
    <t>50095</t>
  </si>
  <si>
    <t>Programy polityki zdrowotnej</t>
  </si>
  <si>
    <t xml:space="preserve">   - wynagrodzenia i pochodne</t>
  </si>
  <si>
    <t>Rozwój Czterech Zakątków jako zrównoważonego miejsca pobytu opartego na naturalnym i kulturowym dziedzictwie</t>
  </si>
  <si>
    <t>Przebudowa ulicy Wojska Polskiego w ramach projektu - Transgraniczne połączenie pomiędzy miastem Świnoujście i gminą Ostseebad Heringsdorf</t>
  </si>
  <si>
    <t>63095</t>
  </si>
  <si>
    <t xml:space="preserve">Pozostała działalność </t>
  </si>
  <si>
    <t>70001</t>
  </si>
  <si>
    <t xml:space="preserve"> I Liceum Ogólnokształcące Towarzystwa Oświatowo-Promocyjnego "Business-Pro"</t>
  </si>
  <si>
    <t>Policealna Szkoła Biznesu Towarzystwa Oświatowo-Promocyjnego ”Business-Pro”</t>
  </si>
  <si>
    <t>Zakłady gospodarki mieszkaniowej</t>
  </si>
  <si>
    <t>70095</t>
  </si>
  <si>
    <t>71004</t>
  </si>
  <si>
    <t>Plany zagospodarowania przestrzennego</t>
  </si>
  <si>
    <t>75022</t>
  </si>
  <si>
    <t>Rady gmin (miast i miast na prawach powiatu)</t>
  </si>
  <si>
    <t xml:space="preserve">Urzędy naczelnych organów władzy państwowej,
kontroli i ochrony prawa </t>
  </si>
  <si>
    <t>75405</t>
  </si>
  <si>
    <t>Komendy powiatowe Policji</t>
  </si>
  <si>
    <t>75412</t>
  </si>
  <si>
    <t>Ochotnicze straże pożarne</t>
  </si>
  <si>
    <t>75495</t>
  </si>
  <si>
    <t>DOCHODY OD OSÓB PRAWNYCH, OD OSÓB FIZYCZNYCH I OD INNYCH JEDNOSTEK NIEPOSIADAJĄCYCH OSOBOWOŚCI PRAWNEJ ORAZ WYDATKI ZWIĄZANE Z ICH POBOREM</t>
  </si>
  <si>
    <t>Zasiłki stałe</t>
  </si>
  <si>
    <r>
      <t xml:space="preserve">Spłaty otrzymanych krajowych pożyczek i kredytów
</t>
    </r>
    <r>
      <rPr>
        <i/>
        <sz val="10"/>
        <rFont val="Times New Roman"/>
        <family val="1"/>
      </rPr>
      <t>w tym:</t>
    </r>
  </si>
  <si>
    <t xml:space="preserve">    - od posiadania psów</t>
  </si>
  <si>
    <t xml:space="preserve">  a) na zadania własne (w tym dotacje rozwojowe i dotacja uzdrowiskowa)</t>
  </si>
  <si>
    <t>'6D'!E43;</t>
  </si>
  <si>
    <t xml:space="preserve">    - zwrot świadczeń z funduszu alimentacyjnego</t>
  </si>
  <si>
    <t>Prowadzenie schroniska dla zwierząt</t>
  </si>
  <si>
    <t>75647</t>
  </si>
  <si>
    <t>Pobór podatków, opłat i niepodatkowych należności budżetowych</t>
  </si>
  <si>
    <t>Podatek od towarów i usług (VAT)</t>
  </si>
  <si>
    <t>OBSŁUGA DŁUGU PUBLICZNEGO</t>
  </si>
  <si>
    <t>75702</t>
  </si>
  <si>
    <t xml:space="preserve">ZAKŁAD GOSPODARKI MIESZKANIOWEJ </t>
  </si>
  <si>
    <t>Rozdział 70001</t>
  </si>
  <si>
    <t>Rozdział 80104</t>
  </si>
  <si>
    <t>Rozdział 92605</t>
  </si>
  <si>
    <t>Rozdział 71030</t>
  </si>
  <si>
    <t>Rozdział 92109</t>
  </si>
  <si>
    <t>Obsługa papierów wartościowych, kredytów 
i pożyczek jednostek samorządu terytorialnego</t>
  </si>
  <si>
    <t>80102</t>
  </si>
  <si>
    <t>Szkoły podstawowe specjalne</t>
  </si>
  <si>
    <t>Kwalifikacja wojskowa</t>
  </si>
  <si>
    <t>80104</t>
  </si>
  <si>
    <t>Przedszkola</t>
  </si>
  <si>
    <t xml:space="preserve">Wartość wydatków </t>
  </si>
  <si>
    <t>Ośrodek Rehabilitacyjno-Edukacyjno-Wychowawczy Polskiego Stowarzyszenia na Rzecz Osób z Upośledzeniem Umysłowym Koło w Świnoujściu</t>
  </si>
  <si>
    <t>Rozdz.</t>
  </si>
  <si>
    <t>Nazwa programu</t>
  </si>
  <si>
    <t>Nazwa projektu</t>
  </si>
  <si>
    <t>Lata realizacji projektu</t>
  </si>
  <si>
    <t>środki UE</t>
  </si>
  <si>
    <t>środki JST</t>
  </si>
  <si>
    <t>usługi gastronomiczne</t>
  </si>
  <si>
    <t>usługi gastronomiczne (wyżywienie pacjentów)</t>
  </si>
  <si>
    <t>80111</t>
  </si>
  <si>
    <t>Gimnazja specjalne</t>
  </si>
  <si>
    <t>Inne koszty rodzajowe</t>
  </si>
  <si>
    <t xml:space="preserve">Licea ogólnokształcące </t>
  </si>
  <si>
    <t>80134</t>
  </si>
  <si>
    <t>Szkoły zawodowe specjalne</t>
  </si>
  <si>
    <t>80140</t>
  </si>
  <si>
    <t>Centra kształcenia ustawicznego i praktycznego 
oraz ośrodki dokształcania zawodowego</t>
  </si>
  <si>
    <t>80146</t>
  </si>
  <si>
    <t>Dokształcanie i doskonalenie nauczycieli</t>
  </si>
  <si>
    <t>80195</t>
  </si>
  <si>
    <t>85111</t>
  </si>
  <si>
    <t>Szpitale ogólne</t>
  </si>
  <si>
    <t>85117</t>
  </si>
  <si>
    <t>Tabela nr 16</t>
  </si>
  <si>
    <t>Zakłady opiekuńczo - lecznicze i pielęgnacyjno - opiekuńcze</t>
  </si>
  <si>
    <t>85149</t>
  </si>
  <si>
    <t xml:space="preserve">Programy polityki zdrowotnej </t>
  </si>
  <si>
    <t>85152</t>
  </si>
  <si>
    <t>Zapobieganie i zwalczanie AIDS</t>
  </si>
  <si>
    <t>85153</t>
  </si>
  <si>
    <t>Zwalczanie narkomanii</t>
  </si>
  <si>
    <t>85195</t>
  </si>
  <si>
    <t xml:space="preserve">POMOC SPOŁECZNA </t>
  </si>
  <si>
    <t>Placówki opiekuńczo - wychowawcze</t>
  </si>
  <si>
    <t>85202</t>
  </si>
  <si>
    <t>Domy pomocy społecznej</t>
  </si>
  <si>
    <t>85204</t>
  </si>
  <si>
    <t>Rodziny zastępcze</t>
  </si>
  <si>
    <t>85218</t>
  </si>
  <si>
    <t>Powiatowe centra pomocy rodzinie</t>
  </si>
  <si>
    <t>POZOSTAŁE ZADANIA W ZAKRESIE POLITYKI SPOŁECZNEJ</t>
  </si>
  <si>
    <t>Żłobki</t>
  </si>
  <si>
    <t>85333</t>
  </si>
  <si>
    <t>Powiatowe urzędy pracy</t>
  </si>
  <si>
    <t>85395</t>
  </si>
  <si>
    <t>85401</t>
  </si>
  <si>
    <t>Świetlice szkolne</t>
  </si>
  <si>
    <t>Poradnie psychologiczno - pedagogiczne, w tym poradnie specjalistyczne</t>
  </si>
  <si>
    <t>Placówki wychowania pozaszkolnego</t>
  </si>
  <si>
    <t>Internaty i bursy szkolne</t>
  </si>
  <si>
    <t>Szkolne schroniska młodzieżowe</t>
  </si>
  <si>
    <t>85419</t>
  </si>
  <si>
    <t>85446</t>
  </si>
  <si>
    <t>85495</t>
  </si>
  <si>
    <t>2680</t>
  </si>
  <si>
    <t>Rekompensaty utraconych dochodów w podatkach i opłatach lokalnych</t>
  </si>
  <si>
    <t>6260</t>
  </si>
  <si>
    <t>6300</t>
  </si>
  <si>
    <t>92695</t>
  </si>
  <si>
    <t>2710</t>
  </si>
  <si>
    <t>Dotacje otrzymane z funduszy celowych na finansowanie lub dofinansowanie kosztów realizacji inwestycji i zakupów inwestycyjnych jednostek sektora finansów publicznych</t>
  </si>
  <si>
    <t>WYDATKI MAJĄTKOWE</t>
  </si>
  <si>
    <t xml:space="preserve">RAZEM </t>
  </si>
  <si>
    <t>OGÓŁEM WYDATKI BIEŻĄCE I MAJĄTKOWE</t>
  </si>
  <si>
    <t>OGÓŁEM WYDATKI BIEŻĄCE</t>
  </si>
  <si>
    <t xml:space="preserve">Urząd Miasta
(WO/WRM) </t>
  </si>
  <si>
    <t>Regionalny Program Operacyjny województwa Zachodniopomorskiego na lata 2007-2013</t>
  </si>
  <si>
    <t>bez pomocy publ.: 
18 800 000</t>
  </si>
  <si>
    <t>z pomocą publ.:   
17 882 000</t>
  </si>
  <si>
    <t>WYDATKI NA PROJEKTY REALIZOWANE W RAMACH POSZCZEGÓLNYCH PROGRAMÓW OPERACYJNYCH</t>
  </si>
  <si>
    <t>Wpływy z tytułu pomocy finansowej udzielanej między jednostkami samorządu terytorialnego na dofinansowanie własnych zadań inwestycyjnych i zakupów inwestycyjnych</t>
  </si>
  <si>
    <t>pozostałe wydatki</t>
  </si>
  <si>
    <t>Wpływy z tytułu pomocy finansowej udzielanej między jednostkami samorządu terytorialnego na dofinansowanie własnych zadań bieżących</t>
  </si>
  <si>
    <t>Dotacje celowe otrzymane z budżetu państwa na 
realizację inwestycji i zakupów inwestycyjnych własnych powiatu</t>
  </si>
  <si>
    <t>GOSPODARKA KOMUNALNA I OCHRONA ŚRODOWISKA</t>
  </si>
  <si>
    <t>90004</t>
  </si>
  <si>
    <t>Utrzymanie zieleni w miastach i gminach</t>
  </si>
  <si>
    <t>90006</t>
  </si>
  <si>
    <t>Ochrona gleby i wód podziemnych</t>
  </si>
  <si>
    <t>90013</t>
  </si>
  <si>
    <t>Świadczenia rodzinne, świadczenie z funduszu alimentacyjnego oraz składki na ubezpieczenia emerytalne i rentowe z ubezpieczenia społecznego</t>
  </si>
  <si>
    <t>Przychody z zaciągniętych pożyczek i kredytów na rynku krajowym</t>
  </si>
  <si>
    <t>§ 952</t>
  </si>
  <si>
    <t>- obligacje komunalne</t>
  </si>
  <si>
    <t>Schroniska dla zwierząt</t>
  </si>
  <si>
    <t>KULTURA I OCHRONA DZIEDZICTWA NARODOWEGO</t>
  </si>
  <si>
    <t>92109</t>
  </si>
  <si>
    <t>Domy i ośrodki kultury, świetlice i kluby</t>
  </si>
  <si>
    <t>92116</t>
  </si>
  <si>
    <t>Biblioteki</t>
  </si>
  <si>
    <t>92118</t>
  </si>
  <si>
    <t>Muzea</t>
  </si>
  <si>
    <t>92195</t>
  </si>
  <si>
    <t>I. Dochody własne</t>
  </si>
  <si>
    <t>1. Podatki</t>
  </si>
  <si>
    <t>27.</t>
  </si>
  <si>
    <t>28.</t>
  </si>
  <si>
    <t>29.</t>
  </si>
  <si>
    <t>AMORTYZACJA</t>
  </si>
  <si>
    <t>ZUŻYCIE MATERIAŁÓW</t>
  </si>
  <si>
    <t>leki</t>
  </si>
  <si>
    <t>materiały medyczne</t>
  </si>
  <si>
    <t>pieluchomajtki</t>
  </si>
  <si>
    <t xml:space="preserve">środki czystości </t>
  </si>
  <si>
    <t>2.6</t>
  </si>
  <si>
    <t>2708</t>
  </si>
  <si>
    <t>wyposażenie</t>
  </si>
  <si>
    <t>ENERGIA</t>
  </si>
  <si>
    <t>3.1</t>
  </si>
  <si>
    <t>energia elektryczna</t>
  </si>
  <si>
    <t>3.2</t>
  </si>
  <si>
    <t>woda, ścieki</t>
  </si>
  <si>
    <t>3.3</t>
  </si>
  <si>
    <t>gaz</t>
  </si>
  <si>
    <t>USŁUGI OBCE</t>
  </si>
  <si>
    <t>4.1</t>
  </si>
  <si>
    <t>analizy i badania</t>
  </si>
  <si>
    <t>4.2</t>
  </si>
  <si>
    <t>usługi pralnicze</t>
  </si>
  <si>
    <t>4.3</t>
  </si>
  <si>
    <t>32.</t>
  </si>
  <si>
    <t>Prowadzenie środowiskowego domu samopomocy</t>
  </si>
  <si>
    <t>Utrzymanie dzieci w rodzinach zastępczych</t>
  </si>
  <si>
    <t>Przebudowa stadionu OSiR Wyspiarz przy ul. Matejki</t>
  </si>
  <si>
    <t>Budowa Centrum Kultury i Sportu przy ul. Matejki</t>
  </si>
  <si>
    <t>Koszty</t>
  </si>
  <si>
    <t>MUZEUM RYBOŁÓWSTWA MORSKIEGO</t>
  </si>
  <si>
    <t>Dotacja na działalność podstawową</t>
  </si>
  <si>
    <t>Przychody własne</t>
  </si>
  <si>
    <t>Stan środków obrotowych netto na początek okresu sprawozdawczego</t>
  </si>
  <si>
    <t>Stan środków obrotowych netto na koniec okresu sprawozdawczego</t>
  </si>
  <si>
    <t>Wydatki
bieżące
(6+7+8+9+10)</t>
  </si>
  <si>
    <t>wg Rekordu</t>
  </si>
  <si>
    <t>Tabela nr 15</t>
  </si>
  <si>
    <t>dotacja wpłynęła w niższej kwocie</t>
  </si>
  <si>
    <t>tyle wpłynęło dotacji</t>
  </si>
  <si>
    <t>tyle wydaliśmy???</t>
  </si>
  <si>
    <t>Dotacje celowe w ramach programów finansowanych z udziałem środków europejskich oraz środków, o których mowa w art. 5 ust. 1 pkt 3 oraz ust. 3 pkt 5 i 6 ustawy, lub płatności w ramach budżetu środków europejskich</t>
  </si>
  <si>
    <t>Składki na ubezpieczenie społeczne i Fundusz Pracy</t>
  </si>
  <si>
    <t>Zakup eksponatów muzealnych</t>
  </si>
  <si>
    <t>Ubezpieczenia rzeczowe</t>
  </si>
  <si>
    <t xml:space="preserve">INFORMACJA O WYSOKOŚCI NADWYŻKI BUDŻETOWEJ  </t>
  </si>
  <si>
    <t>Budowa ulic Cieszkowskiego i Orzeszkowej - II etap</t>
  </si>
  <si>
    <t>Budowa budynku na cele Informacji Turystycznej, pl. Wolności</t>
  </si>
  <si>
    <t>Podróże służbowe krajowe (w tym wyjazdy na szkolenia)</t>
  </si>
  <si>
    <t>Pozostałe opłaty</t>
  </si>
  <si>
    <t>4.4</t>
  </si>
  <si>
    <t>wywóz śmieci</t>
  </si>
  <si>
    <t>4.5</t>
  </si>
  <si>
    <t>VI.</t>
  </si>
  <si>
    <t>sprzęt/materiały medyczne jednorazowego użytku</t>
  </si>
  <si>
    <t>środki żywności (mleko w proszku)</t>
  </si>
  <si>
    <t>leki (w tym krew)</t>
  </si>
  <si>
    <t>materiały do drobnych napraw</t>
  </si>
  <si>
    <t>dwutlenek węgla specjalny</t>
  </si>
  <si>
    <t>2.11</t>
  </si>
  <si>
    <t>2.12</t>
  </si>
  <si>
    <t>2.13</t>
  </si>
  <si>
    <t>2.14</t>
  </si>
  <si>
    <t>kontrakty zakładowe lekarzy</t>
  </si>
  <si>
    <t>kontrakty pielęgniarskie</t>
  </si>
  <si>
    <t>kontrakty OTU rehabilitacyjne, konsultacje medyczne</t>
  </si>
  <si>
    <t>konserwacja i naprawa sprzętu</t>
  </si>
  <si>
    <t>badania laboratoryjne</t>
  </si>
  <si>
    <t>obsługa prawna i farmaceutyczna</t>
  </si>
  <si>
    <t>wywóz i zagospodarowanie odpadów medycznych</t>
  </si>
  <si>
    <t>najem lokalu (ul. Dąbrowskiego)</t>
  </si>
  <si>
    <t>badania (tomografia, rezonans, histopatologia)</t>
  </si>
  <si>
    <t>usługa sprzątania</t>
  </si>
  <si>
    <t>wdrożenie systemu informatycznego "MEDIM"</t>
  </si>
  <si>
    <t>osobowy fundusz płac</t>
  </si>
  <si>
    <t>PODRÓŻE SŁUŻBOWE KRAJOWE</t>
  </si>
  <si>
    <t>POZOSTAŁE KOSZTY  - UBEZPIECZENIA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</si>
  <si>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</si>
  <si>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</si>
  <si>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</si>
  <si>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</si>
  <si>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</si>
  <si>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</si>
  <si>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</si>
  <si>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</si>
  <si>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</si>
  <si>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</si>
  <si>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usługi transportowe</t>
  </si>
  <si>
    <t>usługi remontowe</t>
  </si>
  <si>
    <t>5.3</t>
  </si>
  <si>
    <t>gratyfikacje/odprawy rentowe</t>
  </si>
  <si>
    <t>konserwacja i naprawa sprzętu, serwis kotłowni</t>
  </si>
  <si>
    <t>4.6</t>
  </si>
  <si>
    <t>4.7</t>
  </si>
  <si>
    <t>4.8</t>
  </si>
  <si>
    <t>4.9</t>
  </si>
  <si>
    <t>pozostałe usługi obce</t>
  </si>
  <si>
    <t>WYNAGRODZENIA</t>
  </si>
  <si>
    <t>5.1</t>
  </si>
  <si>
    <t>wynagrodzenie za pracę</t>
  </si>
  <si>
    <t>5.2</t>
  </si>
  <si>
    <t>NARZUTY NA WYNAGRODZENIA</t>
  </si>
  <si>
    <t>ŚWIADCZENIA NA RZECZ PRACOWNIKÓW</t>
  </si>
  <si>
    <t>PODATKI I OPŁATY</t>
  </si>
  <si>
    <t>8.1</t>
  </si>
  <si>
    <t>podatek od nieruchomości</t>
  </si>
  <si>
    <t>8.2</t>
  </si>
  <si>
    <t>pozostałe opłaty i podatki</t>
  </si>
  <si>
    <t>OPŁATY BANKOWE</t>
  </si>
  <si>
    <t>Odsetki za nieterminowe rozliczenia, płacone przez urzędy obsługujące organy podatkowe</t>
  </si>
  <si>
    <t>Wykup innych papierów wartościowych</t>
  </si>
  <si>
    <t>Przychody z tytułu innych rozliczeń krajowych</t>
  </si>
  <si>
    <t>Dotacje
ogółem</t>
  </si>
  <si>
    <t>Wydatki
majątkowe</t>
  </si>
  <si>
    <t>85220</t>
  </si>
  <si>
    <t>Jednostki specjalistycznego poradnictwa, mieszkania chronione i ośrodki interwencji kryzysowej</t>
  </si>
  <si>
    <t>gmina</t>
  </si>
  <si>
    <t>powiat</t>
  </si>
  <si>
    <t>Ogółem (gmina + powiat)</t>
  </si>
  <si>
    <t xml:space="preserve">Ogółem </t>
  </si>
  <si>
    <t>Nazwa jednostki pomocniczej</t>
  </si>
  <si>
    <t>Sołectwo Karsibór</t>
  </si>
  <si>
    <t>Osiedle Warszów</t>
  </si>
  <si>
    <t>Osiedle Przytór-Łunowo</t>
  </si>
  <si>
    <t>Ogółem</t>
  </si>
  <si>
    <t>Uzupełnienie subwencji ogólnej dla jednostek samorządu terytorialnego</t>
  </si>
  <si>
    <t>2750</t>
  </si>
  <si>
    <t>Środki na uzupełnienie dochodów gminy</t>
  </si>
  <si>
    <t>Gimnazjum przy Liceum Ogólnokształcącym 
Społecznego Towarzystwa Szkoły Gimnazjalnej</t>
  </si>
  <si>
    <t>Gimnazjum Fundacji LOGOS</t>
  </si>
  <si>
    <t>Gimnazjum dla dorosłych WZDZ</t>
  </si>
  <si>
    <t>Zadania w zakresie przeciwdziałania alkoholizmowi</t>
  </si>
  <si>
    <t>Zadania w zakresie pomocy społecznej</t>
  </si>
  <si>
    <t>Zużycie materiałów i wyposażenia</t>
  </si>
  <si>
    <t>Zużycie energii</t>
  </si>
  <si>
    <t>środki BP</t>
  </si>
  <si>
    <t>Składki na ubezpieczenia społeczne i Fundusz Pracy</t>
  </si>
  <si>
    <t>Pozostałe przychody finansowe i operacyjne</t>
  </si>
  <si>
    <t>RAZEM DOTACJE Z BUDŻETU MIASTA</t>
  </si>
  <si>
    <t>Realizacja działań z zakresu zapobiegania narkomanii adresowane do mieszkańców Świnoujścia</t>
  </si>
  <si>
    <t>Prowadzenie edukacji profilaktycznej z zakresu AIDS i HIV adresowanych do uczniów placówek oświatowych</t>
  </si>
  <si>
    <t>Utrzymanie dzieci w placówkach opiekuńczo-wychowawczych</t>
  </si>
  <si>
    <t>Niepubliczne Przedszkole Specjalne "Jeżyk"</t>
  </si>
  <si>
    <t>Niepubliczne Dwuletnie Uzupełniające Liceum Ogólnokształcące dla Dorosłych im. św. Jadwigi Królowej</t>
  </si>
  <si>
    <t xml:space="preserve">Publiczna Zasadnicza Szkoła Zawodowa w Świnoujściu Wojewódzkiego Zakładu Doskonalenia Zawodowego w Szczecinie </t>
  </si>
  <si>
    <t>Organizacja edukacji ekologicznej</t>
  </si>
  <si>
    <t>Samodzielny Publiczny Zakład Opieki Zdrowotnej Zakład Pielęgnacyjno-Opiekuńczy</t>
  </si>
  <si>
    <t xml:space="preserve">  d) wyrównawcza</t>
  </si>
  <si>
    <t xml:space="preserve">      - środki na utrzymanie przepraw promowych</t>
  </si>
  <si>
    <t xml:space="preserve">      - na inwestycje</t>
  </si>
  <si>
    <t>Źródła finansowa-
nia  kosztów kwalifiko-
wanych</t>
  </si>
  <si>
    <t xml:space="preserve">    - pomoc finansowa od innych jednostek samorządowych</t>
  </si>
  <si>
    <t>Tabela nr 6</t>
  </si>
  <si>
    <t xml:space="preserve">Tabela nr 13 </t>
  </si>
  <si>
    <t>Tabela nr 17</t>
  </si>
  <si>
    <t>75075</t>
  </si>
  <si>
    <t>Promocja jednostek samorządu terytorialnego</t>
  </si>
  <si>
    <t>2.15</t>
  </si>
  <si>
    <t>0560</t>
  </si>
  <si>
    <t xml:space="preserve">DOTACJE Z BUDŻETU MIASTA </t>
  </si>
  <si>
    <t>6423</t>
  </si>
  <si>
    <t>6299</t>
  </si>
  <si>
    <t>PODRÓŻE SŁUŻBOWE</t>
  </si>
  <si>
    <t>POZOSTAŁE KOSZTY PROSTE (ubezp. O.C.)</t>
  </si>
  <si>
    <t>OGÓŁEM NAKŁADY</t>
  </si>
  <si>
    <t>SPRZEDAŻ USŁUG</t>
  </si>
  <si>
    <t>bez § 285 i 291</t>
  </si>
  <si>
    <t>kontrakt z NFZ</t>
  </si>
  <si>
    <t>dzierżawa + media</t>
  </si>
  <si>
    <t>opłaty pacjentów pełnopłatne</t>
  </si>
  <si>
    <t>PRZYCHODY FINANSOWE</t>
  </si>
  <si>
    <t>PRZYCHODY OPERACYJNE</t>
  </si>
  <si>
    <t>dotacje - Urząd Miasta</t>
  </si>
  <si>
    <t>PRZYCHODY OGÓŁEM</t>
  </si>
  <si>
    <t>ZYSK/STRATA BRUTTO</t>
  </si>
  <si>
    <t xml:space="preserve"> SAMODZIELNY PUBLICZNY ZAKŁAD OPIEKI ZDROWOTNEJ ZAKŁAD
 PIELĘGNACYJNO-OPIEKUŃCZY</t>
  </si>
  <si>
    <t>RAZEM (GMINA+POWIAT)</t>
  </si>
  <si>
    <t>Szkoła Podstawowa nr 1</t>
  </si>
  <si>
    <t>Szkoła Podstawowa nr 2</t>
  </si>
  <si>
    <t>Szkoła Podstawowa nr 6</t>
  </si>
  <si>
    <t>%
wyk.</t>
  </si>
  <si>
    <t xml:space="preserve">    - produktowa</t>
  </si>
  <si>
    <t>Gimnazjum Publiczne nr 1</t>
  </si>
  <si>
    <t>Gimnazjum Publiczne nr 2</t>
  </si>
  <si>
    <t>Gimnazjum Publiczne nr 3</t>
  </si>
  <si>
    <t>Internat Zespołu Szkół Morskich</t>
  </si>
  <si>
    <t>Zespół Szkół Morskich</t>
  </si>
  <si>
    <t>Zespół Szkół w Świnoujściu</t>
  </si>
  <si>
    <t>Dochody własne</t>
  </si>
  <si>
    <t>Pozostałe usługi</t>
  </si>
  <si>
    <t>tlen medyczny</t>
  </si>
  <si>
    <t>odczynniki rtg</t>
  </si>
  <si>
    <t>środki czystości i dezynfekcyjne</t>
  </si>
  <si>
    <t>2.7</t>
  </si>
  <si>
    <t>2.8</t>
  </si>
  <si>
    <t>2.9</t>
  </si>
  <si>
    <t>materiały diagnostyczne</t>
  </si>
  <si>
    <t>2.10</t>
  </si>
  <si>
    <t>materiały gospodarcze</t>
  </si>
  <si>
    <t>materiały biurowe i książki</t>
  </si>
  <si>
    <t>pozostałe dotacje (w tym: rozwojowe, z funduszy, od innych jst)</t>
  </si>
  <si>
    <t>bielizna i odzież ochronna</t>
  </si>
  <si>
    <t>inne zwiększenia</t>
  </si>
  <si>
    <t>Zakup środków trwałych</t>
  </si>
  <si>
    <t>Przebudowa chodników i jezdni w drogach gminnych</t>
  </si>
  <si>
    <t>Zagospodarowanie Basenu Północnego na port jachtowy</t>
  </si>
  <si>
    <t>Budowa Archiwum Miejskiego w ramach przebudowy budynku przy ul. Monte Cassino 22</t>
  </si>
  <si>
    <t>energia cieplna</t>
  </si>
  <si>
    <t>transport</t>
  </si>
  <si>
    <t>opłaty pocztowe i telekomunikacyjne</t>
  </si>
  <si>
    <t>usługi informatyczne</t>
  </si>
  <si>
    <t>dzierżawa butli</t>
  </si>
  <si>
    <t>monitoring obiektów</t>
  </si>
  <si>
    <t>obsługa rozprężalni tlenu</t>
  </si>
  <si>
    <t>Budowa systemu parkingowego w mieście</t>
  </si>
  <si>
    <t>wg Rb50</t>
  </si>
  <si>
    <t>wykonanie</t>
  </si>
  <si>
    <t xml:space="preserve">    - zwrot dotacji pobranej w nadmiernej wysokości</t>
  </si>
  <si>
    <t>34.</t>
  </si>
  <si>
    <t>DOTACJE BIEŻĄCE</t>
  </si>
  <si>
    <t>Termin 
realizacji</t>
  </si>
  <si>
    <t>30.</t>
  </si>
  <si>
    <t>31.</t>
  </si>
  <si>
    <t>4.10</t>
  </si>
  <si>
    <t>Inne jednostki</t>
  </si>
  <si>
    <t>§623</t>
  </si>
  <si>
    <t>§624</t>
  </si>
  <si>
    <t>§657</t>
  </si>
  <si>
    <t>3. Dotacje celowe na zadania własne i zlecone miasta realizowane przez podmioty należące i nienależące do sektora finansów publicznych (§2320 - inne jst, §2720-nie zaliczane do fp, §2810 - fundacje, § 2820 - stowarzyszenia, §2830 - pozostałe nie zaliczane do fp)</t>
  </si>
  <si>
    <t>4. Inne dotacje i subwencje (§2850 - wpłaty na rzecz izb rolniczych, §3000 - wpłaty jednostek na fundusz celowy)</t>
  </si>
  <si>
    <t>§2850</t>
  </si>
  <si>
    <t>§282 i 283</t>
  </si>
  <si>
    <t>wg Rb (bieżące bez §291)</t>
  </si>
  <si>
    <t>wg Rb (majątkowe bez §...)</t>
  </si>
  <si>
    <t>bezosobowy fundusz płac</t>
  </si>
  <si>
    <t>7.1</t>
  </si>
  <si>
    <t>7.2</t>
  </si>
  <si>
    <t>6298</t>
  </si>
  <si>
    <t xml:space="preserve">Drogi publiczne krajowe </t>
  </si>
  <si>
    <t>Społeczne Liceum Ogólnokształcące Społecznego Towarzystwa Szkoły Gimnazjalnej</t>
  </si>
  <si>
    <t>I Liceum Społeczne Fundacji LOGOS</t>
  </si>
  <si>
    <t>pozostałe świadczenia</t>
  </si>
  <si>
    <t>8.3</t>
  </si>
  <si>
    <t>8.4</t>
  </si>
  <si>
    <t>pozostałe podatki i opłaty</t>
  </si>
  <si>
    <t>10.1</t>
  </si>
  <si>
    <t>krajowe</t>
  </si>
  <si>
    <t>10.2</t>
  </si>
  <si>
    <t>ryczałty za używanie prywatnych samochodów</t>
  </si>
  <si>
    <t>działalność gospodarcza</t>
  </si>
  <si>
    <t>KOSZTY FINANSOWE</t>
  </si>
  <si>
    <t>KOSZTY OPERACYJNE</t>
  </si>
  <si>
    <t>ZYSKI NADZWYCZAJNE</t>
  </si>
  <si>
    <t>STRATY NADZWYCZAJNE</t>
  </si>
  <si>
    <t>Dotacje celowe otrzymane z budżetu państwa na inwestycje i zakupy inwestycyjne z zakresu administracji rządowej oraz inne zadania zlecone ustawami realizowane przez powiat</t>
  </si>
  <si>
    <t>Dotacje celowe otrzymane z budżetu państwa na realizację bieżących zadań własnych powiatu</t>
  </si>
  <si>
    <t>KOSZTY OGÓŁEM</t>
  </si>
  <si>
    <t>ZMIANA STANU PRODUKTÓW</t>
  </si>
  <si>
    <t>ZYSK/STRATA NETTO</t>
  </si>
  <si>
    <t>1</t>
  </si>
  <si>
    <t xml:space="preserve">Wydatki majątkowe </t>
  </si>
  <si>
    <t>Otrzymane dotacje</t>
  </si>
  <si>
    <t>Poniesione wydatki</t>
  </si>
  <si>
    <t>Grzywny i inne kary pieniężne od osób prawnych i innych jednostek organizacyjnych</t>
  </si>
  <si>
    <t>0580</t>
  </si>
  <si>
    <t>Grzywny, mandaty i inne kary pieniężne od osób fizycznych</t>
  </si>
  <si>
    <t>Koszty kwalifiko-wane w ramach projektu</t>
  </si>
  <si>
    <t>wydatki majątkowe własne</t>
  </si>
  <si>
    <t>Przebudowa przystani jachtowej w Łunowie</t>
  </si>
  <si>
    <t>35.</t>
  </si>
  <si>
    <t>wydatki majątkowe zlecone</t>
  </si>
  <si>
    <t>0390</t>
  </si>
  <si>
    <t>Placówki opiekuńczo-wychowawcze</t>
  </si>
  <si>
    <t>nie może być ujemna!</t>
  </si>
  <si>
    <t>2690</t>
  </si>
  <si>
    <t xml:space="preserve">    - uzdrowiskowa</t>
  </si>
  <si>
    <t>Urzędy naczelnych organów władzy państwowej, kontroli i ochrony prawa oraz sądownictwa</t>
  </si>
  <si>
    <t>Rb 28S</t>
  </si>
  <si>
    <t>Przedszkola Miejskie</t>
  </si>
  <si>
    <t>Miejska Biblioteka Publiczna</t>
  </si>
  <si>
    <t>Muzeum Rybołówstwa Morskiego</t>
  </si>
  <si>
    <t>Rozchody</t>
  </si>
  <si>
    <t>Źródła dochodów</t>
  </si>
  <si>
    <t>2. Opłaty</t>
  </si>
  <si>
    <t>Pozostałe zadania w zakresie polityki społecznej</t>
  </si>
  <si>
    <t xml:space="preserve">  </t>
  </si>
  <si>
    <t>Dochody od osób prawnych, od osób fizycznych i od innych jednostek nieposiadających osobowości prawnej oraz wydatki związane z ich poborem</t>
  </si>
  <si>
    <t>Wytwarzanie i zaopatrywanie w energię elektryczną, gaz i wodę</t>
  </si>
  <si>
    <t>II. Subwencje</t>
  </si>
  <si>
    <t xml:space="preserve">    - od nieruchomości </t>
  </si>
  <si>
    <t xml:space="preserve">    - rolny</t>
  </si>
  <si>
    <t xml:space="preserve">    - leśny</t>
  </si>
  <si>
    <t xml:space="preserve">    - od środków transportowych</t>
  </si>
  <si>
    <t xml:space="preserve">    - od spadków i darowizn</t>
  </si>
  <si>
    <t xml:space="preserve">    - od czynności cywilnoprawnych</t>
  </si>
  <si>
    <t xml:space="preserve">    - skarbowa</t>
  </si>
  <si>
    <t xml:space="preserve">    - komunikacyjna</t>
  </si>
  <si>
    <t>materiały medyczne wielokrotnego użycia</t>
  </si>
  <si>
    <t>Tabela nr 7</t>
  </si>
  <si>
    <t xml:space="preserve"> DOCHODY  MAJĄTKOWE WEDŁUG DZIAŁÓW, ROZDZIAŁÓW I PARAGRAFÓW KLASYFIKACJI BUDŻETOWEJ</t>
  </si>
  <si>
    <t>DOCHODY MAJĄTKOWE GMINY</t>
  </si>
  <si>
    <t>DOCHODY MAJĄTKOWE POWIATU</t>
  </si>
  <si>
    <t>OGÓŁEM DOCHODY MAJĄTKOWE (GMINA + POWIAT)</t>
  </si>
  <si>
    <t xml:space="preserve">    - eksploatacyjna</t>
  </si>
  <si>
    <t>POWIAT</t>
  </si>
  <si>
    <t xml:space="preserve">    - za zezwolenia na sprzedaż alkoholu</t>
  </si>
  <si>
    <t xml:space="preserve">    - za koncesje i licencje</t>
  </si>
  <si>
    <t xml:space="preserve">    - w podatku dochodowym od osób fizycznych</t>
  </si>
  <si>
    <t xml:space="preserve">    - w podatku dochodowym od osób prawnych</t>
  </si>
  <si>
    <t>Różnica</t>
  </si>
  <si>
    <t xml:space="preserve">    - wpływy z usług</t>
  </si>
  <si>
    <t xml:space="preserve">     RAZEM I+II+III</t>
  </si>
  <si>
    <t>Zespół Szkół Morskich / Urząd Miasta (WIM)</t>
  </si>
  <si>
    <t xml:space="preserve">    - środki pozyskane z innych źródeł</t>
  </si>
  <si>
    <t xml:space="preserve">  a) oświatowa</t>
  </si>
  <si>
    <t xml:space="preserve">  b) uzupełnienie subwencji</t>
  </si>
  <si>
    <t xml:space="preserve">        - powiat</t>
  </si>
  <si>
    <t xml:space="preserve">        - gmina</t>
  </si>
  <si>
    <t>ZMIANY DOKONANE W PRZYCHODACH I ROZCHODACH</t>
  </si>
  <si>
    <t xml:space="preserve">       - powiat</t>
  </si>
  <si>
    <t xml:space="preserve">       - gmina</t>
  </si>
  <si>
    <t xml:space="preserve">  b) na zadania z zakresu administracji rządowej</t>
  </si>
  <si>
    <t>2701</t>
  </si>
  <si>
    <t>85324</t>
  </si>
  <si>
    <t>Państwowy Fundusz Rehabilitacji Osób Niepełnosprawnych</t>
  </si>
  <si>
    <t>Nr uchwały
 lub zarządzenia</t>
  </si>
  <si>
    <t>75818</t>
  </si>
  <si>
    <t>Rezerwy ogólne i celowe</t>
  </si>
  <si>
    <t>85311</t>
  </si>
  <si>
    <t>Wyszczególnienie jednostek</t>
  </si>
  <si>
    <t>Liceum Ogólnokształcące z Oddziałami Integracyjnymi</t>
  </si>
  <si>
    <t>Rehabilitacja zawodowa i społeczna osób niepełnosprawnych</t>
  </si>
  <si>
    <t>Nr uchwały 
lub zarządzenia</t>
  </si>
  <si>
    <t>75406</t>
  </si>
  <si>
    <t>Straż Graniczna</t>
  </si>
  <si>
    <t>60004</t>
  </si>
  <si>
    <t>Lokalny transport zbiorowy</t>
  </si>
  <si>
    <t>0928</t>
  </si>
  <si>
    <t>DOCHODY-WYDATKI</t>
  </si>
  <si>
    <t>!!! NIE MOŻE BYĆ MINUS</t>
  </si>
  <si>
    <t>Otrzymane darowizny</t>
  </si>
  <si>
    <t>Środki na dofinansowanie własnych zadań 
bieżących gmin (związków gmin), powiatów (związków powiatów), samorządów województw, pozyskane z innych źródeł
Finansowanie programów ze środków bezzwrotnych pochodzących z Unii Europejskiej</t>
  </si>
  <si>
    <t>/w zł/</t>
  </si>
  <si>
    <t>Rozdział</t>
  </si>
  <si>
    <t>Treść</t>
  </si>
  <si>
    <t>Plan</t>
  </si>
  <si>
    <t>Wykonanie</t>
  </si>
  <si>
    <t>%</t>
  </si>
  <si>
    <t>010</t>
  </si>
  <si>
    <t>Pozostała działalność</t>
  </si>
  <si>
    <t>020</t>
  </si>
  <si>
    <t>02095</t>
  </si>
  <si>
    <t>500</t>
  </si>
  <si>
    <t>630/    750</t>
  </si>
  <si>
    <t>63003  75095</t>
  </si>
  <si>
    <t>Regionalny Program Operacyjny Województwa Zachodniopomorskiego na lata 2007-2013</t>
  </si>
  <si>
    <t xml:space="preserve">Zespół Szkół Morskich </t>
  </si>
  <si>
    <t>Budowa transgranicznego połączenia Świnoujście – Kamminke na wyspie Uznam (Budowa ciągu pieszo–rowerowego wzdłuż ulicy Krzywej)</t>
  </si>
  <si>
    <t>30.06.2010 r.</t>
  </si>
  <si>
    <t>Przebudowa ulicy Zalewowej</t>
  </si>
  <si>
    <t>Budowa budynków mieszkalnych komunalnych przy ul. Grunwaldzkiej w Świnoujściu</t>
  </si>
  <si>
    <t>Rozbudowa cmentarza komunalnego w Świnoujściu</t>
  </si>
  <si>
    <t xml:space="preserve"> 30.06.2010 r</t>
  </si>
  <si>
    <t>Działania z zakresu przeciwdziałania uzależnieniom, w tym wykonanie  aneksów kuchennych oraz wyposażenie specjalistycznych placówek</t>
  </si>
  <si>
    <t>Placówka opiekuńczo – wychowawcza o charakterze interwencyjnym (adaptacja pomieszczeń w budynku SOSW przy ul. Piastowskiej 55)</t>
  </si>
  <si>
    <t>Rewitalizacja zespołu zabytkowych fortów (zagospodarowanie terenu przy kompleksie Fortu Zachodniego)</t>
  </si>
  <si>
    <t>RAZEM</t>
  </si>
  <si>
    <t>WYDATKI  KTÓRE NIE WYGASŁY Z UPŁYWEM ROKU BUDŻETOWEGO 2009</t>
  </si>
  <si>
    <t>08.01.2010 r.</t>
  </si>
  <si>
    <t>20/2010</t>
  </si>
  <si>
    <t>21.01.2010 r.</t>
  </si>
  <si>
    <t>LXIV/514/2010</t>
  </si>
  <si>
    <t>29.01.2010 r.</t>
  </si>
  <si>
    <t>74/2010</t>
  </si>
  <si>
    <t>16.02.2010 r.</t>
  </si>
  <si>
    <t>114/2010</t>
  </si>
  <si>
    <t>25.02.2010 r.</t>
  </si>
  <si>
    <t>LXV/525/2010</t>
  </si>
  <si>
    <t>144/2010</t>
  </si>
  <si>
    <t>26.02.2010 r.</t>
  </si>
  <si>
    <t>11.03.2010 r.</t>
  </si>
  <si>
    <t>171/2010</t>
  </si>
  <si>
    <t xml:space="preserve">16.03.2010 r. </t>
  </si>
  <si>
    <t>172/2010</t>
  </si>
  <si>
    <t>25.03.2010 r.</t>
  </si>
  <si>
    <t>LXVI/546/2010</t>
  </si>
  <si>
    <t>31.03.2010 r.</t>
  </si>
  <si>
    <t>204/2010</t>
  </si>
  <si>
    <t>09.04.2010 r.</t>
  </si>
  <si>
    <t>222/2010</t>
  </si>
  <si>
    <t>12.04.2010 r.</t>
  </si>
  <si>
    <t>228/2010</t>
  </si>
  <si>
    <t>30.04.2010 r.</t>
  </si>
  <si>
    <t>276/2010</t>
  </si>
  <si>
    <t>277/2010</t>
  </si>
  <si>
    <t>07.05.2010 r.</t>
  </si>
  <si>
    <t>LXIX/557/2010</t>
  </si>
  <si>
    <t>26.05.2010 r.</t>
  </si>
  <si>
    <t>343/2010</t>
  </si>
  <si>
    <t>347/2010</t>
  </si>
  <si>
    <t>08.06.2010 r.</t>
  </si>
  <si>
    <t>392/2010</t>
  </si>
  <si>
    <t>16.06.2010 r.</t>
  </si>
  <si>
    <t>413/2010</t>
  </si>
  <si>
    <t>24.06.2010 r.</t>
  </si>
  <si>
    <t>431/2010</t>
  </si>
  <si>
    <t>LXXI/573/2010</t>
  </si>
  <si>
    <t>28.06.2010 r.</t>
  </si>
  <si>
    <t>443/2010</t>
  </si>
  <si>
    <t>447/2010</t>
  </si>
  <si>
    <t>449/2010</t>
  </si>
  <si>
    <t>plan wg rb</t>
  </si>
  <si>
    <t>2007-2010</t>
  </si>
  <si>
    <t>Równe szanse dla każdego - kluczem na lepsze jutro</t>
  </si>
  <si>
    <t xml:space="preserve">Gimnazjum Publiczne nr 1 im. Olimpijczyków Polskich </t>
  </si>
  <si>
    <t>2009-2010</t>
  </si>
  <si>
    <t xml:space="preserve">Regionalny Program Operacyjny województwa Zachodniopomorskiego na lata 2007-2013
</t>
  </si>
  <si>
    <t>Urząd Miasta (WIM)</t>
  </si>
  <si>
    <t>2009-2012</t>
  </si>
  <si>
    <t>wkład pieniężny beneficjenta</t>
  </si>
  <si>
    <t>inne środki Beneficjenta</t>
  </si>
  <si>
    <t>Program Operacyjny Celu 3 - „Europejska Współpraca Terytorialna –Współpraca Transgraniczna” Krajów Meklemburgia Pomorze Przednie /Brandenburgia – Rzeczpospolita Polska  (województwo zachodniopomorskie) 2007 -2013</t>
  </si>
  <si>
    <t>Transgraniczna promenada pomiędzy Świnoujściem i Gminą Heringsdorf</t>
  </si>
  <si>
    <t>2009-2011</t>
  </si>
  <si>
    <t>Rewaloryzacja zabytkowego Parku Zdrojowego II etap</t>
  </si>
  <si>
    <t>Program Operacyjny celu 3 -  „Europejska Współpraca Terytorialna – Współpraca Transgraniczna” Krajów Meklemburgia Pomorze Przednie /Brandenburgia – Rzeczpospolita Polska  (województwo zachodniopomorskie) 2007 -2013</t>
  </si>
  <si>
    <t>600</t>
  </si>
  <si>
    <t>TRANSPORT I ŁĄCZNOŚĆ</t>
  </si>
  <si>
    <t>60015</t>
  </si>
  <si>
    <t>60016</t>
  </si>
  <si>
    <t>Drogi publiczne gminne</t>
  </si>
  <si>
    <t>630</t>
  </si>
  <si>
    <t>TURYSTYKA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</si>
  <si>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</si>
  <si>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</si>
  <si>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</si>
  <si>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</si>
  <si>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</si>
  <si>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</si>
  <si>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</si>
  <si>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>71014</t>
  </si>
  <si>
    <t>Opracowania geodezyjne i kartograficzne</t>
  </si>
  <si>
    <t>71015</t>
  </si>
  <si>
    <t>PRZYCHODY I ROZCHODY</t>
  </si>
  <si>
    <t xml:space="preserve">Przychody </t>
  </si>
  <si>
    <t xml:space="preserve">Rozchody </t>
  </si>
  <si>
    <t>Nadzór budowlany</t>
  </si>
  <si>
    <t>71035</t>
  </si>
  <si>
    <t>Cmentarze</t>
  </si>
  <si>
    <t>750</t>
  </si>
  <si>
    <t>ADMINISTRACJA PUBLICZNA</t>
  </si>
  <si>
    <t>75011</t>
  </si>
  <si>
    <t>WYDATKI GMINY</t>
  </si>
  <si>
    <t>GMINA</t>
  </si>
  <si>
    <t>WYDATKI POWIATU</t>
  </si>
  <si>
    <t>Środki na dofinansowanie własnych inwestycji  gmin (związków gmin), powiatów (związków powiatów), samorządów województw, pozyskane z innych źródeł</t>
  </si>
  <si>
    <t>60011</t>
  </si>
  <si>
    <t>Urzędy wojewódzkie</t>
  </si>
  <si>
    <t>75020</t>
  </si>
  <si>
    <t>Starostwa powiatowe</t>
  </si>
  <si>
    <t>75023</t>
  </si>
  <si>
    <t>75045</t>
  </si>
  <si>
    <t>75095</t>
  </si>
  <si>
    <t>URZĘDY NACZELNYCH ORGANÓW WŁADZY PAŃSTWOWEJ, KONTROLI I OCHRONY PRAWA ORAZ SĄDOWNICTWA</t>
  </si>
  <si>
    <t>754</t>
  </si>
  <si>
    <t>75411</t>
  </si>
  <si>
    <t>75414</t>
  </si>
  <si>
    <t>Obrona cywilna</t>
  </si>
  <si>
    <t>757</t>
  </si>
  <si>
    <t>758</t>
  </si>
  <si>
    <t>RÓŻNE ROZLICZENIA</t>
  </si>
  <si>
    <t>801</t>
  </si>
  <si>
    <t>OŚWIATA I WYCHOWANIE</t>
  </si>
  <si>
    <t>80101</t>
  </si>
  <si>
    <t>Szkoły podstawowe</t>
  </si>
  <si>
    <t>80110</t>
  </si>
  <si>
    <t>Gimnazja</t>
  </si>
  <si>
    <t>80120</t>
  </si>
  <si>
    <t>80130</t>
  </si>
  <si>
    <t>Szkoły zawodowe</t>
  </si>
  <si>
    <t>851</t>
  </si>
  <si>
    <t>OCHRONA ZDROWIA</t>
  </si>
  <si>
    <t>85154</t>
  </si>
  <si>
    <t>Przeciwdziałanie alkoholizmowi</t>
  </si>
  <si>
    <t>853</t>
  </si>
  <si>
    <t>85305</t>
  </si>
  <si>
    <t>Drogi publiczne w miastach na prawach powiatu (w rozdziale nie ujmuje się wydatków na drogi gminne)</t>
  </si>
  <si>
    <t>Poradnie psychologiczno-pedagogiczne, w tym poradnie specjalistyczne</t>
  </si>
  <si>
    <t>33.</t>
  </si>
  <si>
    <t>Dodatki mieszkaniowe</t>
  </si>
  <si>
    <t>Ośrodki pomocy społecznej</t>
  </si>
  <si>
    <t>Opłaty na rzecz budżetu państwa</t>
  </si>
  <si>
    <t>85321</t>
  </si>
  <si>
    <t>Usługi opiekuńcze i specjalistyczne usługi opiekuńcze</t>
  </si>
  <si>
    <t>854</t>
  </si>
  <si>
    <t>III. Dotacje celowe</t>
  </si>
  <si>
    <t xml:space="preserve">    - środki Funduszu Pracy</t>
  </si>
  <si>
    <t xml:space="preserve">    - wpływy z różnych dochodów</t>
  </si>
  <si>
    <t>EDUKACYJNA OPIEKA WYCHOWAWCZA</t>
  </si>
  <si>
    <t>85403</t>
  </si>
  <si>
    <t>85406</t>
  </si>
  <si>
    <t>OGÓŁEM DOCHODY (GMINA + POWIAT)</t>
  </si>
  <si>
    <t>sprawozdanie Rb 27</t>
  </si>
  <si>
    <t>różnica (Rb 27 - zestawienie)</t>
  </si>
  <si>
    <t>Dochody majątkowe</t>
  </si>
  <si>
    <t>Dochody bieżące</t>
  </si>
  <si>
    <t>środki z innych źródeł</t>
  </si>
  <si>
    <t>pozostałe</t>
  </si>
  <si>
    <t>1.1</t>
  </si>
  <si>
    <t>1.2</t>
  </si>
  <si>
    <t>1.3</t>
  </si>
  <si>
    <t>2.1</t>
  </si>
  <si>
    <t>2.2</t>
  </si>
  <si>
    <t>- spłata kredytów i pożyczek</t>
  </si>
  <si>
    <t>- spłata pożyczki na prefinansowanie</t>
  </si>
  <si>
    <t>2.3</t>
  </si>
  <si>
    <t>1.4</t>
  </si>
  <si>
    <t>dotacje</t>
  </si>
  <si>
    <t>obsługa długu publicznego</t>
  </si>
  <si>
    <t>wg Rb28S</t>
  </si>
  <si>
    <t>Wg rb27S</t>
  </si>
  <si>
    <t>tabela</t>
  </si>
  <si>
    <t>2.4</t>
  </si>
  <si>
    <t>Tabela nr 3</t>
  </si>
  <si>
    <t>OGÓŁEM INWESTYCJE KOMUNALNE (WIM)</t>
  </si>
  <si>
    <t>Punkt Przedszkolny "Tygrysek"</t>
  </si>
  <si>
    <t>Liceum Ogólnokształcące "HOSSA" Centrum Edukacji i Wspierania Przedsiębiorczości Szczecińskiej Fundacji "Talent-Promocja-Postęp"</t>
  </si>
  <si>
    <t>ZOZ Szpital Miejski im. Jana Garduły</t>
  </si>
  <si>
    <t>Amortyzacja</t>
  </si>
  <si>
    <t>Usługi materialne</t>
  </si>
  <si>
    <t>Wynagrodzenia</t>
  </si>
  <si>
    <t>Podróże służbowe i koszty zakwaterowania</t>
  </si>
  <si>
    <t>Usługi niematerialne</t>
  </si>
  <si>
    <t xml:space="preserve">wynagrodzenia i pochodne </t>
  </si>
  <si>
    <t>dotacj i subwencje</t>
  </si>
  <si>
    <t>OGÓŁEM:</t>
  </si>
  <si>
    <t>wydatki jednostek budżetowych</t>
  </si>
  <si>
    <t>związane z realizacją zadań statutowych</t>
  </si>
  <si>
    <t>wydatki jednostek pomocniczych</t>
  </si>
  <si>
    <t>świadczenia na rzecz osób fizycznych</t>
  </si>
  <si>
    <t>inwestycje</t>
  </si>
  <si>
    <t>1.5</t>
  </si>
  <si>
    <r>
      <t xml:space="preserve">Wynagrodzenia i składki od nich naliczane </t>
    </r>
    <r>
      <rPr>
        <sz val="10"/>
        <rFont val="Times New Roman"/>
        <family val="1"/>
      </rPr>
      <t>(wraz ze składkami od swiadczeń)</t>
    </r>
  </si>
  <si>
    <t>Wydatki związane z realizacją zadań statutowych</t>
  </si>
  <si>
    <t>Dotacje na zadania bieżące</t>
  </si>
  <si>
    <t>Świadczenia na rzecz osób fizycznych</t>
  </si>
  <si>
    <t>Wydatki na programy z udziałem środków unijnych</t>
  </si>
  <si>
    <t>Wydatki jednostek budżetowych</t>
  </si>
  <si>
    <t>Wydatki
ogółem
(5+11)</t>
  </si>
  <si>
    <t>MIEJSKI DOM KULTURY</t>
  </si>
  <si>
    <t>RÓŻNICA</t>
  </si>
  <si>
    <t>2.5</t>
  </si>
  <si>
    <t>zadania własne</t>
  </si>
  <si>
    <t xml:space="preserve">    - pozostałe opłaty wraz z rekompensatą utraconych dochodów</t>
  </si>
  <si>
    <t xml:space="preserve">OTRZYMANE DOTACJE Z BUDŻETU PAŃSTWA ORAZ ICH WYDATKOWANIE </t>
  </si>
  <si>
    <t xml:space="preserve">zadania realizowane na podstawie  porozumień z organami administracji  rządowej </t>
  </si>
  <si>
    <t>zadania z zakresu administracji  rządowej</t>
  </si>
  <si>
    <t>Kredyty</t>
  </si>
  <si>
    <t>Pożyczki</t>
  </si>
  <si>
    <t>zadania realizowane na podstawie porozumień z innymi jednostkami samorządu terytorialnego</t>
  </si>
  <si>
    <t>Sprawdzenie Rb 27S i Rb28S</t>
  </si>
  <si>
    <t>Przebudowa centralnego układu komunikacyjnego śródmieścia w Świnoujściu</t>
  </si>
  <si>
    <t>usługi pielęgniarskie</t>
  </si>
  <si>
    <t>Sprawdzenie Rb 27S</t>
  </si>
  <si>
    <t>Społeczna Szkoła Podstawowa Społecznego Towarzystwa Szkoły Gimnazjalnej</t>
  </si>
  <si>
    <t>Technikum Elektryczne w Świnoujściu Wojewódzkiego Zakładu Doskonalenia Zawodowego w Szczecinie</t>
  </si>
  <si>
    <t xml:space="preserve">  d) na zadania realizowane na podstawie porozumień 
      z innymi jednostkami samorządu terytorialnego</t>
  </si>
  <si>
    <t>85407</t>
  </si>
  <si>
    <t>BEZPIECZEŃSTWO PUBLICZNE I OCHRONA PRZECIWPOŻAROWA</t>
  </si>
  <si>
    <t>85410</t>
  </si>
  <si>
    <t>85415</t>
  </si>
  <si>
    <t>Pomoc materialna dla uczniów</t>
  </si>
  <si>
    <t>85417</t>
  </si>
  <si>
    <t>900</t>
  </si>
  <si>
    <t>90003</t>
  </si>
  <si>
    <t>90015</t>
  </si>
  <si>
    <t>Oświetlenie ulic, placów i dróg</t>
  </si>
  <si>
    <t>90095</t>
  </si>
  <si>
    <t>inne</t>
  </si>
  <si>
    <t>Specjalne ośrodki szkolno-wychowawcze</t>
  </si>
  <si>
    <t>ŁĄCZNIE GMINA I POWIAT</t>
  </si>
  <si>
    <t>Zaległości z tytułu podatków i opłat zniesionych</t>
  </si>
  <si>
    <t>Wpływy z opłat za zezwolenia na sprzedaż napojów alkoholowych</t>
  </si>
  <si>
    <r>
      <t>Zakład Gospodarki Mieszkaniowej</t>
    </r>
    <r>
      <rPr>
        <sz val="10"/>
        <rFont val="Times New Roman"/>
        <family val="1"/>
      </rPr>
      <t xml:space="preserve">
Dopłata do utrzymania 1m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powierzchni użytkowej komunalnych zasobów mieszkaniowych</t>
    </r>
  </si>
  <si>
    <r>
      <t>Ośrodek Sportu i Rekreacji "Wyspiarz"</t>
    </r>
    <r>
      <rPr>
        <sz val="10"/>
        <rFont val="Times New Roman"/>
        <family val="1"/>
      </rPr>
      <t xml:space="preserve">
Dopłaty do 1 godziny funkcjonowania:
- hali sportowej,
- pływalni,
- boiska ze sztuczną nawierzchnią,
- boiska trawiastego,
- hali tenisowej.</t>
    </r>
  </si>
  <si>
    <t>W zestawieniu nie są ujęte wydatki zrealizowane w ramach: 
§ 2900 - wpłaty gmin i powiatów na rzecz innych jednostek samorządu terytorialnego oraz związków gmin lub związków powiatów na dofinansowanie zadań bieżących,
§ 2910 - wpływy ze zwrotów dotacji oraz płatności, w tym wykorzystanych niezgodnie z przeznaczeniem lub wykorzystanych z naruszeniem procedur, o których mowa w art. 184 ustawy, pobranych nienależnie lub w nadmiernej wysokości,
§ 2930 - wpływy z wpłat jednostek samorządu terytorialnego do budżetu państwa,
§ 6650 - wpływy z wpłat gmin i powiatów na rzecz innych jednostek samorządu terytorialnego oraz związków gmin lub związków powiatów na dofinansowanie zadań inwestycyjnych i zakupów inwestycyjnych.</t>
  </si>
  <si>
    <t xml:space="preserve">   - pozostałe wydatki</t>
  </si>
  <si>
    <t>Nadwyżka/ Deficyt (I -II)</t>
  </si>
  <si>
    <t>- kredyty i pożyczki</t>
  </si>
  <si>
    <t>2008-2011</t>
  </si>
  <si>
    <t>Miejski Ośrodek Pomocy Rodzinie</t>
  </si>
  <si>
    <t>Powiatowy Urząd Pracy</t>
  </si>
  <si>
    <t>Urząd Miasta (WO)</t>
  </si>
  <si>
    <t xml:space="preserve">Wartość całkowita projektu
</t>
  </si>
  <si>
    <t>- wykup obligacji komunalnych</t>
  </si>
  <si>
    <t>Dotacje celowe otrzymane z gminy na zadania bieżące realizowane na podstawie porozumień (umów) między jednostkami samorządu terytorialnego</t>
  </si>
  <si>
    <t xml:space="preserve">Środki na dofinansowanie własnych zadań 
bieżących gmin (związków gmin), powiatów (związków powiatów), samorządów województw, pozyskane z innych źródeł
</t>
  </si>
  <si>
    <t>6430</t>
  </si>
  <si>
    <t>Dotacje celowe otrzymane z budżetu państwa na realizację inwestycji i zakupów inwestycyjnych własnych powiatu</t>
  </si>
  <si>
    <t>Klasyfikacja
§</t>
  </si>
  <si>
    <t>§ 955</t>
  </si>
  <si>
    <t>§ 992</t>
  </si>
  <si>
    <t>§ 982</t>
  </si>
  <si>
    <t xml:space="preserve">    - wpływy za realizację dochodów skarbu państwa</t>
  </si>
  <si>
    <t>921</t>
  </si>
  <si>
    <t>926</t>
  </si>
  <si>
    <t>KULTURA FIZYCZNA I SPORT</t>
  </si>
  <si>
    <t>% wykonania</t>
  </si>
  <si>
    <t>udział</t>
  </si>
  <si>
    <t xml:space="preserve">Udział </t>
  </si>
  <si>
    <t>92601</t>
  </si>
  <si>
    <t>Obiekty sportowe</t>
  </si>
  <si>
    <t>92605</t>
  </si>
  <si>
    <t>Zadania w zakresie kultury fizycznej i sportu</t>
  </si>
  <si>
    <t>Dział</t>
  </si>
  <si>
    <t>Wyszczególnienie</t>
  </si>
  <si>
    <t>Miejski Dom Kultury</t>
  </si>
  <si>
    <t>Zadania w zakresie oświaty i wychowania</t>
  </si>
  <si>
    <t xml:space="preserve">    - dotacja z funduszu celowego</t>
  </si>
  <si>
    <t>§</t>
  </si>
  <si>
    <t>LEŚNICTWO</t>
  </si>
  <si>
    <t>0890</t>
  </si>
  <si>
    <t>Dotacje celowe otrzymane z budżetu państwa na 
realizację bieżących zadań własnych powiatu</t>
  </si>
  <si>
    <t>Wpływy z różnych opłat</t>
  </si>
  <si>
    <t>DOCHODY GMINY</t>
  </si>
  <si>
    <t>DOCHODY POWIATU</t>
  </si>
  <si>
    <t>Wpływy z różnych dochodów</t>
  </si>
  <si>
    <t>Pozostałe odsetki</t>
  </si>
  <si>
    <t>80103</t>
  </si>
  <si>
    <t>Oddziały przedszkolne w szkołach podstawowych</t>
  </si>
  <si>
    <t>Rewaloryzacja zabytkowego Parku Zdrojowego (etap II)</t>
  </si>
  <si>
    <t>Wpływy z tytułu przekształcenia prawa użytkowania wieczystego przysługującego osobom fizycznym w prawo własności</t>
  </si>
  <si>
    <t>Wpływy z opłaty komunikacyjnej</t>
  </si>
  <si>
    <t>Dotacje celowe otrzymane z budżetu państwa na zadania bieżące realizowane przez powiat na podstawie porozumień z organami administracji rządowej</t>
  </si>
  <si>
    <t>75101</t>
  </si>
  <si>
    <t>Jednostka realizu-
jąca</t>
  </si>
  <si>
    <t xml:space="preserve">Urzędy naczelnych organów władzy państwowej, kontroli i ochrony prawa </t>
  </si>
  <si>
    <t>75601</t>
  </si>
  <si>
    <t>Wpływy z podatku dochodowego od osób fizycznych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</si>
  <si>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</si>
  <si>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</si>
  <si>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</si>
  <si>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</si>
  <si>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</si>
  <si>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</si>
  <si>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</si>
  <si>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75618</t>
  </si>
  <si>
    <t>DOCHODY I WYDATKI  WEDŁUG DZIAŁÓW KLASYFIKACJI BUDŻETOWEJ</t>
  </si>
  <si>
    <t xml:space="preserve"> DOCHODY  WEDŁUG DZIAŁÓW, ROZDZIAŁÓW I PARAGRAFÓW KLASYFIKACJI BUDŻETOWEJ</t>
  </si>
  <si>
    <t>DOCHODY WEDŁUG WAŻNIEJSZYCH ŹRÓDEŁ</t>
  </si>
  <si>
    <t>WYDATKI WEDŁUG DZIAŁÓW I ROZDZIAŁÓW KLASYFIKACJI  BUDŻETOWEJ</t>
  </si>
  <si>
    <t>23.</t>
  </si>
  <si>
    <t>24.</t>
  </si>
  <si>
    <t>25.</t>
  </si>
  <si>
    <t>26.</t>
  </si>
  <si>
    <t xml:space="preserve">DOCHODY I WYDATKI DOCHODÓW WŁASNYCH  JEDNOSTEK BUDŻETOWYCH </t>
  </si>
  <si>
    <t>Wpływy z opłaty skarbowej</t>
  </si>
  <si>
    <t>75621</t>
  </si>
  <si>
    <t>Udziały gmin w podatkach stanowiących dochód 
budżetu państwa</t>
  </si>
  <si>
    <t>2. Dotacje podmiotowe (§2480 - instytucje kultury, §2510 - zakłady budżetowe, § 2540 - niepubliczne jednostki oświatowe, §2560 - publiczne ZOZ, §2580 - jednostki nie zaliczane do fp, §2590 - publiczne jednostki oświatowe)</t>
  </si>
  <si>
    <t>§251</t>
  </si>
  <si>
    <t>§3000</t>
  </si>
  <si>
    <t>Samodzielny Publiczny Zakład Opieki Zdrowotnej Szpital Miejski im. Jana Garduły</t>
  </si>
  <si>
    <t>Podatek dochodowy od osób fizycznych</t>
  </si>
  <si>
    <t>Środki na dofinansowanie własnych zadań bieżących gmin (związków gmin), powiatów (związków powiatów), samorządów województw, pozyskane z innych źródeł</t>
  </si>
  <si>
    <t>Środki z Funduszu Pracy otrzymane przez powiat z przeznaczeniem na finansowanie kosztów wynagrodzenia i składek na ubezpieczenia społeczne pracowników powiatowego urzędu pracy</t>
  </si>
  <si>
    <t>-</t>
  </si>
  <si>
    <t>Podatek dochodowy od osób prawnych</t>
  </si>
  <si>
    <t>75622</t>
  </si>
  <si>
    <t>75801</t>
  </si>
  <si>
    <t xml:space="preserve">    - inne lokalne opłaty</t>
  </si>
  <si>
    <t>Część oświatowa subwencji ogólnej dla jednostek 
samorządu terytorialnego</t>
  </si>
  <si>
    <t>Subwencje ogólne z budżetu państwa</t>
  </si>
  <si>
    <t>75802</t>
  </si>
  <si>
    <t>75814</t>
  </si>
  <si>
    <t>Różne rozliczenia finansowe</t>
  </si>
  <si>
    <t xml:space="preserve">Pozostałe odsetki </t>
  </si>
  <si>
    <t>85156</t>
  </si>
  <si>
    <t xml:space="preserve">Wpływy z usług </t>
  </si>
  <si>
    <t>GOSPODARKA KOMUNALNA I OCHRONA 
ŚRODOWISKA</t>
  </si>
  <si>
    <t>80113</t>
  </si>
  <si>
    <t>Dowożenie uczniów do szkół</t>
  </si>
  <si>
    <t>Przychody</t>
  </si>
  <si>
    <t>Wydatki</t>
  </si>
  <si>
    <t xml:space="preserve">Plan </t>
  </si>
  <si>
    <t xml:space="preserve">Wykonanie </t>
  </si>
  <si>
    <t>751</t>
  </si>
  <si>
    <t>Razem</t>
  </si>
  <si>
    <t>DOCHODY I WYDATKI ZWIĄZANE Z REALIZACJĄ ZADAŃ Z ZAKRESU ADMINISTRACJI RZĄDOWEJ 
I INNYCH ZADAŃ ZLECONYCH ODRĘBNYMI USTAWAMI</t>
  </si>
  <si>
    <t>DOCHODY I WYDATKI ZWIĄZANE Z REALIZACJĄ ZADAŃ Z ZAKRESU ADMINISTRACJI RZĄDOWEJ 
WYKONYWANYCH NA PODSTAWIE POROZUMIEŃ Z ORGANAMI ADMINISTRACJI RZĄDOWEJ</t>
  </si>
  <si>
    <t>DOCHODY I WYDATKI ZWIĄZANE Z REALIZACJĄ ZADAŃ WYKONYWANYCH NA PODSTAWIE POROZUMIEŃ (UMÓW) 
MIĘDZY JEDNOSTKAMI SAMORZĄDU TERYTORIALNEGO</t>
  </si>
  <si>
    <t>Lp.</t>
  </si>
  <si>
    <t>I</t>
  </si>
  <si>
    <t>Dochody ogółem</t>
  </si>
  <si>
    <t>1.</t>
  </si>
  <si>
    <t>2.</t>
  </si>
  <si>
    <t>II</t>
  </si>
  <si>
    <t>Wydatki ogółem</t>
  </si>
  <si>
    <t>III</t>
  </si>
  <si>
    <t>X</t>
  </si>
  <si>
    <t>Dotacje z budżetu Miasta</t>
  </si>
  <si>
    <t>Komenda Miejska Państwowej Straży Pożarnej</t>
  </si>
  <si>
    <t>Usługi remontowe</t>
  </si>
  <si>
    <t>Inwestycje</t>
  </si>
  <si>
    <t>Stan środków obrotowych na koniec okresu sprawozdawczego</t>
  </si>
  <si>
    <t>Stan środków obrotowych na początek okresu sprawozdawczego</t>
  </si>
  <si>
    <t>Składki  na ubezpieczenie zdrowotne opłacane za osoby pobierające niektóre świadczenia z pomocy społecznej, niektóre świadczenia rodzinne oraz za osoby uczestniczące w zajęciach w centrum integracji społecznej</t>
  </si>
  <si>
    <t xml:space="preserve"> SAMODZIELNY PUBLICZNY ZAKŁAD OPIEKI ZDROWOTNEJ SZPITAL MIEJSKI
 IM. JANA GARDUŁY</t>
  </si>
  <si>
    <t>IV</t>
  </si>
  <si>
    <t>z tego:</t>
  </si>
  <si>
    <t>Wydatki bieżące</t>
  </si>
  <si>
    <t>Transport i łączność</t>
  </si>
  <si>
    <t>Oświata i wychowanie</t>
  </si>
  <si>
    <t>Ochrona zdrowia</t>
  </si>
  <si>
    <t>Gospodarka komunalna i ochrona środowiska</t>
  </si>
  <si>
    <t>Kultura i ochrona dziedzictwa narodowego</t>
  </si>
  <si>
    <t>Kultura fizyczna i sport</t>
  </si>
  <si>
    <t>Nazwa działu</t>
  </si>
  <si>
    <t>Dochody</t>
  </si>
  <si>
    <t>Rolnictwo i łowiectwo</t>
  </si>
  <si>
    <t>Leśnictwo</t>
  </si>
  <si>
    <t>Handel</t>
  </si>
  <si>
    <t xml:space="preserve">Turystyka </t>
  </si>
  <si>
    <t>Gospodarka mieszkaniowa</t>
  </si>
  <si>
    <t>Działalność usługowa</t>
  </si>
  <si>
    <t>Administracja publiczna</t>
  </si>
  <si>
    <t>Bezpieczeństwo publiczne i ochrona przeciwpożarowa</t>
  </si>
  <si>
    <t>756</t>
  </si>
  <si>
    <t>Obsługa długu publicznego</t>
  </si>
  <si>
    <t>Różne rozliczenia</t>
  </si>
  <si>
    <t>Edukacyjna opieka wychowawcza</t>
  </si>
  <si>
    <t>Ogółem dochody i wydatki</t>
  </si>
  <si>
    <t>Ośrodki wparcia</t>
  </si>
  <si>
    <t>550</t>
  </si>
  <si>
    <t>Hotele i restauracje</t>
  </si>
  <si>
    <t>Dotacje celowe otrzymane z budżetu państwa na zadania bieżące z zakresu administracji rządowej oraz inne zadania zlecone ustawami realizowane przez powiat</t>
  </si>
  <si>
    <t>HOTELE I RESTAURACJE</t>
  </si>
  <si>
    <t>Prace geodezyjne i kartograficzne (nieinwestycyjne)</t>
  </si>
  <si>
    <t>dotacje z funduszy celowych</t>
  </si>
  <si>
    <t>środki pozyskane z innych źródeł i od innych jst</t>
  </si>
  <si>
    <t>- najem i dzierżawa składników majątkowych</t>
  </si>
  <si>
    <t>- osobowe pracowników</t>
  </si>
  <si>
    <t>- bezosobowe i agencyjno-prowizyjne</t>
  </si>
  <si>
    <t>- na działalność bieżącą</t>
  </si>
  <si>
    <t>- na inwestycje</t>
  </si>
  <si>
    <t>Dotacje celowe otrzymane z budżetu państwa na realizację zadań bieżących z zakresu administracji rządowej oraz innych zadań zleconych gminie (związkom gmin) ustawami</t>
  </si>
  <si>
    <t>Urzędy gmin (miast i miast na prawach powiatu)</t>
  </si>
  <si>
    <t>Wpływy z opłat za koncesje i licencje</t>
  </si>
  <si>
    <t>Program Współpracy Terytorialnej Południowy Bałtyk 
2007-2013</t>
  </si>
  <si>
    <t>Komendy powiatowe Państwowej Straży Pożarnej</t>
  </si>
  <si>
    <t xml:space="preserve">Subwencje ogólne z budżetu państwa </t>
  </si>
  <si>
    <t>Ośrodki wsparcia</t>
  </si>
  <si>
    <t>Dotacje celowe otrzymane z budżetu państwa na realizację własnych zadań bieżących gmin (związków gmin)</t>
  </si>
  <si>
    <t>Wpływy z opłaty eksploatacyjnej</t>
  </si>
  <si>
    <t>wg zadań</t>
  </si>
  <si>
    <t>Wpływy z innych opłat stanowiących dochody jednostek samorządu terytorialnego na podstawie ustaw</t>
  </si>
  <si>
    <t xml:space="preserve">                        Budżet  (zł)</t>
  </si>
  <si>
    <t>Zespoły do spraw orzekania o niepełnosprawności</t>
  </si>
  <si>
    <t>Oczyszczanie miast i wsi</t>
  </si>
  <si>
    <t>Wpływy do budżetu części zysku gospodarstwa pomocniczego</t>
  </si>
  <si>
    <t>Dotacje celowe otrzymane z budżetu państwa na zadania bieżące realizowane przez gminę na podstawie porozumień z organami administracji rządowej</t>
  </si>
  <si>
    <t>63003</t>
  </si>
  <si>
    <t>Zadania w zakresie upowszechniania turystyki</t>
  </si>
  <si>
    <t>75416</t>
  </si>
  <si>
    <t>Straż Miejska</t>
  </si>
  <si>
    <t>400</t>
  </si>
  <si>
    <t>13.1</t>
  </si>
  <si>
    <t>13.2</t>
  </si>
  <si>
    <t>13.3</t>
  </si>
  <si>
    <t>15.1</t>
  </si>
  <si>
    <t>15.2</t>
  </si>
  <si>
    <t>usługi dezynfekcyjne</t>
  </si>
  <si>
    <t>MIEJSKA BIBLIOTEKA PUBLICZNA</t>
  </si>
  <si>
    <t>Dotacje celowe otrzymane z budżetu państwa na realizację inwestycji i zakupów inwestycyjnych własnych gmin (związków gmin)</t>
  </si>
  <si>
    <t>Tabela nr 5</t>
  </si>
  <si>
    <t>75615</t>
  </si>
  <si>
    <t>Zakład Gospodarki Mieszkaniowej</t>
  </si>
  <si>
    <t xml:space="preserve">Zespoły do spraw orzekania
o niepełnosprawności </t>
  </si>
  <si>
    <t>BEZPIECZEŃSTWO PUBLICZNE 
I OCHRONA PRZECIWPOŻAROWA</t>
  </si>
  <si>
    <t>3.</t>
  </si>
  <si>
    <t>60041</t>
  </si>
  <si>
    <t>Infrastruktura portowa</t>
  </si>
  <si>
    <t>Wpływy z innych lokalnych opłat pobieranych przez jednostki samorządu terytorialnego na podstawie odrębnych ustaw</t>
  </si>
  <si>
    <t>90020</t>
  </si>
  <si>
    <t>Wpływy i wydatki związane z gromadzeniem środków z opłat produktowych</t>
  </si>
  <si>
    <t>Wpływy z opłaty produktowej</t>
  </si>
  <si>
    <t>4.</t>
  </si>
  <si>
    <t>5.</t>
  </si>
  <si>
    <t>6.</t>
  </si>
  <si>
    <t>9.</t>
  </si>
  <si>
    <t>- inne źródła</t>
  </si>
  <si>
    <t>10.</t>
  </si>
  <si>
    <t>12.</t>
  </si>
  <si>
    <t>13.</t>
  </si>
  <si>
    <t>15.</t>
  </si>
  <si>
    <t>16.</t>
  </si>
  <si>
    <t>17.</t>
  </si>
  <si>
    <t>18.</t>
  </si>
  <si>
    <t>2910</t>
  </si>
  <si>
    <t>Wpływy ze zwrotów dotacji wykorzystanych niezgodnie z przeznaczeniem lub pobranych w nadmiernej wysokości</t>
  </si>
  <si>
    <t>19.</t>
  </si>
  <si>
    <t>20.</t>
  </si>
  <si>
    <t>21.</t>
  </si>
  <si>
    <t>22.</t>
  </si>
  <si>
    <t xml:space="preserve">    - od działalności gospodarczej osób fizycznych, 
      opłacany w formie karty podatkowej</t>
  </si>
  <si>
    <t>§282</t>
  </si>
  <si>
    <t>§283</t>
  </si>
  <si>
    <t>1. Dotacje przedmiotowe (§ 2650 - zakłady budżetowe)</t>
  </si>
  <si>
    <t>§232</t>
  </si>
  <si>
    <t>§258</t>
  </si>
  <si>
    <t>§259</t>
  </si>
  <si>
    <t>Różnica bieżące</t>
  </si>
  <si>
    <t>- wydatki jednostek budżetowych</t>
  </si>
  <si>
    <t xml:space="preserve">   - wydatki związane z realizacją zadań statutowych</t>
  </si>
  <si>
    <t>- dotacje i subwencje</t>
  </si>
  <si>
    <t>Wydatki majątkowe</t>
  </si>
  <si>
    <t>- pozostałe wydatki majątkowe</t>
  </si>
  <si>
    <t>- inwestycje</t>
  </si>
  <si>
    <t>Działania merytoryczne</t>
  </si>
  <si>
    <t>Projekty unijne</t>
  </si>
  <si>
    <t>- w tym środki na realizację projektów unijnych</t>
  </si>
  <si>
    <t>Wydatki na realizację zadan zleconych</t>
  </si>
  <si>
    <t>materiały laboratoryjne</t>
  </si>
  <si>
    <t>2.16</t>
  </si>
  <si>
    <t>opał (olej opałowy)</t>
  </si>
  <si>
    <t>usługi serwisowe</t>
  </si>
  <si>
    <t>usługi prawno-rozliczeniowe</t>
  </si>
  <si>
    <t>dzierżawa pościeli</t>
  </si>
  <si>
    <t>remonty ( wtym RTG Dąbrowskiego)</t>
  </si>
  <si>
    <t>dzierżawa analizatora</t>
  </si>
  <si>
    <t>eksploatacja przyłącza (RTG Dąbrowskiego)</t>
  </si>
  <si>
    <t>4.22</t>
  </si>
  <si>
    <t>4.23</t>
  </si>
  <si>
    <t>4.24</t>
  </si>
  <si>
    <t>4.25</t>
  </si>
  <si>
    <t>4.26</t>
  </si>
  <si>
    <t>- świadczenia na rzecz osób fizycznych</t>
  </si>
  <si>
    <t>Wybory Prezydenta Rzeczypospolitej Polskiej</t>
  </si>
  <si>
    <t>- obsługa długu publicznego</t>
  </si>
  <si>
    <t>80105</t>
  </si>
  <si>
    <t>Przedszkola specjalne</t>
  </si>
  <si>
    <t>- dotacje</t>
  </si>
  <si>
    <t>Zadania w zakresie przeciwdziałania przemocy w rodzinie</t>
  </si>
  <si>
    <t>- wydatki jednostek pomocniczych</t>
  </si>
  <si>
    <t>- programy unijne</t>
  </si>
  <si>
    <t>Różnica majątkowe</t>
  </si>
  <si>
    <t>Warsztaty Terapii Zajęciowej</t>
  </si>
  <si>
    <t>§265</t>
  </si>
  <si>
    <t>§254</t>
  </si>
  <si>
    <t>§248</t>
  </si>
  <si>
    <t>§256</t>
  </si>
  <si>
    <t>§621</t>
  </si>
  <si>
    <t>§622</t>
  </si>
  <si>
    <t>wpływy z przekształcenia i sprzedaży nieruchomości i składników majątkowych</t>
  </si>
  <si>
    <t>DOTACJE INWESTYCYJNE</t>
  </si>
  <si>
    <t>Inne wydatki osobowe</t>
  </si>
  <si>
    <t>§617</t>
  </si>
  <si>
    <t>Zakupy inwestycyjne dla Policji</t>
  </si>
  <si>
    <t>Współfinansowanie programów i projektów realizowanych ze środków z funduszy strukturalnych, Funduszu Spójności, Europejskiego Funduszu Rybackiego oraz z funduszy unijnych finansujących Wspólną Politykę Rolną</t>
  </si>
  <si>
    <t>Środki na utrzymanie rzecznych przepraw promowych oraz na remonty, utrzymanie, ochronę i zarządzanie drogami krajowymi i wojewódzkimi w granicach miast na prawach powiatu</t>
  </si>
  <si>
    <t>2008-2010</t>
  </si>
  <si>
    <t>85404</t>
  </si>
  <si>
    <t>Wczesne wspomaganie rozwoju dziecka</t>
  </si>
  <si>
    <t>PRZENIESIENIA</t>
  </si>
  <si>
    <t>ZMIANY DOKONANE W DOCHODACH I WYDATKACH</t>
  </si>
  <si>
    <t>WYTWARZANIE I ZAOPATRYWANIE W ENERGIĘ ELEKTRYCZNĄ, GAZ I WODĘ</t>
  </si>
  <si>
    <t>Licea ogólnokształcące</t>
  </si>
  <si>
    <t>ZACIENIONE  SĄ PRZENIESIENIA</t>
  </si>
  <si>
    <t>§ 963</t>
  </si>
  <si>
    <t>a)</t>
  </si>
  <si>
    <t>b)</t>
  </si>
  <si>
    <t>odszkodowanie za zalanie pomieszczeń</t>
  </si>
  <si>
    <t>Spłaty pożyczek otrzymanych na finansowanie zadań realizowanych z udziałem środków pochodzących z budżetu Unii Europejskiej</t>
  </si>
  <si>
    <t>3. Udziały w podatkach stanowiących dochód budżetu 
    państwa</t>
  </si>
  <si>
    <t xml:space="preserve">  c) na zadania realizowane na podstawie porozumień 
      z organami administracji rządowej</t>
  </si>
  <si>
    <t>7.</t>
  </si>
  <si>
    <t>8.</t>
  </si>
  <si>
    <t>11.</t>
  </si>
  <si>
    <t>14.</t>
  </si>
  <si>
    <t>Źródła pokrycia (1-2)</t>
  </si>
  <si>
    <t>Odsetki od nieterminowych wpłat z tytułu podatków i opłat</t>
  </si>
  <si>
    <t>wkład własny Beneficjenta</t>
  </si>
  <si>
    <t>DOCHODY</t>
  </si>
  <si>
    <t>WYDATKI</t>
  </si>
  <si>
    <t>PRZYCHODY</t>
  </si>
  <si>
    <t>ROZCHODY</t>
  </si>
  <si>
    <t>Wpływy z opłaty uzdrowiskowej, pobieranej w gminach posiadających status gminy uzdrowiskowej</t>
  </si>
  <si>
    <t>Wpływy z opłat za zarząd, użytkowanie i użytkowanie wieczyste nieruchomości</t>
  </si>
  <si>
    <t>Podatek od działalności gospodarczej osób fizycznych, opłacany w formie karty podatkowej</t>
  </si>
  <si>
    <t>Udziały powiatów w podatkach stanowiących dochód budżetu państwa</t>
  </si>
  <si>
    <t>01005</t>
  </si>
  <si>
    <t>2110</t>
  </si>
  <si>
    <t>Prace geodezyjno-urządzeniowe na potrzeby rolnictwa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</si>
</sst>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_ ;\-#,##0\ "/>
    <numFmt numFmtId="166" formatCode="#,##0\ &quot;zł&quot;"/>
    <numFmt numFmtId="167" formatCode="0.E+00"/>
    <numFmt numFmtId="168" formatCode="00\-000"/>
    <numFmt numFmtId="169" formatCode="0.0"/>
    <numFmt numFmtId="170" formatCode="0.0000"/>
    <numFmt numFmtId="171" formatCode="0.000"/>
    <numFmt numFmtId="172" formatCode="#,##0.0\ _z_ł"/>
    <numFmt numFmtId="173" formatCode="0.00000"/>
    <numFmt numFmtId="174" formatCode="#,##0.0"/>
    <numFmt numFmtId="175" formatCode="_-* #,##0\ _z_ł_-;\-* #,##0\ _z_ł_-;_-* &quot;-&quot;??\ _z_ł_-;_-@_-"/>
    <numFmt numFmtId="176" formatCode="#,##0.00_ ;\-#,##0.00\ "/>
    <numFmt numFmtId="177" formatCode="#,##0.00\ &quot;zł&quot;"/>
    <numFmt numFmtId="178" formatCode="#,##0.000"/>
    <numFmt numFmtId="179" formatCode="#,##0.0000"/>
    <numFmt numFmtId="180" formatCode="#,##0.000_ ;\-#,##0.000\ "/>
    <numFmt numFmtId="181" formatCode="#,##0.0_ ;\-#,##0.0\ "/>
    <numFmt numFmtId="182" formatCode="#,##0.0000_ ;\-#,##0.0000\ "/>
    <numFmt numFmtId="183" formatCode="_-* #,##0.000\ _z_ł_-;\-* #,##0.000\ _z_ł_-;_-* &quot;-&quot;??\ _z_ł_-;_-@_-"/>
    <numFmt numFmtId="184" formatCode="_-* #,##0.0000\ _z_ł_-;\-* #,##0.0000\ _z_ł_-;_-* &quot;-&quot;??\ _z_ł_-;_-@_-"/>
    <numFmt numFmtId="185" formatCode="_-* #,##0.00000\ _z_ł_-;\-* #,##0.00000\ _z_ł_-;_-* &quot;-&quot;??\ _z_ł_-;_-@_-"/>
    <numFmt numFmtId="186" formatCode="_-* #,##0.0\ _z_ł_-;\-* #,##0.0\ _z_ł_-;_-* &quot;-&quot;??\ _z_ł_-;_-@_-"/>
    <numFmt numFmtId="187" formatCode="_-* #,##0.000\ &quot;zł&quot;_-;\-* #,##0.000\ &quot;zł&quot;_-;_-* &quot;-&quot;??\ &quot;zł&quot;_-;_-@_-"/>
    <numFmt numFmtId="188" formatCode="_-* #,##0.0\ &quot;zł&quot;_-;\-* #,##0.0\ &quot;zł&quot;_-;_-* &quot;-&quot;??\ &quot;zł&quot;_-;_-@_-"/>
    <numFmt numFmtId="189" formatCode="_-* #,##0\ &quot;zł&quot;_-;\-* #,##0\ &quot;zł&quot;_-;_-* &quot;-&quot;??\ &quot;zł&quot;_-;_-@_-"/>
    <numFmt numFmtId="190" formatCode="&quot;Tak&quot;;&quot;Tak&quot;;&quot;Nie&quot;"/>
    <numFmt numFmtId="191" formatCode="&quot;Prawda&quot;;&quot;Prawda&quot;;&quot;Fałsz&quot;"/>
    <numFmt numFmtId="192" formatCode="&quot;Włączone&quot;;&quot;Włączone&quot;;&quot;Wyłączone&quot;"/>
    <numFmt numFmtId="193" formatCode="[$€-2]\ #,##0.00_);[Red]\([$€-2]\ #,##0.00\)"/>
    <numFmt numFmtId="194" formatCode="_-* #,##0.000\ _z_ł_-;\-* #,##0.000\ _z_ł_-;_-* &quot;-&quot;???\ _z_ł_-;_-@_-"/>
    <numFmt numFmtId="195" formatCode="_-* #,##0.0\ _z_ł_-;\-* #,##0.0\ _z_ł_-;_-* &quot;-&quot;?\ _z_ł_-;_-@_-"/>
    <numFmt numFmtId="196" formatCode="0.000000"/>
    <numFmt numFmtId="197" formatCode="0.00000000"/>
    <numFmt numFmtId="198" formatCode="0.0000000"/>
    <numFmt numFmtId="199" formatCode="0.000000000"/>
    <numFmt numFmtId="200" formatCode="0.0000000000"/>
    <numFmt numFmtId="201" formatCode="0.00000000000"/>
    <numFmt numFmtId="202" formatCode="0.000000000000"/>
    <numFmt numFmtId="203" formatCode="#,##0.00\ _z_ł"/>
    <numFmt numFmtId="204" formatCode="0.0%"/>
    <numFmt numFmtId="205" formatCode="_-* #,##0\ _z_ł_-;\-* #,##0\ _z_ł_-;_-* \-??\ _z_ł_-;_-@_-"/>
    <numFmt numFmtId="206" formatCode="_-* #,##0.00\ _z_ł_-;\-* #,##0.00\ _z_ł_-;_-* \-??\ _z_ł_-;_-@_-"/>
  </numFmts>
  <fonts count="64">
    <font>
      <sz val="10"/>
      <name val="Arial CE"/>
      <family val="0"/>
    </font>
    <font>
      <sz val="8"/>
      <name val="Arial CE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10"/>
      <color indexed="18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8"/>
      <name val="Times New Roman"/>
      <family val="1"/>
    </font>
    <font>
      <b/>
      <i/>
      <u val="single"/>
      <sz val="10"/>
      <name val="Times New Roman"/>
      <family val="1"/>
    </font>
    <font>
      <b/>
      <i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541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" fontId="11" fillId="0" borderId="10" xfId="0" applyNumberFormat="1" applyFont="1" applyFill="1" applyBorder="1" applyAlignment="1">
      <alignment horizontal="right" vertical="top"/>
    </xf>
    <xf numFmtId="169" fontId="11" fillId="0" borderId="11" xfId="0" applyNumberFormat="1" applyFont="1" applyFill="1" applyBorder="1" applyAlignment="1">
      <alignment horizontal="right" vertical="top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9" fillId="0" borderId="12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center" vertical="top"/>
    </xf>
    <xf numFmtId="49" fontId="9" fillId="0" borderId="13" xfId="0" applyNumberFormat="1" applyFont="1" applyFill="1" applyBorder="1" applyAlignment="1">
      <alignment horizontal="left" vertical="top"/>
    </xf>
    <xf numFmtId="4" fontId="9" fillId="0" borderId="10" xfId="0" applyNumberFormat="1" applyFont="1" applyFill="1" applyBorder="1" applyAlignment="1">
      <alignment horizontal="right" vertical="top"/>
    </xf>
    <xf numFmtId="169" fontId="9" fillId="0" borderId="14" xfId="0" applyNumberFormat="1" applyFont="1" applyFill="1" applyBorder="1" applyAlignment="1">
      <alignment horizontal="right" vertical="top"/>
    </xf>
    <xf numFmtId="0" fontId="9" fillId="0" borderId="0" xfId="0" applyFont="1" applyAlignment="1">
      <alignment horizontal="center" vertical="top"/>
    </xf>
    <xf numFmtId="49" fontId="10" fillId="0" borderId="12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vertical="top" wrapText="1"/>
    </xf>
    <xf numFmtId="4" fontId="10" fillId="0" borderId="10" xfId="0" applyNumberFormat="1" applyFont="1" applyFill="1" applyBorder="1" applyAlignment="1">
      <alignment horizontal="right" vertical="top"/>
    </xf>
    <xf numFmtId="169" fontId="10" fillId="0" borderId="14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vertical="top" wrapText="1"/>
    </xf>
    <xf numFmtId="169" fontId="11" fillId="0" borderId="14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0" fontId="9" fillId="0" borderId="0" xfId="0" applyFont="1" applyAlignment="1">
      <alignment vertical="top"/>
    </xf>
    <xf numFmtId="49" fontId="10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vertical="top"/>
    </xf>
    <xf numFmtId="4" fontId="10" fillId="0" borderId="10" xfId="0" applyNumberFormat="1" applyFont="1" applyFill="1" applyBorder="1" applyAlignment="1">
      <alignment vertical="top"/>
    </xf>
    <xf numFmtId="0" fontId="10" fillId="0" borderId="0" xfId="0" applyFont="1" applyAlignment="1">
      <alignment vertical="top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/>
    </xf>
    <xf numFmtId="4" fontId="11" fillId="0" borderId="1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49" fontId="11" fillId="0" borderId="10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/>
    </xf>
    <xf numFmtId="4" fontId="11" fillId="0" borderId="15" xfId="0" applyNumberFormat="1" applyFont="1" applyFill="1" applyBorder="1" applyAlignment="1">
      <alignment vertical="top"/>
    </xf>
    <xf numFmtId="169" fontId="10" fillId="0" borderId="11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>
      <alignment vertical="top" wrapText="1"/>
    </xf>
    <xf numFmtId="4" fontId="9" fillId="0" borderId="0" xfId="0" applyNumberFormat="1" applyFont="1" applyBorder="1" applyAlignment="1">
      <alignment vertical="top"/>
    </xf>
    <xf numFmtId="4" fontId="9" fillId="0" borderId="10" xfId="0" applyNumberFormat="1" applyFont="1" applyBorder="1" applyAlignment="1">
      <alignment vertical="top"/>
    </xf>
    <xf numFmtId="49" fontId="10" fillId="0" borderId="15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vertical="top"/>
    </xf>
    <xf numFmtId="4" fontId="11" fillId="0" borderId="13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" fontId="9" fillId="33" borderId="16" xfId="0" applyNumberFormat="1" applyFont="1" applyFill="1" applyBorder="1" applyAlignment="1">
      <alignment horizontal="right" vertical="center"/>
    </xf>
    <xf numFmtId="169" fontId="9" fillId="33" borderId="17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top"/>
    </xf>
    <xf numFmtId="49" fontId="10" fillId="0" borderId="18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34" borderId="0" xfId="0" applyFont="1" applyFill="1" applyAlignment="1">
      <alignment vertical="center"/>
    </xf>
    <xf numFmtId="4" fontId="6" fillId="34" borderId="20" xfId="0" applyNumberFormat="1" applyFont="1" applyFill="1" applyBorder="1" applyAlignment="1">
      <alignment vertical="center"/>
    </xf>
    <xf numFmtId="4" fontId="6" fillId="34" borderId="21" xfId="0" applyNumberFormat="1" applyFont="1" applyFill="1" applyBorder="1" applyAlignment="1">
      <alignment vertical="center"/>
    </xf>
    <xf numFmtId="0" fontId="6" fillId="35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10" fillId="0" borderId="0" xfId="0" applyNumberFormat="1" applyFont="1" applyAlignment="1">
      <alignment/>
    </xf>
    <xf numFmtId="49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34" borderId="22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49" fontId="12" fillId="34" borderId="24" xfId="0" applyNumberFormat="1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8" xfId="0" applyNumberFormat="1" applyFont="1" applyFill="1" applyBorder="1" applyAlignment="1">
      <alignment vertical="top"/>
    </xf>
    <xf numFmtId="0" fontId="10" fillId="0" borderId="15" xfId="0" applyFont="1" applyFill="1" applyBorder="1" applyAlignment="1">
      <alignment vertical="top"/>
    </xf>
    <xf numFmtId="0" fontId="10" fillId="0" borderId="15" xfId="0" applyFont="1" applyFill="1" applyBorder="1" applyAlignment="1">
      <alignment horizontal="right" vertical="top"/>
    </xf>
    <xf numFmtId="169" fontId="10" fillId="0" borderId="15" xfId="0" applyNumberFormat="1" applyFont="1" applyFill="1" applyBorder="1" applyAlignment="1">
      <alignment horizontal="right" vertical="top"/>
    </xf>
    <xf numFmtId="0" fontId="10" fillId="0" borderId="15" xfId="0" applyFont="1" applyFill="1" applyBorder="1" applyAlignment="1">
      <alignment vertical="top" wrapText="1"/>
    </xf>
    <xf numFmtId="3" fontId="10" fillId="0" borderId="15" xfId="0" applyNumberFormat="1" applyFont="1" applyFill="1" applyBorder="1" applyAlignment="1">
      <alignment vertical="top" wrapText="1"/>
    </xf>
    <xf numFmtId="49" fontId="10" fillId="0" borderId="24" xfId="0" applyNumberFormat="1" applyFont="1" applyFill="1" applyBorder="1" applyAlignment="1">
      <alignment horizontal="center" vertical="top"/>
    </xf>
    <xf numFmtId="0" fontId="10" fillId="0" borderId="25" xfId="0" applyFont="1" applyFill="1" applyBorder="1" applyAlignment="1">
      <alignment vertical="top"/>
    </xf>
    <xf numFmtId="4" fontId="10" fillId="0" borderId="25" xfId="0" applyNumberFormat="1" applyFont="1" applyFill="1" applyBorder="1" applyAlignment="1">
      <alignment vertical="top"/>
    </xf>
    <xf numFmtId="49" fontId="10" fillId="33" borderId="18" xfId="0" applyNumberFormat="1" applyFont="1" applyFill="1" applyBorder="1" applyAlignment="1">
      <alignment horizontal="left" vertical="top"/>
    </xf>
    <xf numFmtId="49" fontId="10" fillId="33" borderId="0" xfId="0" applyNumberFormat="1" applyFont="1" applyFill="1" applyBorder="1" applyAlignment="1">
      <alignment horizontal="left" vertical="top"/>
    </xf>
    <xf numFmtId="4" fontId="10" fillId="33" borderId="15" xfId="0" applyNumberFormat="1" applyFont="1" applyFill="1" applyBorder="1" applyAlignment="1">
      <alignment vertical="top"/>
    </xf>
    <xf numFmtId="169" fontId="10" fillId="33" borderId="15" xfId="0" applyNumberFormat="1" applyFont="1" applyFill="1" applyBorder="1" applyAlignment="1">
      <alignment horizontal="right" vertical="top"/>
    </xf>
    <xf numFmtId="0" fontId="9" fillId="33" borderId="24" xfId="0" applyFont="1" applyFill="1" applyBorder="1" applyAlignment="1">
      <alignment horizontal="right" vertical="top"/>
    </xf>
    <xf numFmtId="0" fontId="9" fillId="33" borderId="27" xfId="0" applyFont="1" applyFill="1" applyBorder="1" applyAlignment="1">
      <alignment horizontal="left" vertical="top"/>
    </xf>
    <xf numFmtId="4" fontId="9" fillId="33" borderId="25" xfId="0" applyNumberFormat="1" applyFont="1" applyFill="1" applyBorder="1" applyAlignment="1">
      <alignment vertical="top"/>
    </xf>
    <xf numFmtId="169" fontId="9" fillId="33" borderId="25" xfId="0" applyNumberFormat="1" applyFont="1" applyFill="1" applyBorder="1" applyAlignment="1">
      <alignment horizontal="right" vertical="top"/>
    </xf>
    <xf numFmtId="0" fontId="11" fillId="0" borderId="18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4" fontId="11" fillId="0" borderId="15" xfId="0" applyNumberFormat="1" applyFont="1" applyFill="1" applyBorder="1" applyAlignment="1">
      <alignment vertical="center"/>
    </xf>
    <xf numFmtId="169" fontId="11" fillId="0" borderId="15" xfId="0" applyNumberFormat="1" applyFont="1" applyFill="1" applyBorder="1" applyAlignment="1">
      <alignment horizontal="right" vertical="center"/>
    </xf>
    <xf numFmtId="49" fontId="11" fillId="0" borderId="18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left" vertical="top"/>
    </xf>
    <xf numFmtId="169" fontId="11" fillId="0" borderId="15" xfId="0" applyNumberFormat="1" applyFont="1" applyFill="1" applyBorder="1" applyAlignment="1">
      <alignment horizontal="right" vertical="top"/>
    </xf>
    <xf numFmtId="49" fontId="11" fillId="0" borderId="0" xfId="0" applyNumberFormat="1" applyFont="1" applyFill="1" applyBorder="1" applyAlignment="1">
      <alignment horizontal="left" vertical="top" wrapText="1"/>
    </xf>
    <xf numFmtId="169" fontId="13" fillId="0" borderId="15" xfId="0" applyNumberFormat="1" applyFont="1" applyFill="1" applyBorder="1" applyAlignment="1">
      <alignment horizontal="right" vertical="top"/>
    </xf>
    <xf numFmtId="49" fontId="11" fillId="0" borderId="24" xfId="0" applyNumberFormat="1" applyFont="1" applyFill="1" applyBorder="1" applyAlignment="1">
      <alignment horizontal="right" vertical="top"/>
    </xf>
    <xf numFmtId="49" fontId="11" fillId="0" borderId="27" xfId="0" applyNumberFormat="1" applyFont="1" applyFill="1" applyBorder="1" applyAlignment="1">
      <alignment horizontal="left" vertical="top" wrapText="1"/>
    </xf>
    <xf numFmtId="4" fontId="11" fillId="0" borderId="25" xfId="0" applyNumberFormat="1" applyFont="1" applyFill="1" applyBorder="1" applyAlignment="1">
      <alignment vertical="top"/>
    </xf>
    <xf numFmtId="169" fontId="11" fillId="0" borderId="25" xfId="0" applyNumberFormat="1" applyFont="1" applyFill="1" applyBorder="1" applyAlignment="1">
      <alignment horizontal="right" vertical="top"/>
    </xf>
    <xf numFmtId="49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 vertical="center"/>
    </xf>
    <xf numFmtId="164" fontId="10" fillId="0" borderId="15" xfId="0" applyNumberFormat="1" applyFont="1" applyFill="1" applyBorder="1" applyAlignment="1">
      <alignment vertical="top"/>
    </xf>
    <xf numFmtId="0" fontId="10" fillId="0" borderId="11" xfId="0" applyFont="1" applyFill="1" applyBorder="1" applyAlignment="1">
      <alignment horizontal="right" vertical="top"/>
    </xf>
    <xf numFmtId="169" fontId="10" fillId="33" borderId="11" xfId="0" applyNumberFormat="1" applyFont="1" applyFill="1" applyBorder="1" applyAlignment="1">
      <alignment horizontal="right" vertical="top"/>
    </xf>
    <xf numFmtId="169" fontId="9" fillId="33" borderId="26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/>
    </xf>
    <xf numFmtId="169" fontId="11" fillId="0" borderId="11" xfId="0" applyNumberFormat="1" applyFont="1" applyFill="1" applyBorder="1" applyAlignment="1">
      <alignment horizontal="right" vertical="center"/>
    </xf>
    <xf numFmtId="4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69" fontId="11" fillId="0" borderId="26" xfId="0" applyNumberFormat="1" applyFont="1" applyFill="1" applyBorder="1" applyAlignment="1">
      <alignment horizontal="right" vertical="top"/>
    </xf>
    <xf numFmtId="4" fontId="10" fillId="0" borderId="0" xfId="0" applyNumberFormat="1" applyFont="1" applyBorder="1" applyAlignment="1">
      <alignment/>
    </xf>
    <xf numFmtId="169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center"/>
    </xf>
    <xf numFmtId="4" fontId="10" fillId="0" borderId="0" xfId="0" applyNumberFormat="1" applyFont="1" applyFill="1" applyAlignment="1">
      <alignment horizontal="right"/>
    </xf>
    <xf numFmtId="0" fontId="9" fillId="34" borderId="28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4" fontId="6" fillId="0" borderId="20" xfId="0" applyNumberFormat="1" applyFont="1" applyBorder="1" applyAlignment="1">
      <alignment vertical="center"/>
    </xf>
    <xf numFmtId="174" fontId="6" fillId="0" borderId="21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wrapText="1"/>
    </xf>
    <xf numFmtId="4" fontId="6" fillId="0" borderId="29" xfId="0" applyNumberFormat="1" applyFont="1" applyBorder="1" applyAlignment="1">
      <alignment vertical="center"/>
    </xf>
    <xf numFmtId="4" fontId="6" fillId="0" borderId="22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vertical="top" wrapText="1"/>
    </xf>
    <xf numFmtId="4" fontId="10" fillId="0" borderId="10" xfId="0" applyNumberFormat="1" applyFont="1" applyBorder="1" applyAlignment="1">
      <alignment vertical="top"/>
    </xf>
    <xf numFmtId="0" fontId="10" fillId="0" borderId="10" xfId="0" applyFont="1" applyFill="1" applyBorder="1" applyAlignment="1">
      <alignment horizontal="center" vertical="top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69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49" fontId="9" fillId="34" borderId="30" xfId="0" applyNumberFormat="1" applyFont="1" applyFill="1" applyBorder="1" applyAlignment="1">
      <alignment horizontal="center" vertical="center"/>
    </xf>
    <xf numFmtId="49" fontId="9" fillId="34" borderId="16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169" fontId="9" fillId="34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34" borderId="31" xfId="0" applyNumberFormat="1" applyFont="1" applyFill="1" applyBorder="1" applyAlignment="1">
      <alignment horizontal="center" vertical="center"/>
    </xf>
    <xf numFmtId="49" fontId="12" fillId="34" borderId="32" xfId="0" applyNumberFormat="1" applyFont="1" applyFill="1" applyBorder="1" applyAlignment="1">
      <alignment horizontal="center" vertical="center"/>
    </xf>
    <xf numFmtId="0" fontId="12" fillId="34" borderId="33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1" fontId="12" fillId="34" borderId="34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vertical="top"/>
    </xf>
    <xf numFmtId="49" fontId="9" fillId="0" borderId="12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vertical="top"/>
    </xf>
    <xf numFmtId="4" fontId="10" fillId="0" borderId="13" xfId="0" applyNumberFormat="1" applyFont="1" applyBorder="1" applyAlignment="1">
      <alignment vertical="top"/>
    </xf>
    <xf numFmtId="49" fontId="11" fillId="0" borderId="18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/>
    </xf>
    <xf numFmtId="49" fontId="11" fillId="0" borderId="15" xfId="0" applyNumberFormat="1" applyFont="1" applyBorder="1" applyAlignment="1">
      <alignment vertical="top"/>
    </xf>
    <xf numFmtId="4" fontId="11" fillId="0" borderId="15" xfId="0" applyNumberFormat="1" applyFont="1" applyBorder="1" applyAlignment="1">
      <alignment vertical="top"/>
    </xf>
    <xf numFmtId="49" fontId="10" fillId="0" borderId="10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vertical="top" wrapText="1"/>
    </xf>
    <xf numFmtId="169" fontId="9" fillId="0" borderId="14" xfId="0" applyNumberFormat="1" applyFont="1" applyBorder="1" applyAlignment="1">
      <alignment horizontal="right" vertical="top"/>
    </xf>
    <xf numFmtId="169" fontId="10" fillId="0" borderId="14" xfId="0" applyNumberFormat="1" applyFont="1" applyBorder="1" applyAlignment="1">
      <alignment horizontal="right" vertical="top"/>
    </xf>
    <xf numFmtId="169" fontId="11" fillId="0" borderId="14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top"/>
    </xf>
    <xf numFmtId="49" fontId="11" fillId="0" borderId="15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49" fontId="10" fillId="0" borderId="13" xfId="0" applyNumberFormat="1" applyFont="1" applyBorder="1" applyAlignment="1">
      <alignment vertical="top" wrapText="1"/>
    </xf>
    <xf numFmtId="4" fontId="11" fillId="0" borderId="13" xfId="0" applyNumberFormat="1" applyFont="1" applyBorder="1" applyAlignment="1">
      <alignment vertical="top"/>
    </xf>
    <xf numFmtId="0" fontId="10" fillId="0" borderId="13" xfId="0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49" fontId="11" fillId="0" borderId="13" xfId="0" applyNumberFormat="1" applyFont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/>
    </xf>
    <xf numFmtId="49" fontId="9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vertical="top"/>
    </xf>
    <xf numFmtId="49" fontId="9" fillId="0" borderId="15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49" fontId="10" fillId="0" borderId="15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11" fillId="0" borderId="13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vertical="top" wrapText="1"/>
    </xf>
    <xf numFmtId="4" fontId="10" fillId="0" borderId="13" xfId="0" applyNumberFormat="1" applyFont="1" applyFill="1" applyBorder="1" applyAlignment="1">
      <alignment vertical="top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center" vertical="top" wrapText="1"/>
    </xf>
    <xf numFmtId="4" fontId="11" fillId="0" borderId="36" xfId="0" applyNumberFormat="1" applyFont="1" applyFill="1" applyBorder="1" applyAlignment="1">
      <alignment vertical="top"/>
    </xf>
    <xf numFmtId="169" fontId="10" fillId="0" borderId="37" xfId="0" applyNumberFormat="1" applyFont="1" applyFill="1" applyBorder="1" applyAlignment="1">
      <alignment horizontal="right" vertical="top"/>
    </xf>
    <xf numFmtId="4" fontId="9" fillId="33" borderId="29" xfId="0" applyNumberFormat="1" applyFont="1" applyFill="1" applyBorder="1" applyAlignment="1">
      <alignment vertical="center"/>
    </xf>
    <xf numFmtId="169" fontId="9" fillId="33" borderId="38" xfId="0" applyNumberFormat="1" applyFont="1" applyFill="1" applyBorder="1" applyAlignment="1">
      <alignment horizontal="right" vertical="center"/>
    </xf>
    <xf numFmtId="0" fontId="9" fillId="33" borderId="0" xfId="0" applyFont="1" applyFill="1" applyAlignment="1">
      <alignment vertical="center"/>
    </xf>
    <xf numFmtId="0" fontId="9" fillId="0" borderId="0" xfId="0" applyFont="1" applyFill="1" applyAlignment="1">
      <alignment horizontal="center" vertical="top"/>
    </xf>
    <xf numFmtId="49" fontId="10" fillId="0" borderId="13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11" fillId="0" borderId="25" xfId="0" applyNumberFormat="1" applyFont="1" applyFill="1" applyBorder="1" applyAlignment="1">
      <alignment vertical="top" wrapText="1"/>
    </xf>
    <xf numFmtId="4" fontId="9" fillId="37" borderId="39" xfId="0" applyNumberFormat="1" applyFont="1" applyFill="1" applyBorder="1" applyAlignment="1">
      <alignment horizontal="center" vertical="center"/>
    </xf>
    <xf numFmtId="169" fontId="9" fillId="37" borderId="40" xfId="0" applyNumberFormat="1" applyFont="1" applyFill="1" applyBorder="1" applyAlignment="1">
      <alignment horizontal="right" vertical="center"/>
    </xf>
    <xf numFmtId="0" fontId="9" fillId="37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49" fontId="9" fillId="33" borderId="41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169" fontId="10" fillId="0" borderId="14" xfId="0" applyNumberFormat="1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4" fontId="9" fillId="33" borderId="16" xfId="0" applyNumberFormat="1" applyFont="1" applyFill="1" applyBorder="1" applyAlignment="1">
      <alignment vertical="center"/>
    </xf>
    <xf numFmtId="172" fontId="9" fillId="33" borderId="43" xfId="0" applyNumberFormat="1" applyFont="1" applyFill="1" applyBorder="1" applyAlignment="1">
      <alignment horizontal="right" vertical="center"/>
    </xf>
    <xf numFmtId="195" fontId="9" fillId="33" borderId="17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195" fontId="10" fillId="0" borderId="11" xfId="0" applyNumberFormat="1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4" fontId="11" fillId="0" borderId="10" xfId="0" applyNumberFormat="1" applyFont="1" applyBorder="1" applyAlignment="1">
      <alignment vertical="center"/>
    </xf>
    <xf numFmtId="195" fontId="11" fillId="0" borderId="11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 wrapText="1"/>
    </xf>
    <xf numFmtId="0" fontId="10" fillId="0" borderId="20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right" vertical="center"/>
    </xf>
    <xf numFmtId="174" fontId="10" fillId="0" borderId="21" xfId="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35" xfId="0" applyFont="1" applyBorder="1" applyAlignment="1">
      <alignment horizontal="center" vertical="center"/>
    </xf>
    <xf numFmtId="49" fontId="11" fillId="0" borderId="36" xfId="0" applyNumberFormat="1" applyFont="1" applyBorder="1" applyAlignment="1">
      <alignment vertical="center" wrapText="1"/>
    </xf>
    <xf numFmtId="0" fontId="11" fillId="0" borderId="32" xfId="0" applyFont="1" applyBorder="1" applyAlignment="1">
      <alignment horizontal="center" vertical="center"/>
    </xf>
    <xf numFmtId="4" fontId="11" fillId="0" borderId="36" xfId="0" applyNumberFormat="1" applyFont="1" applyBorder="1" applyAlignment="1">
      <alignment horizontal="right" vertical="center"/>
    </xf>
    <xf numFmtId="174" fontId="11" fillId="0" borderId="3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center" vertical="center"/>
    </xf>
    <xf numFmtId="0" fontId="12" fillId="34" borderId="32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9" fillId="33" borderId="44" xfId="0" applyFont="1" applyFill="1" applyBorder="1" applyAlignment="1">
      <alignment horizontal="center" vertical="center"/>
    </xf>
    <xf numFmtId="4" fontId="9" fillId="33" borderId="16" xfId="0" applyNumberFormat="1" applyFont="1" applyFill="1" applyBorder="1" applyAlignment="1">
      <alignment horizontal="right" vertical="center"/>
    </xf>
    <xf numFmtId="174" fontId="9" fillId="33" borderId="17" xfId="0" applyNumberFormat="1" applyFont="1" applyFill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left" vertical="center" wrapText="1"/>
    </xf>
    <xf numFmtId="0" fontId="10" fillId="0" borderId="46" xfId="0" applyFont="1" applyBorder="1" applyAlignment="1">
      <alignment horizontal="center" vertical="center"/>
    </xf>
    <xf numFmtId="4" fontId="10" fillId="0" borderId="46" xfId="0" applyNumberFormat="1" applyFont="1" applyBorder="1" applyAlignment="1">
      <alignment horizontal="right" vertical="center"/>
    </xf>
    <xf numFmtId="174" fontId="10" fillId="0" borderId="47" xfId="0" applyNumberFormat="1" applyFont="1" applyBorder="1" applyAlignment="1">
      <alignment horizontal="right" vertical="center"/>
    </xf>
    <xf numFmtId="4" fontId="11" fillId="0" borderId="35" xfId="0" applyNumberFormat="1" applyFont="1" applyBorder="1" applyAlignment="1">
      <alignment horizontal="center" vertical="center"/>
    </xf>
    <xf numFmtId="4" fontId="11" fillId="0" borderId="36" xfId="0" applyNumberFormat="1" applyFont="1" applyBorder="1" applyAlignment="1">
      <alignment vertical="center"/>
    </xf>
    <xf numFmtId="4" fontId="11" fillId="0" borderId="36" xfId="0" applyNumberFormat="1" applyFont="1" applyBorder="1" applyAlignment="1">
      <alignment horizontal="center" vertical="center"/>
    </xf>
    <xf numFmtId="174" fontId="11" fillId="0" borderId="26" xfId="0" applyNumberFormat="1" applyFont="1" applyBorder="1" applyAlignment="1">
      <alignment horizontal="right" vertical="center"/>
    </xf>
    <xf numFmtId="4" fontId="11" fillId="0" borderId="0" xfId="0" applyNumberFormat="1" applyFont="1" applyAlignment="1">
      <alignment vertical="center"/>
    </xf>
    <xf numFmtId="49" fontId="11" fillId="0" borderId="45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 wrapText="1"/>
    </xf>
    <xf numFmtId="49" fontId="11" fillId="0" borderId="29" xfId="0" applyNumberFormat="1" applyFont="1" applyBorder="1" applyAlignment="1">
      <alignment vertical="top" wrapText="1"/>
    </xf>
    <xf numFmtId="4" fontId="11" fillId="0" borderId="29" xfId="0" applyNumberFormat="1" applyFont="1" applyBorder="1" applyAlignment="1">
      <alignment vertical="top"/>
    </xf>
    <xf numFmtId="169" fontId="11" fillId="0" borderId="48" xfId="0" applyNumberFormat="1" applyFont="1" applyFill="1" applyBorder="1" applyAlignment="1">
      <alignment horizontal="right" vertical="top"/>
    </xf>
    <xf numFmtId="49" fontId="11" fillId="0" borderId="22" xfId="0" applyNumberFormat="1" applyFont="1" applyBorder="1" applyAlignment="1">
      <alignment horizontal="center" vertical="top"/>
    </xf>
    <xf numFmtId="49" fontId="11" fillId="0" borderId="22" xfId="0" applyNumberFormat="1" applyFont="1" applyBorder="1" applyAlignment="1">
      <alignment horizontal="center" vertical="top" wrapText="1"/>
    </xf>
    <xf numFmtId="4" fontId="11" fillId="0" borderId="22" xfId="0" applyNumberFormat="1" applyFont="1" applyBorder="1" applyAlignment="1">
      <alignment vertical="top"/>
    </xf>
    <xf numFmtId="169" fontId="11" fillId="0" borderId="38" xfId="0" applyNumberFormat="1" applyFont="1" applyFill="1" applyBorder="1" applyAlignment="1">
      <alignment horizontal="right" vertical="top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vertical="top" wrapText="1"/>
    </xf>
    <xf numFmtId="49" fontId="11" fillId="0" borderId="22" xfId="0" applyNumberFormat="1" applyFont="1" applyBorder="1" applyAlignment="1">
      <alignment vertical="top" wrapText="1"/>
    </xf>
    <xf numFmtId="0" fontId="10" fillId="0" borderId="0" xfId="0" applyFont="1" applyFill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vertical="top"/>
    </xf>
    <xf numFmtId="4" fontId="10" fillId="0" borderId="0" xfId="0" applyNumberFormat="1" applyFont="1" applyAlignment="1">
      <alignment vertical="center"/>
    </xf>
    <xf numFmtId="169" fontId="10" fillId="0" borderId="0" xfId="0" applyNumberFormat="1" applyFont="1" applyAlignment="1">
      <alignment horizontal="right" vertical="top"/>
    </xf>
    <xf numFmtId="4" fontId="10" fillId="0" borderId="0" xfId="0" applyNumberFormat="1" applyFont="1" applyBorder="1" applyAlignment="1">
      <alignment horizontal="right" vertical="top"/>
    </xf>
    <xf numFmtId="49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right" vertical="top"/>
    </xf>
    <xf numFmtId="4" fontId="11" fillId="0" borderId="0" xfId="0" applyNumberFormat="1" applyFont="1" applyBorder="1" applyAlignment="1">
      <alignment vertical="top"/>
    </xf>
    <xf numFmtId="4" fontId="11" fillId="0" borderId="0" xfId="0" applyNumberFormat="1" applyFont="1" applyAlignment="1">
      <alignment vertical="top"/>
    </xf>
    <xf numFmtId="169" fontId="11" fillId="0" borderId="0" xfId="0" applyNumberFormat="1" applyFont="1" applyAlignment="1">
      <alignment horizontal="right" vertical="top"/>
    </xf>
    <xf numFmtId="3" fontId="10" fillId="0" borderId="0" xfId="0" applyNumberFormat="1" applyFont="1" applyBorder="1" applyAlignment="1">
      <alignment vertical="top"/>
    </xf>
    <xf numFmtId="165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 vertical="top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9" fillId="34" borderId="30" xfId="0" applyFont="1" applyFill="1" applyBorder="1" applyAlignment="1" applyProtection="1">
      <alignment horizontal="center" vertical="center"/>
      <protection hidden="1"/>
    </xf>
    <xf numFmtId="0" fontId="9" fillId="34" borderId="43" xfId="0" applyFont="1" applyFill="1" applyBorder="1" applyAlignment="1" applyProtection="1">
      <alignment horizontal="center" vertical="center"/>
      <protection hidden="1"/>
    </xf>
    <xf numFmtId="0" fontId="9" fillId="34" borderId="28" xfId="0" applyFont="1" applyFill="1" applyBorder="1" applyAlignment="1" applyProtection="1">
      <alignment horizontal="center" vertical="center"/>
      <protection hidden="1"/>
    </xf>
    <xf numFmtId="0" fontId="9" fillId="34" borderId="28" xfId="0" applyFont="1" applyFill="1" applyBorder="1" applyAlignment="1" applyProtection="1">
      <alignment horizontal="center" vertical="center" wrapText="1"/>
      <protection hidden="1"/>
    </xf>
    <xf numFmtId="0" fontId="9" fillId="34" borderId="17" xfId="0" applyFont="1" applyFill="1" applyBorder="1" applyAlignment="1" applyProtection="1">
      <alignment horizontal="center" vertical="center" wrapText="1"/>
      <protection hidden="1"/>
    </xf>
    <xf numFmtId="0" fontId="10" fillId="34" borderId="31" xfId="0" applyFont="1" applyFill="1" applyBorder="1" applyAlignment="1" applyProtection="1">
      <alignment horizontal="center"/>
      <protection hidden="1"/>
    </xf>
    <xf numFmtId="0" fontId="10" fillId="34" borderId="49" xfId="0" applyFont="1" applyFill="1" applyBorder="1" applyAlignment="1" applyProtection="1">
      <alignment horizontal="center"/>
      <protection hidden="1"/>
    </xf>
    <xf numFmtId="0" fontId="10" fillId="34" borderId="33" xfId="0" applyFont="1" applyFill="1" applyBorder="1" applyAlignment="1" applyProtection="1">
      <alignment horizontal="center"/>
      <protection hidden="1"/>
    </xf>
    <xf numFmtId="0" fontId="10" fillId="34" borderId="25" xfId="0" applyFont="1" applyFill="1" applyBorder="1" applyAlignment="1" applyProtection="1">
      <alignment horizontal="center"/>
      <protection hidden="1"/>
    </xf>
    <xf numFmtId="0" fontId="10" fillId="34" borderId="34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49" fontId="10" fillId="0" borderId="12" xfId="0" applyNumberFormat="1" applyFont="1" applyBorder="1" applyAlignment="1" applyProtection="1">
      <alignment horizontal="center"/>
      <protection hidden="1"/>
    </xf>
    <xf numFmtId="4" fontId="10" fillId="0" borderId="0" xfId="0" applyNumberFormat="1" applyFont="1" applyBorder="1" applyAlignment="1" applyProtection="1">
      <alignment horizontal="center"/>
      <protection hidden="1"/>
    </xf>
    <xf numFmtId="4" fontId="10" fillId="0" borderId="15" xfId="0" applyNumberFormat="1" applyFont="1" applyBorder="1" applyAlignment="1" applyProtection="1">
      <alignment horizontal="center"/>
      <protection hidden="1"/>
    </xf>
    <xf numFmtId="0" fontId="10" fillId="0" borderId="11" xfId="0" applyFont="1" applyBorder="1" applyAlignment="1" applyProtection="1">
      <alignment horizontal="center"/>
      <protection hidden="1"/>
    </xf>
    <xf numFmtId="49" fontId="9" fillId="0" borderId="12" xfId="0" applyNumberFormat="1" applyFont="1" applyBorder="1" applyAlignment="1" applyProtection="1">
      <alignment/>
      <protection hidden="1"/>
    </xf>
    <xf numFmtId="4" fontId="9" fillId="0" borderId="10" xfId="0" applyNumberFormat="1" applyFont="1" applyBorder="1" applyAlignment="1" applyProtection="1">
      <alignment/>
      <protection hidden="1"/>
    </xf>
    <xf numFmtId="4" fontId="9" fillId="0" borderId="15" xfId="0" applyNumberFormat="1" applyFont="1" applyBorder="1" applyAlignment="1" applyProtection="1">
      <alignment/>
      <protection hidden="1"/>
    </xf>
    <xf numFmtId="169" fontId="9" fillId="0" borderId="11" xfId="0" applyNumberFormat="1" applyFont="1" applyBorder="1" applyAlignment="1" applyProtection="1">
      <alignment/>
      <protection hidden="1"/>
    </xf>
    <xf numFmtId="49" fontId="10" fillId="0" borderId="12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>
      <alignment/>
      <protection hidden="1"/>
    </xf>
    <xf numFmtId="4" fontId="10" fillId="0" borderId="15" xfId="0" applyNumberFormat="1" applyFont="1" applyBorder="1" applyAlignment="1" applyProtection="1">
      <alignment/>
      <protection hidden="1"/>
    </xf>
    <xf numFmtId="169" fontId="10" fillId="0" borderId="11" xfId="0" applyNumberFormat="1" applyFont="1" applyBorder="1" applyAlignment="1" applyProtection="1">
      <alignment/>
      <protection hidden="1"/>
    </xf>
    <xf numFmtId="49" fontId="11" fillId="0" borderId="12" xfId="0" applyNumberFormat="1" applyFont="1" applyBorder="1" applyAlignment="1" applyProtection="1">
      <alignment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4" fontId="11" fillId="0" borderId="15" xfId="0" applyNumberFormat="1" applyFont="1" applyBorder="1" applyAlignment="1" applyProtection="1">
      <alignment/>
      <protection hidden="1"/>
    </xf>
    <xf numFmtId="169" fontId="11" fillId="0" borderId="11" xfId="0" applyNumberFormat="1" applyFont="1" applyBorder="1" applyAlignment="1" applyProtection="1">
      <alignment/>
      <protection hidden="1"/>
    </xf>
    <xf numFmtId="49" fontId="11" fillId="0" borderId="12" xfId="0" applyNumberFormat="1" applyFont="1" applyBorder="1" applyAlignment="1" applyProtection="1">
      <alignment wrapText="1"/>
      <protection hidden="1"/>
    </xf>
    <xf numFmtId="4" fontId="11" fillId="0" borderId="10" xfId="0" applyNumberFormat="1" applyFont="1" applyBorder="1" applyAlignment="1" applyProtection="1">
      <alignment wrapText="1"/>
      <protection hidden="1"/>
    </xf>
    <xf numFmtId="4" fontId="11" fillId="0" borderId="15" xfId="0" applyNumberFormat="1" applyFont="1" applyBorder="1" applyAlignment="1" applyProtection="1">
      <alignment horizontal="right"/>
      <protection hidden="1"/>
    </xf>
    <xf numFmtId="49" fontId="10" fillId="0" borderId="12" xfId="0" applyNumberFormat="1" applyFont="1" applyBorder="1" applyAlignment="1" applyProtection="1">
      <alignment wrapText="1"/>
      <protection hidden="1"/>
    </xf>
    <xf numFmtId="4" fontId="10" fillId="0" borderId="10" xfId="0" applyNumberFormat="1" applyFont="1" applyBorder="1" applyAlignment="1" applyProtection="1">
      <alignment wrapText="1"/>
      <protection hidden="1"/>
    </xf>
    <xf numFmtId="4" fontId="10" fillId="0" borderId="15" xfId="0" applyNumberFormat="1" applyFont="1" applyBorder="1" applyAlignment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4" fontId="11" fillId="0" borderId="10" xfId="0" applyNumberFormat="1" applyFont="1" applyBorder="1" applyAlignment="1" applyProtection="1" quotePrefix="1">
      <alignment/>
      <protection hidden="1"/>
    </xf>
    <xf numFmtId="49" fontId="13" fillId="0" borderId="18" xfId="0" applyNumberFormat="1" applyFont="1" applyBorder="1" applyAlignment="1" applyProtection="1">
      <alignment/>
      <protection hidden="1"/>
    </xf>
    <xf numFmtId="4" fontId="13" fillId="0" borderId="10" xfId="0" applyNumberFormat="1" applyFont="1" applyFill="1" applyBorder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49" fontId="9" fillId="0" borderId="18" xfId="0" applyNumberFormat="1" applyFont="1" applyBorder="1" applyAlignment="1" applyProtection="1">
      <alignment/>
      <protection hidden="1"/>
    </xf>
    <xf numFmtId="49" fontId="10" fillId="0" borderId="18" xfId="0" applyNumberFormat="1" applyFont="1" applyBorder="1" applyAlignment="1" applyProtection="1">
      <alignment/>
      <protection hidden="1"/>
    </xf>
    <xf numFmtId="49" fontId="11" fillId="0" borderId="18" xfId="0" applyNumberFormat="1" applyFont="1" applyBorder="1" applyAlignment="1" applyProtection="1">
      <alignment/>
      <protection hidden="1"/>
    </xf>
    <xf numFmtId="4" fontId="11" fillId="0" borderId="10" xfId="0" applyNumberFormat="1" applyFont="1" applyBorder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10" fillId="0" borderId="18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>
      <alignment/>
      <protection hidden="1"/>
    </xf>
    <xf numFmtId="4" fontId="10" fillId="0" borderId="10" xfId="0" applyNumberFormat="1" applyFont="1" applyBorder="1" applyAlignment="1" applyProtection="1" quotePrefix="1">
      <alignment/>
      <protection hidden="1"/>
    </xf>
    <xf numFmtId="49" fontId="9" fillId="0" borderId="18" xfId="0" applyNumberFormat="1" applyFont="1" applyBorder="1" applyAlignment="1" applyProtection="1">
      <alignment wrapText="1"/>
      <protection hidden="1"/>
    </xf>
    <xf numFmtId="4" fontId="9" fillId="0" borderId="10" xfId="0" applyNumberFormat="1" applyFont="1" applyBorder="1" applyAlignment="1" applyProtection="1">
      <alignment/>
      <protection hidden="1"/>
    </xf>
    <xf numFmtId="49" fontId="10" fillId="0" borderId="18" xfId="0" applyNumberFormat="1" applyFont="1" applyBorder="1" applyAlignment="1" applyProtection="1">
      <alignment wrapText="1"/>
      <protection hidden="1"/>
    </xf>
    <xf numFmtId="49" fontId="11" fillId="0" borderId="18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4" fontId="9" fillId="0" borderId="25" xfId="0" applyNumberFormat="1" applyFont="1" applyBorder="1" applyAlignment="1" applyProtection="1">
      <alignment/>
      <protection hidden="1"/>
    </xf>
    <xf numFmtId="49" fontId="9" fillId="33" borderId="50" xfId="0" applyNumberFormat="1" applyFont="1" applyFill="1" applyBorder="1" applyAlignment="1" applyProtection="1">
      <alignment vertical="center"/>
      <protection hidden="1"/>
    </xf>
    <xf numFmtId="4" fontId="9" fillId="33" borderId="51" xfId="0" applyNumberFormat="1" applyFont="1" applyFill="1" applyBorder="1" applyAlignment="1" applyProtection="1">
      <alignment vertical="center"/>
      <protection hidden="1"/>
    </xf>
    <xf numFmtId="4" fontId="9" fillId="33" borderId="25" xfId="0" applyNumberFormat="1" applyFont="1" applyFill="1" applyBorder="1" applyAlignment="1" applyProtection="1">
      <alignment vertical="center"/>
      <protection hidden="1"/>
    </xf>
    <xf numFmtId="169" fontId="9" fillId="33" borderId="4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4" fontId="10" fillId="0" borderId="0" xfId="0" applyNumberFormat="1" applyFont="1" applyAlignment="1" applyProtection="1">
      <alignment/>
      <protection hidden="1"/>
    </xf>
    <xf numFmtId="0" fontId="10" fillId="0" borderId="0" xfId="0" applyFont="1" applyBorder="1" applyAlignment="1" applyProtection="1">
      <alignment/>
      <protection hidden="1"/>
    </xf>
    <xf numFmtId="3" fontId="9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>
      <alignment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9" fontId="18" fillId="34" borderId="52" xfId="0" applyNumberFormat="1" applyFont="1" applyFill="1" applyBorder="1" applyAlignment="1">
      <alignment horizontal="center" vertical="center"/>
    </xf>
    <xf numFmtId="49" fontId="18" fillId="34" borderId="53" xfId="0" applyNumberFormat="1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54" xfId="0" applyFont="1" applyFill="1" applyBorder="1" applyAlignment="1">
      <alignment horizontal="center" vertical="center"/>
    </xf>
    <xf numFmtId="169" fontId="9" fillId="33" borderId="38" xfId="0" applyNumberFormat="1" applyFont="1" applyFill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169" fontId="9" fillId="0" borderId="14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169" fontId="10" fillId="0" borderId="14" xfId="0" applyNumberFormat="1" applyFont="1" applyBorder="1" applyAlignment="1">
      <alignment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69" fontId="11" fillId="0" borderId="14" xfId="0" applyNumberFormat="1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vertical="center"/>
    </xf>
    <xf numFmtId="169" fontId="20" fillId="0" borderId="14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11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9" fontId="10" fillId="0" borderId="1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vertical="center"/>
    </xf>
    <xf numFmtId="49" fontId="11" fillId="0" borderId="10" xfId="0" applyNumberFormat="1" applyFont="1" applyBorder="1" applyAlignment="1">
      <alignment horizontal="left" vertical="center" wrapText="1"/>
    </xf>
    <xf numFmtId="4" fontId="9" fillId="33" borderId="20" xfId="0" applyNumberFormat="1" applyFont="1" applyFill="1" applyBorder="1" applyAlignment="1">
      <alignment vertical="center"/>
    </xf>
    <xf numFmtId="169" fontId="9" fillId="33" borderId="21" xfId="0" applyNumberFormat="1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10" fillId="0" borderId="13" xfId="0" applyFont="1" applyBorder="1" applyAlignment="1">
      <alignment vertical="center" wrapText="1"/>
    </xf>
    <xf numFmtId="49" fontId="9" fillId="33" borderId="55" xfId="0" applyNumberFormat="1" applyFont="1" applyFill="1" applyBorder="1" applyAlignment="1">
      <alignment vertical="center" wrapText="1"/>
    </xf>
    <xf numFmtId="4" fontId="10" fillId="0" borderId="29" xfId="0" applyNumberFormat="1" applyFont="1" applyBorder="1" applyAlignment="1">
      <alignment vertical="center"/>
    </xf>
    <xf numFmtId="3" fontId="24" fillId="0" borderId="0" xfId="0" applyNumberFormat="1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vertical="center" wrapText="1"/>
    </xf>
    <xf numFmtId="4" fontId="20" fillId="0" borderId="10" xfId="0" applyNumberFormat="1" applyFont="1" applyFill="1" applyBorder="1" applyAlignment="1">
      <alignment vertical="center"/>
    </xf>
    <xf numFmtId="169" fontId="20" fillId="0" borderId="14" xfId="0" applyNumberFormat="1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vertical="center"/>
    </xf>
    <xf numFmtId="169" fontId="11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 wrapText="1"/>
    </xf>
    <xf numFmtId="4" fontId="16" fillId="0" borderId="0" xfId="0" applyNumberFormat="1" applyFont="1" applyBorder="1" applyAlignment="1">
      <alignment vertical="center"/>
    </xf>
    <xf numFmtId="169" fontId="16" fillId="0" borderId="0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27" xfId="0" applyFont="1" applyBorder="1" applyAlignment="1">
      <alignment horizontal="right"/>
    </xf>
    <xf numFmtId="0" fontId="9" fillId="34" borderId="52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2" fillId="34" borderId="19" xfId="0" applyFont="1" applyFill="1" applyBorder="1" applyAlignment="1">
      <alignment horizontal="center" vertical="center"/>
    </xf>
    <xf numFmtId="0" fontId="12" fillId="34" borderId="20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9" fillId="0" borderId="20" xfId="0" applyNumberFormat="1" applyFont="1" applyBorder="1" applyAlignment="1">
      <alignment vertical="center"/>
    </xf>
    <xf numFmtId="174" fontId="9" fillId="0" borderId="21" xfId="0" applyNumberFormat="1" applyFont="1" applyBorder="1" applyAlignment="1">
      <alignment vertical="center"/>
    </xf>
    <xf numFmtId="4" fontId="10" fillId="0" borderId="20" xfId="0" applyNumberFormat="1" applyFont="1" applyBorder="1" applyAlignment="1">
      <alignment vertical="center"/>
    </xf>
    <xf numFmtId="174" fontId="10" fillId="0" borderId="21" xfId="0" applyNumberFormat="1" applyFont="1" applyBorder="1" applyAlignment="1">
      <alignment vertical="center"/>
    </xf>
    <xf numFmtId="4" fontId="9" fillId="33" borderId="36" xfId="0" applyNumberFormat="1" applyFont="1" applyFill="1" applyBorder="1" applyAlignment="1">
      <alignment vertical="center"/>
    </xf>
    <xf numFmtId="174" fontId="9" fillId="33" borderId="26" xfId="0" applyNumberFormat="1" applyFont="1" applyFill="1" applyBorder="1" applyAlignment="1">
      <alignment vertical="center"/>
    </xf>
    <xf numFmtId="0" fontId="10" fillId="0" borderId="56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7" xfId="0" applyFont="1" applyBorder="1" applyAlignment="1">
      <alignment vertical="center" wrapText="1"/>
    </xf>
    <xf numFmtId="4" fontId="10" fillId="0" borderId="57" xfId="0" applyNumberFormat="1" applyFont="1" applyBorder="1" applyAlignment="1">
      <alignment vertical="center"/>
    </xf>
    <xf numFmtId="174" fontId="10" fillId="0" borderId="58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29" xfId="0" applyFont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174" fontId="10" fillId="0" borderId="38" xfId="0" applyNumberFormat="1" applyFont="1" applyBorder="1" applyAlignment="1">
      <alignment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4" fontId="10" fillId="0" borderId="29" xfId="0" applyNumberFormat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57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vertical="center" wrapText="1"/>
    </xf>
    <xf numFmtId="4" fontId="10" fillId="0" borderId="57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4" fontId="9" fillId="0" borderId="59" xfId="0" applyNumberFormat="1" applyFont="1" applyBorder="1" applyAlignment="1">
      <alignment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28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4" fontId="16" fillId="37" borderId="29" xfId="0" applyNumberFormat="1" applyFont="1" applyFill="1" applyBorder="1" applyAlignment="1">
      <alignment vertical="center"/>
    </xf>
    <xf numFmtId="174" fontId="16" fillId="37" borderId="38" xfId="0" applyNumberFormat="1" applyFont="1" applyFill="1" applyBorder="1" applyAlignment="1">
      <alignment vertical="center"/>
    </xf>
    <xf numFmtId="4" fontId="16" fillId="37" borderId="57" xfId="0" applyNumberFormat="1" applyFont="1" applyFill="1" applyBorder="1" applyAlignment="1">
      <alignment vertical="center"/>
    </xf>
    <xf numFmtId="174" fontId="16" fillId="37" borderId="58" xfId="0" applyNumberFormat="1" applyFont="1" applyFill="1" applyBorder="1" applyAlignment="1">
      <alignment vertical="center"/>
    </xf>
    <xf numFmtId="4" fontId="9" fillId="37" borderId="36" xfId="0" applyNumberFormat="1" applyFont="1" applyFill="1" applyBorder="1" applyAlignment="1">
      <alignment vertical="center"/>
    </xf>
    <xf numFmtId="174" fontId="9" fillId="37" borderId="26" xfId="0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4" fontId="10" fillId="0" borderId="23" xfId="0" applyNumberFormat="1" applyFont="1" applyBorder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23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4" fontId="10" fillId="0" borderId="0" xfId="0" applyNumberFormat="1" applyFont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6" fillId="0" borderId="0" xfId="0" applyNumberFormat="1" applyFont="1" applyAlignment="1">
      <alignment vertical="center"/>
    </xf>
    <xf numFmtId="4" fontId="9" fillId="0" borderId="0" xfId="0" applyNumberFormat="1" applyFont="1" applyFill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4" fontId="9" fillId="0" borderId="29" xfId="0" applyNumberFormat="1" applyFont="1" applyBorder="1" applyAlignment="1">
      <alignment vertical="center"/>
    </xf>
    <xf numFmtId="174" fontId="9" fillId="0" borderId="38" xfId="0" applyNumberFormat="1" applyFont="1" applyBorder="1" applyAlignment="1">
      <alignment vertical="center"/>
    </xf>
    <xf numFmtId="0" fontId="9" fillId="34" borderId="16" xfId="0" applyFont="1" applyFill="1" applyBorder="1" applyAlignment="1">
      <alignment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20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174" fontId="10" fillId="0" borderId="58" xfId="0" applyNumberFormat="1" applyFont="1" applyBorder="1" applyAlignment="1">
      <alignment horizontal="right" vertical="center"/>
    </xf>
    <xf numFmtId="174" fontId="9" fillId="33" borderId="26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49" fontId="1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9" fillId="0" borderId="3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left" vertical="center" wrapText="1"/>
    </xf>
    <xf numFmtId="4" fontId="9" fillId="0" borderId="16" xfId="0" applyNumberFormat="1" applyFont="1" applyFill="1" applyBorder="1" applyAlignment="1">
      <alignment horizontal="right" vertical="center"/>
    </xf>
    <xf numFmtId="174" fontId="9" fillId="0" borderId="29" xfId="0" applyNumberFormat="1" applyFont="1" applyFill="1" applyBorder="1" applyAlignment="1">
      <alignment vertical="center"/>
    </xf>
    <xf numFmtId="4" fontId="9" fillId="0" borderId="28" xfId="0" applyNumberFormat="1" applyFont="1" applyFill="1" applyBorder="1" applyAlignment="1">
      <alignment horizontal="right" vertical="center"/>
    </xf>
    <xf numFmtId="174" fontId="9" fillId="0" borderId="38" xfId="0" applyNumberFormat="1" applyFont="1" applyFill="1" applyBorder="1" applyAlignment="1">
      <alignment horizontal="right" vertical="center"/>
    </xf>
    <xf numFmtId="49" fontId="10" fillId="0" borderId="45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left" vertical="center" wrapText="1"/>
    </xf>
    <xf numFmtId="4" fontId="10" fillId="0" borderId="29" xfId="0" applyNumberFormat="1" applyFont="1" applyFill="1" applyBorder="1" applyAlignment="1">
      <alignment horizontal="right" vertical="center"/>
    </xf>
    <xf numFmtId="174" fontId="10" fillId="0" borderId="29" xfId="0" applyNumberFormat="1" applyFont="1" applyFill="1" applyBorder="1" applyAlignment="1">
      <alignment vertical="center"/>
    </xf>
    <xf numFmtId="4" fontId="10" fillId="0" borderId="29" xfId="0" applyNumberFormat="1" applyFont="1" applyFill="1" applyBorder="1" applyAlignment="1">
      <alignment vertical="center"/>
    </xf>
    <xf numFmtId="174" fontId="10" fillId="0" borderId="38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left" vertical="center" wrapText="1"/>
    </xf>
    <xf numFmtId="4" fontId="9" fillId="0" borderId="29" xfId="0" applyNumberFormat="1" applyFont="1" applyFill="1" applyBorder="1" applyAlignment="1">
      <alignment horizontal="right" vertical="center"/>
    </xf>
    <xf numFmtId="4" fontId="9" fillId="0" borderId="20" xfId="0" applyNumberFormat="1" applyFont="1" applyFill="1" applyBorder="1" applyAlignment="1">
      <alignment vertical="center"/>
    </xf>
    <xf numFmtId="4" fontId="10" fillId="0" borderId="20" xfId="0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right" vertical="center"/>
    </xf>
    <xf numFmtId="174" fontId="10" fillId="0" borderId="21" xfId="0" applyNumberFormat="1" applyFont="1" applyFill="1" applyBorder="1" applyAlignment="1">
      <alignment horizontal="right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wrapText="1"/>
    </xf>
    <xf numFmtId="4" fontId="9" fillId="0" borderId="20" xfId="0" applyNumberFormat="1" applyFont="1" applyFill="1" applyBorder="1" applyAlignment="1">
      <alignment horizontal="right" vertical="center"/>
    </xf>
    <xf numFmtId="174" fontId="9" fillId="0" borderId="21" xfId="0" applyNumberFormat="1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 wrapText="1"/>
    </xf>
    <xf numFmtId="174" fontId="10" fillId="0" borderId="20" xfId="0" applyNumberFormat="1" applyFont="1" applyFill="1" applyBorder="1" applyAlignment="1">
      <alignment vertical="center"/>
    </xf>
    <xf numFmtId="49" fontId="18" fillId="0" borderId="10" xfId="0" applyNumberFormat="1" applyFont="1" applyBorder="1" applyAlignment="1">
      <alignment horizontal="left" vertical="center"/>
    </xf>
    <xf numFmtId="0" fontId="18" fillId="0" borderId="20" xfId="0" applyFont="1" applyFill="1" applyBorder="1" applyAlignment="1">
      <alignment horizontal="left" vertical="center"/>
    </xf>
    <xf numFmtId="49" fontId="9" fillId="0" borderId="45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vertical="center"/>
    </xf>
    <xf numFmtId="49" fontId="10" fillId="0" borderId="45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left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9" fillId="37" borderId="36" xfId="0" applyNumberFormat="1" applyFont="1" applyFill="1" applyBorder="1" applyAlignment="1">
      <alignment horizontal="right" vertical="center"/>
    </xf>
    <xf numFmtId="174" fontId="9" fillId="37" borderId="32" xfId="0" applyNumberFormat="1" applyFont="1" applyFill="1" applyBorder="1" applyAlignment="1">
      <alignment vertical="center"/>
    </xf>
    <xf numFmtId="174" fontId="9" fillId="37" borderId="34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4" fontId="10" fillId="0" borderId="0" xfId="0" applyNumberFormat="1" applyFont="1" applyFill="1" applyAlignment="1">
      <alignment vertical="center"/>
    </xf>
    <xf numFmtId="174" fontId="10" fillId="0" borderId="0" xfId="0" applyNumberFormat="1" applyFont="1" applyFill="1" applyAlignment="1">
      <alignment vertical="center"/>
    </xf>
    <xf numFmtId="174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34" borderId="20" xfId="0" applyFont="1" applyFill="1" applyBorder="1" applyAlignment="1">
      <alignment horizontal="center" vertical="center" wrapText="1"/>
    </xf>
    <xf numFmtId="49" fontId="20" fillId="38" borderId="12" xfId="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horizontal="center" vertical="center"/>
    </xf>
    <xf numFmtId="49" fontId="20" fillId="38" borderId="10" xfId="0" applyNumberFormat="1" applyFont="1" applyFill="1" applyBorder="1" applyAlignment="1">
      <alignment vertical="center" wrapText="1"/>
    </xf>
    <xf numFmtId="4" fontId="20" fillId="38" borderId="10" xfId="0" applyNumberFormat="1" applyFont="1" applyFill="1" applyBorder="1" applyAlignment="1">
      <alignment vertical="center"/>
    </xf>
    <xf numFmtId="169" fontId="20" fillId="38" borderId="14" xfId="0" applyNumberFormat="1" applyFont="1" applyFill="1" applyBorder="1" applyAlignment="1">
      <alignment vertical="center"/>
    </xf>
    <xf numFmtId="0" fontId="20" fillId="38" borderId="0" xfId="0" applyFont="1" applyFill="1" applyAlignment="1">
      <alignment horizontal="center" vertical="center"/>
    </xf>
    <xf numFmtId="0" fontId="20" fillId="38" borderId="0" xfId="0" applyFont="1" applyFill="1" applyAlignment="1">
      <alignment vertical="center"/>
    </xf>
    <xf numFmtId="49" fontId="11" fillId="38" borderId="12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vertical="center" wrapText="1"/>
    </xf>
    <xf numFmtId="4" fontId="11" fillId="38" borderId="10" xfId="0" applyNumberFormat="1" applyFont="1" applyFill="1" applyBorder="1" applyAlignment="1">
      <alignment vertical="center"/>
    </xf>
    <xf numFmtId="169" fontId="11" fillId="38" borderId="14" xfId="0" applyNumberFormat="1" applyFont="1" applyFill="1" applyBorder="1" applyAlignment="1">
      <alignment vertical="center"/>
    </xf>
    <xf numFmtId="0" fontId="16" fillId="38" borderId="0" xfId="0" applyFont="1" applyFill="1" applyAlignment="1">
      <alignment horizontal="center" vertical="center"/>
    </xf>
    <xf numFmtId="0" fontId="11" fillId="38" borderId="0" xfId="0" applyFont="1" applyFill="1" applyAlignment="1">
      <alignment vertical="center"/>
    </xf>
    <xf numFmtId="49" fontId="11" fillId="38" borderId="18" xfId="0" applyNumberFormat="1" applyFont="1" applyFill="1" applyBorder="1" applyAlignment="1">
      <alignment horizontal="center" vertical="center"/>
    </xf>
    <xf numFmtId="49" fontId="11" fillId="38" borderId="15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vertical="center" wrapText="1"/>
    </xf>
    <xf numFmtId="172" fontId="20" fillId="0" borderId="10" xfId="0" applyNumberFormat="1" applyFont="1" applyBorder="1" applyAlignment="1">
      <alignment horizontal="right" vertical="center"/>
    </xf>
    <xf numFmtId="195" fontId="20" fillId="0" borderId="11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172" fontId="20" fillId="0" borderId="0" xfId="0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172" fontId="10" fillId="0" borderId="0" xfId="0" applyNumberFormat="1" applyFont="1" applyBorder="1" applyAlignment="1">
      <alignment horizontal="right" vertical="center"/>
    </xf>
    <xf numFmtId="195" fontId="10" fillId="0" borderId="1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 wrapText="1"/>
    </xf>
    <xf numFmtId="172" fontId="10" fillId="0" borderId="10" xfId="0" applyNumberFormat="1" applyFont="1" applyBorder="1" applyAlignment="1">
      <alignment horizontal="right" vertical="center"/>
    </xf>
    <xf numFmtId="4" fontId="10" fillId="0" borderId="15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vertical="center"/>
    </xf>
    <xf numFmtId="172" fontId="20" fillId="0" borderId="15" xfId="0" applyNumberFormat="1" applyFont="1" applyBorder="1" applyAlignment="1">
      <alignment horizontal="right" vertical="center"/>
    </xf>
    <xf numFmtId="172" fontId="11" fillId="0" borderId="15" xfId="0" applyNumberFormat="1" applyFont="1" applyBorder="1" applyAlignment="1">
      <alignment horizontal="right" vertical="center"/>
    </xf>
    <xf numFmtId="49" fontId="11" fillId="0" borderId="10" xfId="0" applyNumberFormat="1" applyFont="1" applyBorder="1" applyAlignment="1">
      <alignment vertical="center"/>
    </xf>
    <xf numFmtId="172" fontId="10" fillId="0" borderId="15" xfId="0" applyNumberFormat="1" applyFont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172" fontId="10" fillId="0" borderId="15" xfId="0" applyNumberFormat="1" applyFont="1" applyBorder="1" applyAlignment="1">
      <alignment horizontal="right" vertical="center"/>
    </xf>
    <xf numFmtId="49" fontId="10" fillId="0" borderId="10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vertical="center"/>
    </xf>
    <xf numFmtId="172" fontId="10" fillId="0" borderId="22" xfId="0" applyNumberFormat="1" applyFont="1" applyBorder="1" applyAlignment="1">
      <alignment horizontal="right" vertical="center"/>
    </xf>
    <xf numFmtId="195" fontId="10" fillId="0" borderId="38" xfId="0" applyNumberFormat="1" applyFont="1" applyBorder="1" applyAlignment="1">
      <alignment vertical="center"/>
    </xf>
    <xf numFmtId="0" fontId="9" fillId="33" borderId="19" xfId="0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vertical="center"/>
    </xf>
    <xf numFmtId="172" fontId="9" fillId="33" borderId="23" xfId="0" applyNumberFormat="1" applyFont="1" applyFill="1" applyBorder="1" applyAlignment="1">
      <alignment horizontal="right" vertical="center"/>
    </xf>
    <xf numFmtId="195" fontId="9" fillId="33" borderId="21" xfId="0" applyNumberFormat="1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172" fontId="9" fillId="0" borderId="15" xfId="0" applyNumberFormat="1" applyFont="1" applyBorder="1" applyAlignment="1">
      <alignment horizontal="right" vertical="center"/>
    </xf>
    <xf numFmtId="195" fontId="9" fillId="0" borderId="11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 wrapText="1"/>
    </xf>
    <xf numFmtId="4" fontId="10" fillId="0" borderId="15" xfId="0" applyNumberFormat="1" applyFont="1" applyBorder="1" applyAlignment="1">
      <alignment vertical="center"/>
    </xf>
    <xf numFmtId="0" fontId="9" fillId="33" borderId="45" xfId="0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vertical="center"/>
    </xf>
    <xf numFmtId="172" fontId="9" fillId="33" borderId="22" xfId="0" applyNumberFormat="1" applyFont="1" applyFill="1" applyBorder="1" applyAlignment="1">
      <alignment horizontal="center" vertical="center"/>
    </xf>
    <xf numFmtId="195" fontId="9" fillId="33" borderId="38" xfId="0" applyNumberFormat="1" applyFont="1" applyFill="1" applyBorder="1" applyAlignment="1">
      <alignment horizontal="center" vertical="center"/>
    </xf>
    <xf numFmtId="195" fontId="9" fillId="33" borderId="21" xfId="0" applyNumberFormat="1" applyFont="1" applyFill="1" applyBorder="1" applyAlignment="1">
      <alignment horizontal="center" vertical="center"/>
    </xf>
    <xf numFmtId="195" fontId="9" fillId="0" borderId="47" xfId="0" applyNumberFormat="1" applyFont="1" applyBorder="1" applyAlignment="1">
      <alignment vertical="center"/>
    </xf>
    <xf numFmtId="172" fontId="10" fillId="0" borderId="1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vertical="center" wrapText="1"/>
    </xf>
    <xf numFmtId="4" fontId="10" fillId="0" borderId="25" xfId="0" applyNumberFormat="1" applyFont="1" applyBorder="1" applyAlignment="1">
      <alignment vertical="center"/>
    </xf>
    <xf numFmtId="172" fontId="10" fillId="0" borderId="25" xfId="0" applyNumberFormat="1" applyFont="1" applyBorder="1" applyAlignment="1">
      <alignment horizontal="right" vertical="center"/>
    </xf>
    <xf numFmtId="195" fontId="10" fillId="0" borderId="26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9" fontId="10" fillId="0" borderId="0" xfId="0" applyNumberFormat="1" applyFont="1" applyAlignment="1">
      <alignment horizontal="right" vertical="center"/>
    </xf>
    <xf numFmtId="4" fontId="10" fillId="0" borderId="42" xfId="0" applyNumberFormat="1" applyFont="1" applyBorder="1" applyAlignment="1">
      <alignment vertical="center"/>
    </xf>
    <xf numFmtId="4" fontId="10" fillId="35" borderId="60" xfId="0" applyNumberFormat="1" applyFont="1" applyFill="1" applyBorder="1" applyAlignment="1">
      <alignment vertical="center"/>
    </xf>
    <xf numFmtId="39" fontId="10" fillId="0" borderId="0" xfId="0" applyNumberFormat="1" applyFont="1" applyAlignment="1">
      <alignment vertical="center"/>
    </xf>
    <xf numFmtId="39" fontId="10" fillId="0" borderId="42" xfId="0" applyNumberFormat="1" applyFont="1" applyBorder="1" applyAlignment="1">
      <alignment vertical="center"/>
    </xf>
    <xf numFmtId="39" fontId="10" fillId="0" borderId="60" xfId="0" applyNumberFormat="1" applyFont="1" applyBorder="1" applyAlignment="1">
      <alignment vertical="center"/>
    </xf>
    <xf numFmtId="169" fontId="10" fillId="0" borderId="36" xfId="0" applyNumberFormat="1" applyFont="1" applyFill="1" applyBorder="1" applyAlignment="1">
      <alignment horizontal="right" vertical="top"/>
    </xf>
    <xf numFmtId="169" fontId="10" fillId="0" borderId="26" xfId="0" applyNumberFormat="1" applyFont="1" applyFill="1" applyBorder="1" applyAlignment="1">
      <alignment horizontal="right" vertical="top"/>
    </xf>
    <xf numFmtId="4" fontId="9" fillId="34" borderId="20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49" fontId="10" fillId="34" borderId="20" xfId="0" applyNumberFormat="1" applyFont="1" applyFill="1" applyBorder="1" applyAlignment="1">
      <alignment horizontal="center" vertical="center"/>
    </xf>
    <xf numFmtId="4" fontId="10" fillId="34" borderId="20" xfId="0" applyNumberFormat="1" applyFont="1" applyFill="1" applyBorder="1" applyAlignment="1">
      <alignment vertical="center"/>
    </xf>
    <xf numFmtId="0" fontId="10" fillId="34" borderId="20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4" fontId="10" fillId="34" borderId="29" xfId="0" applyNumberFormat="1" applyFont="1" applyFill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49" fontId="10" fillId="34" borderId="29" xfId="0" applyNumberFormat="1" applyFont="1" applyFill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 wrapText="1"/>
    </xf>
    <xf numFmtId="4" fontId="9" fillId="34" borderId="29" xfId="0" applyNumberFormat="1" applyFont="1" applyFill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9" fillId="0" borderId="32" xfId="0" applyNumberFormat="1" applyFont="1" applyBorder="1" applyAlignment="1">
      <alignment vertical="center"/>
    </xf>
    <xf numFmtId="4" fontId="6" fillId="34" borderId="23" xfId="0" applyNumberFormat="1" applyFont="1" applyFill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4" fontId="9" fillId="34" borderId="21" xfId="0" applyNumberFormat="1" applyFont="1" applyFill="1" applyBorder="1" applyAlignment="1">
      <alignment vertical="center"/>
    </xf>
    <xf numFmtId="4" fontId="9" fillId="0" borderId="21" xfId="0" applyNumberFormat="1" applyFont="1" applyBorder="1" applyAlignment="1">
      <alignment vertical="center"/>
    </xf>
    <xf numFmtId="4" fontId="10" fillId="34" borderId="23" xfId="0" applyNumberFormat="1" applyFont="1" applyFill="1" applyBorder="1" applyAlignment="1">
      <alignment vertical="center"/>
    </xf>
    <xf numFmtId="4" fontId="10" fillId="34" borderId="21" xfId="0" applyNumberFormat="1" applyFont="1" applyFill="1" applyBorder="1" applyAlignment="1">
      <alignment vertical="center"/>
    </xf>
    <xf numFmtId="4" fontId="10" fillId="0" borderId="21" xfId="0" applyNumberFormat="1" applyFont="1" applyBorder="1" applyAlignment="1">
      <alignment vertical="center"/>
    </xf>
    <xf numFmtId="0" fontId="10" fillId="34" borderId="0" xfId="0" applyFont="1" applyFill="1" applyAlignment="1">
      <alignment vertical="center"/>
    </xf>
    <xf numFmtId="4" fontId="10" fillId="35" borderId="20" xfId="0" applyNumberFormat="1" applyFont="1" applyFill="1" applyBorder="1" applyAlignment="1">
      <alignment vertical="center"/>
    </xf>
    <xf numFmtId="4" fontId="10" fillId="35" borderId="23" xfId="0" applyNumberFormat="1" applyFont="1" applyFill="1" applyBorder="1" applyAlignment="1">
      <alignment vertical="center"/>
    </xf>
    <xf numFmtId="4" fontId="10" fillId="35" borderId="21" xfId="0" applyNumberFormat="1" applyFont="1" applyFill="1" applyBorder="1" applyAlignment="1">
      <alignment vertical="center"/>
    </xf>
    <xf numFmtId="0" fontId="10" fillId="35" borderId="0" xfId="0" applyFont="1" applyFill="1" applyAlignment="1">
      <alignment vertical="center"/>
    </xf>
    <xf numFmtId="4" fontId="10" fillId="0" borderId="21" xfId="0" applyNumberFormat="1" applyFont="1" applyFill="1" applyBorder="1" applyAlignment="1">
      <alignment vertical="center"/>
    </xf>
    <xf numFmtId="4" fontId="10" fillId="34" borderId="22" xfId="0" applyNumberFormat="1" applyFont="1" applyFill="1" applyBorder="1" applyAlignment="1">
      <alignment vertical="center"/>
    </xf>
    <xf numFmtId="4" fontId="10" fillId="34" borderId="38" xfId="0" applyNumberFormat="1" applyFont="1" applyFill="1" applyBorder="1" applyAlignment="1">
      <alignment vertical="center"/>
    </xf>
    <xf numFmtId="4" fontId="10" fillId="0" borderId="61" xfId="0" applyNumberFormat="1" applyFont="1" applyBorder="1" applyAlignment="1">
      <alignment vertical="center"/>
    </xf>
    <xf numFmtId="4" fontId="10" fillId="0" borderId="58" xfId="0" applyNumberFormat="1" applyFont="1" applyBorder="1" applyAlignment="1">
      <alignment vertical="center"/>
    </xf>
    <xf numFmtId="4" fontId="9" fillId="34" borderId="38" xfId="0" applyNumberFormat="1" applyFont="1" applyFill="1" applyBorder="1" applyAlignment="1">
      <alignment vertical="center"/>
    </xf>
    <xf numFmtId="0" fontId="9" fillId="34" borderId="0" xfId="0" applyFont="1" applyFill="1" applyAlignment="1">
      <alignment vertical="center"/>
    </xf>
    <xf numFmtId="4" fontId="9" fillId="0" borderId="34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4" fontId="10" fillId="34" borderId="20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4" fontId="9" fillId="0" borderId="32" xfId="0" applyNumberFormat="1" applyFont="1" applyFill="1" applyBorder="1" applyAlignment="1">
      <alignment vertical="center"/>
    </xf>
    <xf numFmtId="0" fontId="18" fillId="0" borderId="0" xfId="56" applyFont="1" applyAlignment="1">
      <alignment horizontal="center" vertical="center" wrapText="1"/>
      <protection/>
    </xf>
    <xf numFmtId="0" fontId="17" fillId="0" borderId="0" xfId="56" applyFont="1" applyAlignment="1">
      <alignment vertical="center"/>
      <protection/>
    </xf>
    <xf numFmtId="0" fontId="17" fillId="0" borderId="0" xfId="56" applyFont="1" applyAlignment="1">
      <alignment horizontal="right" vertical="center"/>
      <protection/>
    </xf>
    <xf numFmtId="0" fontId="18" fillId="0" borderId="20" xfId="56" applyFont="1" applyBorder="1" applyAlignment="1">
      <alignment horizontal="center" vertical="center"/>
      <protection/>
    </xf>
    <xf numFmtId="4" fontId="28" fillId="33" borderId="20" xfId="56" applyNumberFormat="1" applyFont="1" applyFill="1" applyBorder="1" applyAlignment="1">
      <alignment vertical="center"/>
      <protection/>
    </xf>
    <xf numFmtId="0" fontId="28" fillId="0" borderId="0" xfId="56" applyFont="1" applyAlignment="1">
      <alignment vertical="center"/>
      <protection/>
    </xf>
    <xf numFmtId="3" fontId="17" fillId="0" borderId="59" xfId="56" applyNumberFormat="1" applyFont="1" applyFill="1" applyBorder="1" applyAlignment="1">
      <alignment vertical="center" wrapText="1"/>
      <protection/>
    </xf>
    <xf numFmtId="4" fontId="17" fillId="0" borderId="59" xfId="56" applyNumberFormat="1" applyFont="1" applyFill="1" applyBorder="1" applyAlignment="1">
      <alignment vertical="center"/>
      <protection/>
    </xf>
    <xf numFmtId="4" fontId="17" fillId="0" borderId="0" xfId="56" applyNumberFormat="1" applyFont="1" applyAlignment="1">
      <alignment vertical="center"/>
      <protection/>
    </xf>
    <xf numFmtId="3" fontId="13" fillId="0" borderId="59" xfId="56" applyNumberFormat="1" applyFont="1" applyFill="1" applyBorder="1" applyAlignment="1">
      <alignment vertical="center" wrapText="1"/>
      <protection/>
    </xf>
    <xf numFmtId="4" fontId="13" fillId="0" borderId="59" xfId="56" applyNumberFormat="1" applyFont="1" applyFill="1" applyBorder="1" applyAlignment="1">
      <alignment vertical="center"/>
      <protection/>
    </xf>
    <xf numFmtId="3" fontId="13" fillId="0" borderId="20" xfId="56" applyNumberFormat="1" applyFont="1" applyFill="1" applyBorder="1" applyAlignment="1">
      <alignment vertical="center" wrapText="1"/>
      <protection/>
    </xf>
    <xf numFmtId="4" fontId="13" fillId="0" borderId="20" xfId="56" applyNumberFormat="1" applyFont="1" applyFill="1" applyBorder="1" applyAlignment="1">
      <alignment vertical="center"/>
      <protection/>
    </xf>
    <xf numFmtId="4" fontId="13" fillId="0" borderId="29" xfId="56" applyNumberFormat="1" applyFont="1" applyFill="1" applyBorder="1" applyAlignment="1">
      <alignment vertical="center"/>
      <protection/>
    </xf>
    <xf numFmtId="4" fontId="17" fillId="0" borderId="20" xfId="56" applyNumberFormat="1" applyFont="1" applyFill="1" applyBorder="1" applyAlignment="1">
      <alignment vertical="center"/>
      <protection/>
    </xf>
    <xf numFmtId="0" fontId="17" fillId="0" borderId="0" xfId="56" applyFont="1" applyFill="1" applyAlignment="1">
      <alignment vertical="center"/>
      <protection/>
    </xf>
    <xf numFmtId="3" fontId="13" fillId="0" borderId="62" xfId="56" applyNumberFormat="1" applyFont="1" applyFill="1" applyBorder="1" applyAlignment="1">
      <alignment vertical="center" wrapText="1"/>
      <protection/>
    </xf>
    <xf numFmtId="3" fontId="13" fillId="0" borderId="57" xfId="56" applyNumberFormat="1" applyFont="1" applyFill="1" applyBorder="1" applyAlignment="1">
      <alignment vertical="center" wrapText="1"/>
      <protection/>
    </xf>
    <xf numFmtId="4" fontId="13" fillId="0" borderId="57" xfId="56" applyNumberFormat="1" applyFont="1" applyFill="1" applyBorder="1" applyAlignment="1">
      <alignment vertical="center"/>
      <protection/>
    </xf>
    <xf numFmtId="3" fontId="17" fillId="0" borderId="10" xfId="56" applyNumberFormat="1" applyFont="1" applyFill="1" applyBorder="1" applyAlignment="1">
      <alignment vertical="center" wrapText="1"/>
      <protection/>
    </xf>
    <xf numFmtId="4" fontId="17" fillId="0" borderId="10" xfId="56" applyNumberFormat="1" applyFont="1" applyFill="1" applyBorder="1" applyAlignment="1">
      <alignment vertical="center"/>
      <protection/>
    </xf>
    <xf numFmtId="0" fontId="17" fillId="0" borderId="0" xfId="56" applyFont="1" applyAlignment="1">
      <alignment horizontal="center" vertical="center"/>
      <protection/>
    </xf>
    <xf numFmtId="0" fontId="9" fillId="0" borderId="0" xfId="0" applyFont="1" applyAlignment="1">
      <alignment horizontal="right" vertical="center" wrapText="1"/>
    </xf>
    <xf numFmtId="4" fontId="28" fillId="33" borderId="29" xfId="56" applyNumberFormat="1" applyFont="1" applyFill="1" applyBorder="1" applyAlignment="1">
      <alignment vertical="center"/>
      <protection/>
    </xf>
    <xf numFmtId="0" fontId="28" fillId="37" borderId="63" xfId="56" applyFont="1" applyFill="1" applyBorder="1" applyAlignment="1">
      <alignment vertical="center"/>
      <protection/>
    </xf>
    <xf numFmtId="0" fontId="28" fillId="37" borderId="20" xfId="56" applyFont="1" applyFill="1" applyBorder="1" applyAlignment="1">
      <alignment vertical="center"/>
      <protection/>
    </xf>
    <xf numFmtId="0" fontId="17" fillId="37" borderId="0" xfId="56" applyFont="1" applyFill="1" applyAlignment="1">
      <alignment vertical="center"/>
      <protection/>
    </xf>
    <xf numFmtId="0" fontId="18" fillId="34" borderId="52" xfId="56" applyFont="1" applyFill="1" applyBorder="1" applyAlignment="1">
      <alignment horizontal="center" vertical="center"/>
      <protection/>
    </xf>
    <xf numFmtId="0" fontId="18" fillId="34" borderId="53" xfId="56" applyFont="1" applyFill="1" applyBorder="1" applyAlignment="1">
      <alignment horizontal="center" vertical="center"/>
      <protection/>
    </xf>
    <xf numFmtId="0" fontId="18" fillId="34" borderId="53" xfId="56" applyFont="1" applyFill="1" applyBorder="1" applyAlignment="1">
      <alignment horizontal="center" vertical="center" wrapText="1"/>
      <protection/>
    </xf>
    <xf numFmtId="0" fontId="18" fillId="34" borderId="28" xfId="56" applyFont="1" applyFill="1" applyBorder="1" applyAlignment="1">
      <alignment horizontal="center" vertical="center" wrapText="1"/>
      <protection/>
    </xf>
    <xf numFmtId="0" fontId="18" fillId="34" borderId="17" xfId="56" applyFont="1" applyFill="1" applyBorder="1" applyAlignment="1">
      <alignment horizontal="center" vertical="center" wrapText="1"/>
      <protection/>
    </xf>
    <xf numFmtId="0" fontId="18" fillId="0" borderId="19" xfId="56" applyFont="1" applyBorder="1" applyAlignment="1">
      <alignment horizontal="center" vertical="center"/>
      <protection/>
    </xf>
    <xf numFmtId="0" fontId="18" fillId="0" borderId="21" xfId="56" applyFont="1" applyBorder="1" applyAlignment="1">
      <alignment horizontal="center" vertical="center"/>
      <protection/>
    </xf>
    <xf numFmtId="4" fontId="28" fillId="33" borderId="21" xfId="56" applyNumberFormat="1" applyFont="1" applyFill="1" applyBorder="1" applyAlignment="1">
      <alignment vertical="center"/>
      <protection/>
    </xf>
    <xf numFmtId="4" fontId="17" fillId="0" borderId="47" xfId="56" applyNumberFormat="1" applyFont="1" applyFill="1" applyBorder="1" applyAlignment="1">
      <alignment vertical="center"/>
      <protection/>
    </xf>
    <xf numFmtId="4" fontId="13" fillId="0" borderId="47" xfId="56" applyNumberFormat="1" applyFont="1" applyFill="1" applyBorder="1" applyAlignment="1">
      <alignment vertical="center"/>
      <protection/>
    </xf>
    <xf numFmtId="4" fontId="13" fillId="0" borderId="21" xfId="56" applyNumberFormat="1" applyFont="1" applyFill="1" applyBorder="1" applyAlignment="1">
      <alignment vertical="center"/>
      <protection/>
    </xf>
    <xf numFmtId="4" fontId="13" fillId="0" borderId="38" xfId="56" applyNumberFormat="1" applyFont="1" applyFill="1" applyBorder="1" applyAlignment="1">
      <alignment vertical="center"/>
      <protection/>
    </xf>
    <xf numFmtId="4" fontId="28" fillId="33" borderId="38" xfId="56" applyNumberFormat="1" applyFont="1" applyFill="1" applyBorder="1" applyAlignment="1">
      <alignment vertical="center"/>
      <protection/>
    </xf>
    <xf numFmtId="4" fontId="17" fillId="0" borderId="21" xfId="56" applyNumberFormat="1" applyFont="1" applyFill="1" applyBorder="1" applyAlignment="1">
      <alignment vertical="center"/>
      <protection/>
    </xf>
    <xf numFmtId="4" fontId="17" fillId="0" borderId="11" xfId="56" applyNumberFormat="1" applyFont="1" applyFill="1" applyBorder="1" applyAlignment="1">
      <alignment vertical="center"/>
      <protection/>
    </xf>
    <xf numFmtId="4" fontId="13" fillId="0" borderId="58" xfId="56" applyNumberFormat="1" applyFont="1" applyFill="1" applyBorder="1" applyAlignment="1">
      <alignment vertical="center"/>
      <protection/>
    </xf>
    <xf numFmtId="4" fontId="18" fillId="37" borderId="36" xfId="56" applyNumberFormat="1" applyFont="1" applyFill="1" applyBorder="1" applyAlignment="1">
      <alignment vertical="center"/>
      <protection/>
    </xf>
    <xf numFmtId="4" fontId="18" fillId="37" borderId="26" xfId="56" applyNumberFormat="1" applyFont="1" applyFill="1" applyBorder="1" applyAlignment="1">
      <alignment vertical="center"/>
      <protection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9" fillId="34" borderId="32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 wrapText="1"/>
    </xf>
    <xf numFmtId="4" fontId="9" fillId="33" borderId="29" xfId="0" applyNumberFormat="1" applyFont="1" applyFill="1" applyBorder="1" applyAlignment="1">
      <alignment horizontal="right" vertical="center" wrapText="1"/>
    </xf>
    <xf numFmtId="174" fontId="9" fillId="33" borderId="38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49" fontId="10" fillId="0" borderId="65" xfId="0" applyNumberFormat="1" applyFont="1" applyBorder="1" applyAlignment="1">
      <alignment horizontal="center" vertical="center" wrapText="1"/>
    </xf>
    <xf numFmtId="174" fontId="10" fillId="0" borderId="66" xfId="0" applyNumberFormat="1" applyFont="1" applyBorder="1" applyAlignment="1">
      <alignment vertical="center" wrapText="1"/>
    </xf>
    <xf numFmtId="169" fontId="10" fillId="0" borderId="0" xfId="0" applyNumberFormat="1" applyFont="1" applyBorder="1" applyAlignment="1">
      <alignment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174" fontId="10" fillId="0" borderId="47" xfId="0" applyNumberFormat="1" applyFont="1" applyBorder="1" applyAlignment="1">
      <alignment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" fontId="10" fillId="0" borderId="29" xfId="0" applyNumberFormat="1" applyFont="1" applyBorder="1" applyAlignment="1">
      <alignment horizontal="right" vertical="center" wrapText="1"/>
    </xf>
    <xf numFmtId="174" fontId="10" fillId="0" borderId="38" xfId="0" applyNumberFormat="1" applyFont="1" applyBorder="1" applyAlignment="1">
      <alignment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174" fontId="10" fillId="0" borderId="21" xfId="0" applyNumberFormat="1" applyFont="1" applyBorder="1" applyAlignment="1">
      <alignment vertical="center" wrapText="1"/>
    </xf>
    <xf numFmtId="0" fontId="9" fillId="33" borderId="63" xfId="0" applyFont="1" applyFill="1" applyBorder="1" applyAlignment="1">
      <alignment horizontal="center" vertical="center" wrapText="1"/>
    </xf>
    <xf numFmtId="4" fontId="9" fillId="33" borderId="20" xfId="0" applyNumberFormat="1" applyFont="1" applyFill="1" applyBorder="1" applyAlignment="1">
      <alignment horizontal="right" vertical="center" wrapText="1"/>
    </xf>
    <xf numFmtId="174" fontId="9" fillId="33" borderId="21" xfId="0" applyNumberFormat="1" applyFont="1" applyFill="1" applyBorder="1" applyAlignment="1">
      <alignment vertical="center" wrapText="1"/>
    </xf>
    <xf numFmtId="0" fontId="9" fillId="33" borderId="0" xfId="0" applyFont="1" applyFill="1" applyAlignment="1">
      <alignment vertical="center" wrapText="1"/>
    </xf>
    <xf numFmtId="0" fontId="10" fillId="33" borderId="67" xfId="0" applyFont="1" applyFill="1" applyBorder="1" applyAlignment="1">
      <alignment horizontal="center" vertical="center" wrapText="1"/>
    </xf>
    <xf numFmtId="49" fontId="10" fillId="33" borderId="68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10" fillId="0" borderId="69" xfId="0" applyFont="1" applyBorder="1" applyAlignment="1">
      <alignment horizontal="center" vertical="center" wrapText="1"/>
    </xf>
    <xf numFmtId="0" fontId="10" fillId="0" borderId="46" xfId="0" applyFont="1" applyBorder="1" applyAlignment="1">
      <alignment vertical="center" wrapText="1"/>
    </xf>
    <xf numFmtId="4" fontId="10" fillId="0" borderId="46" xfId="0" applyNumberFormat="1" applyFont="1" applyBorder="1" applyAlignment="1">
      <alignment horizontal="right" vertical="center" wrapText="1"/>
    </xf>
    <xf numFmtId="49" fontId="10" fillId="0" borderId="20" xfId="0" applyNumberFormat="1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70" xfId="0" applyFont="1" applyBorder="1" applyAlignment="1">
      <alignment vertical="center" wrapText="1"/>
    </xf>
    <xf numFmtId="4" fontId="10" fillId="0" borderId="70" xfId="0" applyNumberFormat="1" applyFont="1" applyBorder="1" applyAlignment="1">
      <alignment horizontal="right" vertical="center" wrapText="1"/>
    </xf>
    <xf numFmtId="49" fontId="10" fillId="0" borderId="65" xfId="0" applyNumberFormat="1" applyFont="1" applyBorder="1" applyAlignment="1">
      <alignment vertical="center" wrapText="1"/>
    </xf>
    <xf numFmtId="0" fontId="11" fillId="33" borderId="0" xfId="0" applyFont="1" applyFill="1" applyAlignment="1">
      <alignment vertical="center" wrapText="1"/>
    </xf>
    <xf numFmtId="49" fontId="10" fillId="0" borderId="20" xfId="0" applyNumberFormat="1" applyFont="1" applyBorder="1" applyAlignment="1">
      <alignment horizontal="left" vertical="center" wrapText="1"/>
    </xf>
    <xf numFmtId="0" fontId="10" fillId="0" borderId="56" xfId="0" applyFont="1" applyBorder="1" applyAlignment="1">
      <alignment horizontal="center" vertical="center" wrapText="1"/>
    </xf>
    <xf numFmtId="49" fontId="10" fillId="0" borderId="57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 horizontal="right" vertical="center" wrapText="1"/>
    </xf>
    <xf numFmtId="174" fontId="10" fillId="0" borderId="58" xfId="0" applyNumberFormat="1" applyFont="1" applyBorder="1" applyAlignment="1">
      <alignment vertical="center" wrapText="1"/>
    </xf>
    <xf numFmtId="0" fontId="9" fillId="37" borderId="0" xfId="0" applyFont="1" applyFill="1" applyAlignment="1">
      <alignment vertical="center" wrapText="1"/>
    </xf>
    <xf numFmtId="0" fontId="9" fillId="37" borderId="24" xfId="0" applyFont="1" applyFill="1" applyBorder="1" applyAlignment="1">
      <alignment vertical="center" wrapText="1"/>
    </xf>
    <xf numFmtId="0" fontId="9" fillId="37" borderId="27" xfId="0" applyFont="1" applyFill="1" applyBorder="1" applyAlignment="1">
      <alignment vertical="center" wrapText="1"/>
    </xf>
    <xf numFmtId="4" fontId="9" fillId="37" borderId="25" xfId="0" applyNumberFormat="1" applyFont="1" applyFill="1" applyBorder="1" applyAlignment="1">
      <alignment horizontal="right" vertical="center" wrapText="1"/>
    </xf>
    <xf numFmtId="174" fontId="9" fillId="37" borderId="26" xfId="0" applyNumberFormat="1" applyFont="1" applyFill="1" applyBorder="1" applyAlignment="1">
      <alignment vertical="center" wrapText="1"/>
    </xf>
    <xf numFmtId="0" fontId="9" fillId="34" borderId="30" xfId="53" applyFont="1" applyFill="1" applyBorder="1" applyAlignment="1">
      <alignment horizontal="center" vertical="center"/>
      <protection/>
    </xf>
    <xf numFmtId="0" fontId="9" fillId="34" borderId="16" xfId="53" applyFont="1" applyFill="1" applyBorder="1" applyAlignment="1">
      <alignment horizontal="center" vertical="center"/>
      <protection/>
    </xf>
    <xf numFmtId="0" fontId="9" fillId="34" borderId="16" xfId="53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horizontal="center" vertical="center"/>
      <protection/>
    </xf>
    <xf numFmtId="1" fontId="9" fillId="34" borderId="71" xfId="53" applyNumberFormat="1" applyFont="1" applyFill="1" applyBorder="1" applyAlignment="1">
      <alignment horizontal="center" vertical="center"/>
      <protection/>
    </xf>
    <xf numFmtId="1" fontId="9" fillId="34" borderId="59" xfId="53" applyNumberFormat="1" applyFont="1" applyFill="1" applyBorder="1" applyAlignment="1">
      <alignment horizontal="center" vertical="center"/>
      <protection/>
    </xf>
    <xf numFmtId="1" fontId="9" fillId="34" borderId="59" xfId="53" applyNumberFormat="1" applyFont="1" applyFill="1" applyBorder="1" applyAlignment="1">
      <alignment horizontal="center" vertical="center" wrapText="1"/>
      <protection/>
    </xf>
    <xf numFmtId="1" fontId="9" fillId="34" borderId="47" xfId="53" applyNumberFormat="1" applyFont="1" applyFill="1" applyBorder="1" applyAlignment="1">
      <alignment horizontal="center" vertical="center" wrapText="1"/>
      <protection/>
    </xf>
    <xf numFmtId="1" fontId="9" fillId="0" borderId="0" xfId="53" applyNumberFormat="1" applyFont="1" applyAlignment="1">
      <alignment horizontal="center" vertical="center"/>
      <protection/>
    </xf>
    <xf numFmtId="0" fontId="10" fillId="0" borderId="20" xfId="53" applyFont="1" applyBorder="1" applyAlignment="1">
      <alignment horizontal="center" vertical="center"/>
      <protection/>
    </xf>
    <xf numFmtId="4" fontId="10" fillId="0" borderId="20" xfId="53" applyNumberFormat="1" applyFont="1" applyBorder="1" applyAlignment="1">
      <alignment vertical="center"/>
      <protection/>
    </xf>
    <xf numFmtId="0" fontId="10" fillId="0" borderId="0" xfId="53" applyFont="1" applyAlignment="1">
      <alignment vertical="center"/>
      <protection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53" applyFont="1" applyAlignment="1">
      <alignment horizontal="center" vertical="center"/>
      <protection/>
    </xf>
    <xf numFmtId="0" fontId="10" fillId="0" borderId="0" xfId="53" applyFont="1" applyFill="1" applyAlignment="1">
      <alignment vertical="center"/>
      <protection/>
    </xf>
    <xf numFmtId="4" fontId="10" fillId="0" borderId="0" xfId="53" applyNumberFormat="1" applyFont="1" applyAlignment="1">
      <alignment vertical="center"/>
      <protection/>
    </xf>
    <xf numFmtId="0" fontId="10" fillId="0" borderId="0" xfId="53" applyFont="1" applyAlignment="1">
      <alignment horizontal="right" vertical="center"/>
      <protection/>
    </xf>
    <xf numFmtId="4" fontId="10" fillId="0" borderId="0" xfId="53" applyNumberFormat="1" applyFont="1" applyAlignment="1">
      <alignment horizontal="right" vertical="center"/>
      <protection/>
    </xf>
    <xf numFmtId="0" fontId="9" fillId="0" borderId="0" xfId="53" applyFont="1" applyAlignment="1">
      <alignment vertical="center"/>
      <protection/>
    </xf>
    <xf numFmtId="0" fontId="10" fillId="0" borderId="57" xfId="53" applyFont="1" applyBorder="1" applyAlignment="1">
      <alignment horizontal="center" vertical="center"/>
      <protection/>
    </xf>
    <xf numFmtId="0" fontId="10" fillId="0" borderId="57" xfId="0" applyFont="1" applyBorder="1" applyAlignment="1">
      <alignment horizontal="center" vertical="center" wrapText="1"/>
    </xf>
    <xf numFmtId="4" fontId="10" fillId="0" borderId="57" xfId="53" applyNumberFormat="1" applyFont="1" applyBorder="1" applyAlignment="1">
      <alignment vertical="center"/>
      <protection/>
    </xf>
    <xf numFmtId="0" fontId="9" fillId="34" borderId="72" xfId="53" applyFont="1" applyFill="1" applyBorder="1" applyAlignment="1">
      <alignment horizontal="center" vertical="center" wrapText="1"/>
      <protection/>
    </xf>
    <xf numFmtId="1" fontId="9" fillId="34" borderId="73" xfId="53" applyNumberFormat="1" applyFont="1" applyFill="1" applyBorder="1" applyAlignment="1">
      <alignment horizontal="center" vertical="center" wrapText="1"/>
      <protection/>
    </xf>
    <xf numFmtId="4" fontId="10" fillId="0" borderId="63" xfId="53" applyNumberFormat="1" applyFont="1" applyBorder="1" applyAlignment="1">
      <alignment vertical="center"/>
      <protection/>
    </xf>
    <xf numFmtId="0" fontId="9" fillId="0" borderId="0" xfId="57" applyFont="1" applyAlignment="1">
      <alignment horizontal="center" vertical="center" wrapText="1"/>
      <protection/>
    </xf>
    <xf numFmtId="4" fontId="9" fillId="37" borderId="63" xfId="53" applyNumberFormat="1" applyFont="1" applyFill="1" applyBorder="1" applyAlignment="1">
      <alignment vertical="center"/>
      <protection/>
    </xf>
    <xf numFmtId="4" fontId="9" fillId="34" borderId="17" xfId="53" applyNumberFormat="1" applyFont="1" applyFill="1" applyBorder="1" applyAlignment="1">
      <alignment horizontal="center" vertical="center" wrapText="1"/>
      <protection/>
    </xf>
    <xf numFmtId="0" fontId="10" fillId="0" borderId="19" xfId="53" applyFont="1" applyBorder="1" applyAlignment="1">
      <alignment horizontal="center" vertical="center"/>
      <protection/>
    </xf>
    <xf numFmtId="4" fontId="10" fillId="0" borderId="21" xfId="53" applyNumberFormat="1" applyFont="1" applyBorder="1" applyAlignment="1">
      <alignment vertical="center"/>
      <protection/>
    </xf>
    <xf numFmtId="0" fontId="10" fillId="0" borderId="56" xfId="53" applyFont="1" applyBorder="1" applyAlignment="1">
      <alignment horizontal="center" vertical="center"/>
      <protection/>
    </xf>
    <xf numFmtId="4" fontId="10" fillId="0" borderId="58" xfId="53" applyNumberFormat="1" applyFont="1" applyBorder="1" applyAlignment="1">
      <alignment vertical="center"/>
      <protection/>
    </xf>
    <xf numFmtId="4" fontId="9" fillId="37" borderId="36" xfId="53" applyNumberFormat="1" applyFont="1" applyFill="1" applyBorder="1" applyAlignment="1">
      <alignment vertical="center"/>
      <protection/>
    </xf>
    <xf numFmtId="4" fontId="9" fillId="37" borderId="26" xfId="53" applyNumberFormat="1" applyFont="1" applyFill="1" applyBorder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9" fillId="0" borderId="0" xfId="57" applyFont="1" applyAlignment="1">
      <alignment horizontal="right" vertical="center"/>
      <protection/>
    </xf>
    <xf numFmtId="0" fontId="10" fillId="0" borderId="0" xfId="57" applyFont="1" applyAlignment="1">
      <alignment horizontal="center" vertical="center"/>
      <protection/>
    </xf>
    <xf numFmtId="0" fontId="10" fillId="0" borderId="0" xfId="57" applyFont="1" applyAlignment="1">
      <alignment horizontal="right" vertical="center"/>
      <protection/>
    </xf>
    <xf numFmtId="0" fontId="10" fillId="0" borderId="0" xfId="57" applyFont="1" applyAlignment="1">
      <alignment vertical="center" wrapText="1"/>
      <protection/>
    </xf>
    <xf numFmtId="0" fontId="9" fillId="39" borderId="20" xfId="57" applyFont="1" applyFill="1" applyBorder="1" applyAlignment="1">
      <alignment horizontal="center" vertical="center"/>
      <protection/>
    </xf>
    <xf numFmtId="0" fontId="9" fillId="39" borderId="21" xfId="57" applyFont="1" applyFill="1" applyBorder="1" applyAlignment="1">
      <alignment horizontal="center" vertical="center"/>
      <protection/>
    </xf>
    <xf numFmtId="0" fontId="9" fillId="0" borderId="0" xfId="57" applyFont="1" applyAlignment="1">
      <alignment vertical="center"/>
      <protection/>
    </xf>
    <xf numFmtId="0" fontId="12" fillId="39" borderId="19" xfId="57" applyFont="1" applyFill="1" applyBorder="1" applyAlignment="1">
      <alignment horizontal="center" vertical="center" wrapText="1"/>
      <protection/>
    </xf>
    <xf numFmtId="0" fontId="12" fillId="39" borderId="20" xfId="57" applyFont="1" applyFill="1" applyBorder="1" applyAlignment="1">
      <alignment horizontal="center" vertical="center" wrapText="1"/>
      <protection/>
    </xf>
    <xf numFmtId="0" fontId="12" fillId="39" borderId="20" xfId="57" applyFont="1" applyFill="1" applyBorder="1" applyAlignment="1">
      <alignment horizontal="center" vertical="center"/>
      <protection/>
    </xf>
    <xf numFmtId="0" fontId="12" fillId="39" borderId="21" xfId="57" applyFont="1" applyFill="1" applyBorder="1" applyAlignment="1">
      <alignment horizontal="center" vertical="center"/>
      <protection/>
    </xf>
    <xf numFmtId="0" fontId="12" fillId="0" borderId="0" xfId="57" applyFont="1" applyAlignment="1">
      <alignment vertical="center"/>
      <protection/>
    </xf>
    <xf numFmtId="0" fontId="10" fillId="0" borderId="19" xfId="57" applyFont="1" applyFill="1" applyBorder="1" applyAlignment="1">
      <alignment horizontal="center" vertical="center"/>
      <protection/>
    </xf>
    <xf numFmtId="49" fontId="10" fillId="0" borderId="20" xfId="57" applyNumberFormat="1" applyFont="1" applyFill="1" applyBorder="1" applyAlignment="1">
      <alignment horizontal="center" vertical="center"/>
      <protection/>
    </xf>
    <xf numFmtId="4" fontId="10" fillId="0" borderId="20" xfId="57" applyNumberFormat="1" applyFont="1" applyFill="1" applyBorder="1" applyAlignment="1">
      <alignment vertical="center"/>
      <protection/>
    </xf>
    <xf numFmtId="4" fontId="10" fillId="0" borderId="21" xfId="57" applyNumberFormat="1" applyFont="1" applyFill="1" applyBorder="1" applyAlignment="1">
      <alignment vertical="center"/>
      <protection/>
    </xf>
    <xf numFmtId="0" fontId="10" fillId="34" borderId="0" xfId="57" applyFont="1" applyFill="1" applyAlignment="1">
      <alignment vertical="center"/>
      <protection/>
    </xf>
    <xf numFmtId="4" fontId="10" fillId="34" borderId="0" xfId="57" applyNumberFormat="1" applyFont="1" applyFill="1" applyAlignment="1">
      <alignment vertical="center"/>
      <protection/>
    </xf>
    <xf numFmtId="0" fontId="10" fillId="0" borderId="67" xfId="57" applyFont="1" applyFill="1" applyBorder="1" applyAlignment="1">
      <alignment horizontal="center" vertical="center"/>
      <protection/>
    </xf>
    <xf numFmtId="0" fontId="10" fillId="0" borderId="0" xfId="57" applyFont="1" applyFill="1" applyAlignment="1">
      <alignment vertical="center"/>
      <protection/>
    </xf>
    <xf numFmtId="4" fontId="10" fillId="0" borderId="23" xfId="57" applyNumberFormat="1" applyFont="1" applyFill="1" applyBorder="1" applyAlignment="1">
      <alignment vertical="center"/>
      <protection/>
    </xf>
    <xf numFmtId="4" fontId="9" fillId="33" borderId="20" xfId="57" applyNumberFormat="1" applyFont="1" applyFill="1" applyBorder="1" applyAlignment="1">
      <alignment vertical="center"/>
      <protection/>
    </xf>
    <xf numFmtId="0" fontId="9" fillId="34" borderId="0" xfId="57" applyFont="1" applyFill="1" applyAlignment="1">
      <alignment vertical="center"/>
      <protection/>
    </xf>
    <xf numFmtId="0" fontId="9" fillId="34" borderId="20" xfId="57" applyFont="1" applyFill="1" applyBorder="1" applyAlignment="1">
      <alignment horizontal="center" vertical="center"/>
      <protection/>
    </xf>
    <xf numFmtId="0" fontId="9" fillId="34" borderId="21" xfId="57" applyFont="1" applyFill="1" applyBorder="1" applyAlignment="1">
      <alignment horizontal="center" vertical="center"/>
      <protection/>
    </xf>
    <xf numFmtId="0" fontId="9" fillId="34" borderId="19" xfId="57" applyFont="1" applyFill="1" applyBorder="1" applyAlignment="1">
      <alignment horizontal="center" vertical="center" wrapText="1"/>
      <protection/>
    </xf>
    <xf numFmtId="0" fontId="9" fillId="34" borderId="20" xfId="57" applyFont="1" applyFill="1" applyBorder="1" applyAlignment="1">
      <alignment horizontal="center" vertical="center" wrapText="1"/>
      <protection/>
    </xf>
    <xf numFmtId="0" fontId="10" fillId="0" borderId="19" xfId="57" applyFont="1" applyBorder="1" applyAlignment="1">
      <alignment horizontal="center" vertical="center"/>
      <protection/>
    </xf>
    <xf numFmtId="49" fontId="10" fillId="0" borderId="20" xfId="57" applyNumberFormat="1" applyFont="1" applyBorder="1" applyAlignment="1">
      <alignment horizontal="center" vertical="center"/>
      <protection/>
    </xf>
    <xf numFmtId="4" fontId="10" fillId="0" borderId="20" xfId="57" applyNumberFormat="1" applyFont="1" applyBorder="1" applyAlignment="1">
      <alignment vertical="center"/>
      <protection/>
    </xf>
    <xf numFmtId="4" fontId="10" fillId="0" borderId="21" xfId="57" applyNumberFormat="1" applyFont="1" applyBorder="1" applyAlignment="1">
      <alignment vertical="center"/>
      <protection/>
    </xf>
    <xf numFmtId="4" fontId="9" fillId="33" borderId="21" xfId="57" applyNumberFormat="1" applyFont="1" applyFill="1" applyBorder="1" applyAlignment="1">
      <alignment vertical="center"/>
      <protection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4" fontId="10" fillId="0" borderId="11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9" fillId="34" borderId="74" xfId="0" applyFont="1" applyFill="1" applyBorder="1" applyAlignment="1">
      <alignment horizontal="center" vertical="center" wrapText="1"/>
    </xf>
    <xf numFmtId="0" fontId="29" fillId="34" borderId="31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 wrapText="1"/>
    </xf>
    <xf numFmtId="0" fontId="29" fillId="34" borderId="34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 wrapText="1"/>
    </xf>
    <xf numFmtId="4" fontId="9" fillId="33" borderId="16" xfId="0" applyNumberFormat="1" applyFont="1" applyFill="1" applyBorder="1" applyAlignment="1">
      <alignment vertical="center"/>
    </xf>
    <xf numFmtId="174" fontId="9" fillId="33" borderId="17" xfId="0" applyNumberFormat="1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vertical="center"/>
    </xf>
    <xf numFmtId="4" fontId="9" fillId="33" borderId="29" xfId="0" applyNumberFormat="1" applyFont="1" applyFill="1" applyBorder="1" applyAlignment="1">
      <alignment vertical="center"/>
    </xf>
    <xf numFmtId="174" fontId="9" fillId="33" borderId="38" xfId="0" applyNumberFormat="1" applyFont="1" applyFill="1" applyBorder="1" applyAlignment="1">
      <alignment vertical="center"/>
    </xf>
    <xf numFmtId="4" fontId="9" fillId="37" borderId="51" xfId="0" applyNumberFormat="1" applyFont="1" applyFill="1" applyBorder="1" applyAlignment="1">
      <alignment vertical="center"/>
    </xf>
    <xf numFmtId="174" fontId="9" fillId="37" borderId="4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4" fontId="10" fillId="0" borderId="14" xfId="0" applyNumberFormat="1" applyFont="1" applyBorder="1" applyAlignment="1">
      <alignment vertical="center"/>
    </xf>
    <xf numFmtId="9" fontId="10" fillId="0" borderId="10" xfId="6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174" fontId="10" fillId="0" borderId="38" xfId="0" applyNumberFormat="1" applyFont="1" applyBorder="1" applyAlignment="1">
      <alignment horizontal="center" vertical="center"/>
    </xf>
    <xf numFmtId="0" fontId="9" fillId="33" borderId="67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 wrapText="1"/>
    </xf>
    <xf numFmtId="4" fontId="9" fillId="33" borderId="20" xfId="0" applyNumberFormat="1" applyFont="1" applyFill="1" applyBorder="1" applyAlignment="1">
      <alignment vertical="center"/>
    </xf>
    <xf numFmtId="174" fontId="9" fillId="33" borderId="21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/>
    </xf>
    <xf numFmtId="174" fontId="9" fillId="33" borderId="11" xfId="0" applyNumberFormat="1" applyFont="1" applyFill="1" applyBorder="1" applyAlignment="1">
      <alignment horizontal="center" vertical="center"/>
    </xf>
    <xf numFmtId="174" fontId="9" fillId="33" borderId="38" xfId="0" applyNumberFormat="1" applyFont="1" applyFill="1" applyBorder="1" applyAlignment="1">
      <alignment horizontal="center" vertical="center"/>
    </xf>
    <xf numFmtId="174" fontId="9" fillId="33" borderId="17" xfId="0" applyNumberFormat="1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0" fontId="9" fillId="0" borderId="0" xfId="52" applyFont="1" applyAlignment="1">
      <alignment horizontal="center" vertical="center"/>
      <protection/>
    </xf>
    <xf numFmtId="0" fontId="9" fillId="39" borderId="0" xfId="0" applyFont="1" applyFill="1" applyAlignment="1">
      <alignment horizontal="center" vertical="center"/>
    </xf>
    <xf numFmtId="0" fontId="29" fillId="39" borderId="0" xfId="0" applyFont="1" applyFill="1" applyAlignment="1">
      <alignment horizontal="center" vertical="center"/>
    </xf>
    <xf numFmtId="174" fontId="10" fillId="0" borderId="11" xfId="0" applyNumberFormat="1" applyFont="1" applyBorder="1" applyAlignment="1">
      <alignment horizontal="right" vertical="center"/>
    </xf>
    <xf numFmtId="174" fontId="10" fillId="0" borderId="38" xfId="0" applyNumberFormat="1" applyFont="1" applyBorder="1" applyAlignment="1">
      <alignment horizontal="right" vertical="center"/>
    </xf>
    <xf numFmtId="4" fontId="9" fillId="37" borderId="32" xfId="0" applyNumberFormat="1" applyFont="1" applyFill="1" applyBorder="1" applyAlignment="1">
      <alignment vertical="center"/>
    </xf>
    <xf numFmtId="174" fontId="9" fillId="37" borderId="34" xfId="0" applyNumberFormat="1" applyFont="1" applyFill="1" applyBorder="1" applyAlignment="1">
      <alignment vertical="center"/>
    </xf>
    <xf numFmtId="174" fontId="9" fillId="34" borderId="17" xfId="0" applyNumberFormat="1" applyFont="1" applyFill="1" applyBorder="1" applyAlignment="1">
      <alignment horizontal="center" vertical="center"/>
    </xf>
    <xf numFmtId="0" fontId="9" fillId="34" borderId="71" xfId="0" applyFont="1" applyFill="1" applyBorder="1" applyAlignment="1">
      <alignment horizontal="center" vertical="center"/>
    </xf>
    <xf numFmtId="0" fontId="9" fillId="34" borderId="59" xfId="0" applyFont="1" applyFill="1" applyBorder="1" applyAlignment="1">
      <alignment horizontal="center" vertical="center"/>
    </xf>
    <xf numFmtId="3" fontId="9" fillId="34" borderId="47" xfId="0" applyNumberFormat="1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vertical="center" wrapText="1"/>
    </xf>
    <xf numFmtId="4" fontId="9" fillId="33" borderId="53" xfId="0" applyNumberFormat="1" applyFont="1" applyFill="1" applyBorder="1" applyAlignment="1">
      <alignment horizontal="right" vertical="center"/>
    </xf>
    <xf numFmtId="174" fontId="9" fillId="33" borderId="74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vertical="center"/>
    </xf>
    <xf numFmtId="4" fontId="9" fillId="33" borderId="28" xfId="0" applyNumberFormat="1" applyFont="1" applyFill="1" applyBorder="1" applyAlignment="1">
      <alignment horizontal="right" vertical="center"/>
    </xf>
    <xf numFmtId="4" fontId="10" fillId="0" borderId="15" xfId="0" applyNumberFormat="1" applyFont="1" applyBorder="1" applyAlignment="1">
      <alignment horizontal="right" vertical="center"/>
    </xf>
    <xf numFmtId="0" fontId="11" fillId="0" borderId="18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vertical="center" wrapText="1"/>
    </xf>
    <xf numFmtId="4" fontId="11" fillId="0" borderId="15" xfId="0" applyNumberFormat="1" applyFont="1" applyBorder="1" applyAlignment="1">
      <alignment horizontal="right" vertical="center"/>
    </xf>
    <xf numFmtId="174" fontId="11" fillId="0" borderId="11" xfId="0" applyNumberFormat="1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49" fontId="11" fillId="0" borderId="25" xfId="0" applyNumberFormat="1" applyFont="1" applyBorder="1" applyAlignment="1">
      <alignment vertical="center"/>
    </xf>
    <xf numFmtId="4" fontId="11" fillId="0" borderId="25" xfId="0" applyNumberFormat="1" applyFont="1" applyBorder="1" applyAlignment="1">
      <alignment horizontal="right" vertical="center"/>
    </xf>
    <xf numFmtId="4" fontId="9" fillId="37" borderId="25" xfId="0" applyNumberFormat="1" applyFont="1" applyFill="1" applyBorder="1" applyAlignment="1">
      <alignment horizontal="right" vertical="center"/>
    </xf>
    <xf numFmtId="4" fontId="9" fillId="37" borderId="36" xfId="0" applyNumberFormat="1" applyFont="1" applyFill="1" applyBorder="1" applyAlignment="1">
      <alignment horizontal="right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 wrapText="1"/>
    </xf>
    <xf numFmtId="4" fontId="9" fillId="33" borderId="76" xfId="0" applyNumberFormat="1" applyFont="1" applyFill="1" applyBorder="1" applyAlignment="1">
      <alignment horizontal="right" vertical="center"/>
    </xf>
    <xf numFmtId="4" fontId="9" fillId="37" borderId="39" xfId="0" applyNumberFormat="1" applyFont="1" applyFill="1" applyBorder="1" applyAlignment="1">
      <alignment horizontal="right" vertical="center"/>
    </xf>
    <xf numFmtId="169" fontId="9" fillId="37" borderId="40" xfId="0" applyNumberFormat="1" applyFont="1" applyFill="1" applyBorder="1" applyAlignment="1">
      <alignment vertical="center"/>
    </xf>
    <xf numFmtId="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74" fontId="10" fillId="0" borderId="0" xfId="0" applyNumberFormat="1" applyFont="1" applyAlignment="1">
      <alignment horizontal="right" vertical="center"/>
    </xf>
    <xf numFmtId="0" fontId="9" fillId="34" borderId="44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164" fontId="9" fillId="34" borderId="28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4" borderId="77" xfId="0" applyFont="1" applyFill="1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164" fontId="9" fillId="34" borderId="33" xfId="0" applyNumberFormat="1" applyFont="1" applyFill="1" applyBorder="1" applyAlignment="1">
      <alignment horizontal="center" vertical="center"/>
    </xf>
    <xf numFmtId="3" fontId="9" fillId="34" borderId="34" xfId="0" applyNumberFormat="1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vertical="center" wrapText="1"/>
    </xf>
    <xf numFmtId="0" fontId="9" fillId="33" borderId="23" xfId="0" applyFont="1" applyFill="1" applyBorder="1" applyAlignment="1">
      <alignment vertical="center"/>
    </xf>
    <xf numFmtId="4" fontId="9" fillId="33" borderId="23" xfId="0" applyNumberFormat="1" applyFont="1" applyFill="1" applyBorder="1" applyAlignment="1">
      <alignment horizontal="right" vertical="center"/>
    </xf>
    <xf numFmtId="174" fontId="9" fillId="33" borderId="21" xfId="0" applyNumberFormat="1" applyFont="1" applyFill="1" applyBorder="1" applyAlignment="1">
      <alignment horizontal="right" vertical="center"/>
    </xf>
    <xf numFmtId="49" fontId="11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4" fontId="11" fillId="0" borderId="11" xfId="0" applyNumberFormat="1" applyFont="1" applyBorder="1" applyAlignment="1">
      <alignment horizontal="right" vertical="center"/>
    </xf>
    <xf numFmtId="174" fontId="9" fillId="37" borderId="4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10" fillId="0" borderId="35" xfId="0" applyFont="1" applyBorder="1" applyAlignment="1">
      <alignment horizontal="center" vertical="center"/>
    </xf>
    <xf numFmtId="0" fontId="10" fillId="0" borderId="25" xfId="0" applyFont="1" applyBorder="1" applyAlignment="1">
      <alignment vertical="center" wrapText="1"/>
    </xf>
    <xf numFmtId="4" fontId="10" fillId="0" borderId="25" xfId="0" applyNumberFormat="1" applyFont="1" applyBorder="1" applyAlignment="1">
      <alignment horizontal="right" vertical="center"/>
    </xf>
    <xf numFmtId="0" fontId="9" fillId="33" borderId="25" xfId="0" applyFont="1" applyFill="1" applyBorder="1" applyAlignment="1">
      <alignment vertical="center" wrapText="1"/>
    </xf>
    <xf numFmtId="4" fontId="9" fillId="33" borderId="15" xfId="0" applyNumberFormat="1" applyFont="1" applyFill="1" applyBorder="1" applyAlignment="1">
      <alignment horizontal="right" vertical="center"/>
    </xf>
    <xf numFmtId="0" fontId="9" fillId="33" borderId="50" xfId="0" applyFont="1" applyFill="1" applyBorder="1" applyAlignment="1">
      <alignment horizontal="center" vertical="center"/>
    </xf>
    <xf numFmtId="4" fontId="9" fillId="33" borderId="39" xfId="0" applyNumberFormat="1" applyFont="1" applyFill="1" applyBorder="1" applyAlignment="1">
      <alignment horizontal="right" vertical="center"/>
    </xf>
    <xf numFmtId="174" fontId="9" fillId="33" borderId="40" xfId="0" applyNumberFormat="1" applyFont="1" applyFill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174" fontId="10" fillId="0" borderId="26" xfId="0" applyNumberFormat="1" applyFont="1" applyBorder="1" applyAlignment="1">
      <alignment horizontal="right" vertical="center"/>
    </xf>
    <xf numFmtId="4" fontId="9" fillId="37" borderId="15" xfId="0" applyNumberFormat="1" applyFont="1" applyFill="1" applyBorder="1" applyAlignment="1">
      <alignment horizontal="right" vertical="center"/>
    </xf>
    <xf numFmtId="174" fontId="9" fillId="37" borderId="11" xfId="0" applyNumberFormat="1" applyFont="1" applyFill="1" applyBorder="1" applyAlignment="1">
      <alignment vertical="center"/>
    </xf>
    <xf numFmtId="4" fontId="9" fillId="33" borderId="51" xfId="0" applyNumberFormat="1" applyFont="1" applyFill="1" applyBorder="1" applyAlignment="1">
      <alignment horizontal="right" vertical="center"/>
    </xf>
    <xf numFmtId="4" fontId="9" fillId="37" borderId="51" xfId="0" applyNumberFormat="1" applyFont="1" applyFill="1" applyBorder="1" applyAlignment="1">
      <alignment horizontal="right" vertical="center"/>
    </xf>
    <xf numFmtId="0" fontId="10" fillId="0" borderId="0" xfId="55" applyFont="1" applyAlignment="1">
      <alignment horizontal="center" vertical="center" wrapText="1"/>
      <protection/>
    </xf>
    <xf numFmtId="0" fontId="10" fillId="0" borderId="0" xfId="55" applyFont="1" applyAlignment="1">
      <alignment vertical="center" wrapText="1"/>
      <protection/>
    </xf>
    <xf numFmtId="43" fontId="10" fillId="0" borderId="0" xfId="42" applyFont="1" applyAlignment="1">
      <alignment vertical="center" wrapText="1"/>
    </xf>
    <xf numFmtId="0" fontId="9" fillId="0" borderId="0" xfId="55" applyFont="1" applyAlignment="1">
      <alignment horizontal="center" vertical="center" wrapText="1"/>
      <protection/>
    </xf>
    <xf numFmtId="43" fontId="10" fillId="0" borderId="0" xfId="42" applyFont="1" applyAlignment="1">
      <alignment horizontal="right" vertical="center" wrapText="1"/>
    </xf>
    <xf numFmtId="0" fontId="9" fillId="34" borderId="30" xfId="55" applyFont="1" applyFill="1" applyBorder="1" applyAlignment="1">
      <alignment horizontal="center" vertical="center" wrapText="1"/>
      <protection/>
    </xf>
    <xf numFmtId="0" fontId="9" fillId="34" borderId="16" xfId="55" applyFont="1" applyFill="1" applyBorder="1" applyAlignment="1">
      <alignment horizontal="center" vertical="center" wrapText="1"/>
      <protection/>
    </xf>
    <xf numFmtId="43" fontId="9" fillId="34" borderId="16" xfId="42" applyFont="1" applyFill="1" applyBorder="1" applyAlignment="1">
      <alignment horizontal="center" vertical="center" wrapText="1"/>
    </xf>
    <xf numFmtId="43" fontId="9" fillId="34" borderId="28" xfId="42" applyFont="1" applyFill="1" applyBorder="1" applyAlignment="1">
      <alignment horizontal="center" vertical="center" wrapText="1"/>
    </xf>
    <xf numFmtId="0" fontId="9" fillId="34" borderId="17" xfId="55" applyFont="1" applyFill="1" applyBorder="1" applyAlignment="1">
      <alignment horizontal="center" vertical="center" wrapText="1"/>
      <protection/>
    </xf>
    <xf numFmtId="1" fontId="9" fillId="34" borderId="35" xfId="55" applyNumberFormat="1" applyFont="1" applyFill="1" applyBorder="1" applyAlignment="1">
      <alignment horizontal="center" vertical="center" wrapText="1"/>
      <protection/>
    </xf>
    <xf numFmtId="1" fontId="9" fillId="34" borderId="36" xfId="55" applyNumberFormat="1" applyFont="1" applyFill="1" applyBorder="1" applyAlignment="1">
      <alignment horizontal="center" vertical="center" wrapText="1"/>
      <protection/>
    </xf>
    <xf numFmtId="1" fontId="9" fillId="34" borderId="36" xfId="42" applyNumberFormat="1" applyFont="1" applyFill="1" applyBorder="1" applyAlignment="1">
      <alignment horizontal="center" vertical="center" wrapText="1"/>
    </xf>
    <xf numFmtId="1" fontId="9" fillId="34" borderId="25" xfId="42" applyNumberFormat="1" applyFont="1" applyFill="1" applyBorder="1" applyAlignment="1">
      <alignment horizontal="center" vertical="center" wrapText="1"/>
    </xf>
    <xf numFmtId="1" fontId="9" fillId="34" borderId="26" xfId="55" applyNumberFormat="1" applyFont="1" applyFill="1" applyBorder="1" applyAlignment="1">
      <alignment horizontal="center" vertical="center" wrapText="1"/>
      <protection/>
    </xf>
    <xf numFmtId="1" fontId="10" fillId="0" borderId="0" xfId="55" applyNumberFormat="1" applyFont="1" applyAlignment="1">
      <alignment horizontal="center" vertical="center" wrapText="1"/>
      <protection/>
    </xf>
    <xf numFmtId="0" fontId="9" fillId="33" borderId="30" xfId="55" applyFont="1" applyFill="1" applyBorder="1" applyAlignment="1">
      <alignment horizontal="center" vertical="center" wrapText="1"/>
      <protection/>
    </xf>
    <xf numFmtId="0" fontId="9" fillId="33" borderId="16" xfId="55" applyFont="1" applyFill="1" applyBorder="1" applyAlignment="1">
      <alignment vertical="center" wrapText="1"/>
      <protection/>
    </xf>
    <xf numFmtId="43" fontId="9" fillId="33" borderId="16" xfId="42" applyFont="1" applyFill="1" applyBorder="1" applyAlignment="1">
      <alignment vertical="center" wrapText="1"/>
    </xf>
    <xf numFmtId="43" fontId="9" fillId="33" borderId="28" xfId="42" applyFont="1" applyFill="1" applyBorder="1" applyAlignment="1">
      <alignment vertical="center" wrapText="1"/>
    </xf>
    <xf numFmtId="169" fontId="9" fillId="33" borderId="17" xfId="55" applyNumberFormat="1" applyFont="1" applyFill="1" applyBorder="1" applyAlignment="1">
      <alignment vertical="center" wrapText="1"/>
      <protection/>
    </xf>
    <xf numFmtId="0" fontId="9" fillId="0" borderId="0" xfId="55" applyFont="1" applyAlignment="1">
      <alignment vertical="center" wrapText="1"/>
      <protection/>
    </xf>
    <xf numFmtId="0" fontId="9" fillId="33" borderId="18" xfId="55" applyFont="1" applyFill="1" applyBorder="1" applyAlignment="1">
      <alignment horizontal="center" vertical="center" wrapText="1"/>
      <protection/>
    </xf>
    <xf numFmtId="0" fontId="9" fillId="33" borderId="15" xfId="55" applyFont="1" applyFill="1" applyBorder="1" applyAlignment="1">
      <alignment vertical="center" wrapText="1"/>
      <protection/>
    </xf>
    <xf numFmtId="43" fontId="9" fillId="33" borderId="15" xfId="42" applyFont="1" applyFill="1" applyBorder="1" applyAlignment="1">
      <alignment vertical="center" wrapText="1"/>
    </xf>
    <xf numFmtId="169" fontId="9" fillId="33" borderId="11" xfId="55" applyNumberFormat="1" applyFont="1" applyFill="1" applyBorder="1" applyAlignment="1">
      <alignment vertical="center" wrapText="1"/>
      <protection/>
    </xf>
    <xf numFmtId="0" fontId="10" fillId="0" borderId="18" xfId="55" applyFont="1" applyBorder="1" applyAlignment="1">
      <alignment horizontal="center" vertical="center" wrapText="1"/>
      <protection/>
    </xf>
    <xf numFmtId="0" fontId="10" fillId="0" borderId="15" xfId="55" applyFont="1" applyBorder="1" applyAlignment="1">
      <alignment vertical="center" wrapText="1"/>
      <protection/>
    </xf>
    <xf numFmtId="43" fontId="10" fillId="0" borderId="15" xfId="42" applyFont="1" applyBorder="1" applyAlignment="1">
      <alignment vertical="center" wrapText="1"/>
    </xf>
    <xf numFmtId="169" fontId="10" fillId="0" borderId="11" xfId="55" applyNumberFormat="1" applyFont="1" applyBorder="1" applyAlignment="1">
      <alignment vertical="center" wrapText="1"/>
      <protection/>
    </xf>
    <xf numFmtId="0" fontId="10" fillId="0" borderId="22" xfId="55" applyFont="1" applyBorder="1" applyAlignment="1">
      <alignment vertical="center" wrapText="1"/>
      <protection/>
    </xf>
    <xf numFmtId="43" fontId="10" fillId="0" borderId="22" xfId="42" applyFont="1" applyBorder="1" applyAlignment="1">
      <alignment vertical="center" wrapText="1"/>
    </xf>
    <xf numFmtId="169" fontId="10" fillId="0" borderId="38" xfId="55" applyNumberFormat="1" applyFont="1" applyBorder="1" applyAlignment="1">
      <alignment vertical="center" wrapText="1"/>
      <protection/>
    </xf>
    <xf numFmtId="169" fontId="10" fillId="0" borderId="11" xfId="55" applyNumberFormat="1" applyFont="1" applyBorder="1" applyAlignment="1">
      <alignment horizontal="right" vertical="center" wrapText="1"/>
      <protection/>
    </xf>
    <xf numFmtId="0" fontId="9" fillId="33" borderId="69" xfId="55" applyFont="1" applyFill="1" applyBorder="1" applyAlignment="1">
      <alignment horizontal="center" vertical="center" wrapText="1"/>
      <protection/>
    </xf>
    <xf numFmtId="0" fontId="9" fillId="33" borderId="46" xfId="55" applyFont="1" applyFill="1" applyBorder="1" applyAlignment="1">
      <alignment vertical="center" wrapText="1"/>
      <protection/>
    </xf>
    <xf numFmtId="43" fontId="9" fillId="33" borderId="46" xfId="42" applyFont="1" applyFill="1" applyBorder="1" applyAlignment="1">
      <alignment vertical="center" wrapText="1"/>
    </xf>
    <xf numFmtId="169" fontId="9" fillId="33" borderId="47" xfId="55" applyNumberFormat="1" applyFont="1" applyFill="1" applyBorder="1" applyAlignment="1">
      <alignment vertical="center" wrapText="1"/>
      <protection/>
    </xf>
    <xf numFmtId="0" fontId="10" fillId="0" borderId="45" xfId="55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 wrapText="1"/>
      <protection/>
    </xf>
    <xf numFmtId="0" fontId="9" fillId="33" borderId="67" xfId="55" applyFont="1" applyFill="1" applyBorder="1" applyAlignment="1">
      <alignment horizontal="center" vertical="center" wrapText="1"/>
      <protection/>
    </xf>
    <xf numFmtId="0" fontId="9" fillId="33" borderId="23" xfId="55" applyFont="1" applyFill="1" applyBorder="1" applyAlignment="1">
      <alignment vertical="center" wrapText="1"/>
      <protection/>
    </xf>
    <xf numFmtId="43" fontId="9" fillId="33" borderId="23" xfId="42" applyFont="1" applyFill="1" applyBorder="1" applyAlignment="1">
      <alignment vertical="center" wrapText="1"/>
    </xf>
    <xf numFmtId="169" fontId="9" fillId="33" borderId="21" xfId="55" applyNumberFormat="1" applyFont="1" applyFill="1" applyBorder="1" applyAlignment="1">
      <alignment vertical="center" wrapText="1"/>
      <protection/>
    </xf>
    <xf numFmtId="43" fontId="9" fillId="0" borderId="0" xfId="55" applyNumberFormat="1" applyFont="1" applyAlignment="1">
      <alignment vertical="center" wrapText="1"/>
      <protection/>
    </xf>
    <xf numFmtId="0" fontId="9" fillId="33" borderId="19" xfId="55" applyFont="1" applyFill="1" applyBorder="1" applyAlignment="1">
      <alignment horizontal="center" vertical="center" wrapText="1"/>
      <protection/>
    </xf>
    <xf numFmtId="0" fontId="9" fillId="33" borderId="20" xfId="55" applyFont="1" applyFill="1" applyBorder="1" applyAlignment="1">
      <alignment vertical="center" wrapText="1"/>
      <protection/>
    </xf>
    <xf numFmtId="43" fontId="9" fillId="33" borderId="20" xfId="42" applyFont="1" applyFill="1" applyBorder="1" applyAlignment="1">
      <alignment vertical="center" wrapText="1"/>
    </xf>
    <xf numFmtId="169" fontId="9" fillId="33" borderId="21" xfId="55" applyNumberFormat="1" applyFont="1" applyFill="1" applyBorder="1" applyAlignment="1">
      <alignment horizontal="right" vertical="center" wrapText="1"/>
      <protection/>
    </xf>
    <xf numFmtId="43" fontId="10" fillId="0" borderId="0" xfId="55" applyNumberFormat="1" applyFont="1" applyAlignment="1">
      <alignment vertical="center" wrapText="1"/>
      <protection/>
    </xf>
    <xf numFmtId="0" fontId="9" fillId="33" borderId="35" xfId="55" applyFont="1" applyFill="1" applyBorder="1" applyAlignment="1">
      <alignment horizontal="center" vertical="center" wrapText="1"/>
      <protection/>
    </xf>
    <xf numFmtId="0" fontId="9" fillId="33" borderId="36" xfId="55" applyFont="1" applyFill="1" applyBorder="1" applyAlignment="1">
      <alignment vertical="center" wrapText="1"/>
      <protection/>
    </xf>
    <xf numFmtId="43" fontId="9" fillId="33" borderId="25" xfId="42" applyFont="1" applyFill="1" applyBorder="1" applyAlignment="1">
      <alignment vertical="center" wrapText="1"/>
    </xf>
    <xf numFmtId="169" fontId="9" fillId="33" borderId="34" xfId="55" applyNumberFormat="1" applyFont="1" applyFill="1" applyBorder="1" applyAlignment="1">
      <alignment horizontal="right" vertical="center" wrapText="1"/>
      <protection/>
    </xf>
    <xf numFmtId="0" fontId="9" fillId="34" borderId="44" xfId="55" applyFont="1" applyFill="1" applyBorder="1" applyAlignment="1">
      <alignment horizontal="center" vertical="center" wrapText="1"/>
      <protection/>
    </xf>
    <xf numFmtId="0" fontId="9" fillId="34" borderId="28" xfId="55" applyFont="1" applyFill="1" applyBorder="1" applyAlignment="1">
      <alignment horizontal="center" vertical="center" wrapText="1"/>
      <protection/>
    </xf>
    <xf numFmtId="1" fontId="9" fillId="34" borderId="24" xfId="55" applyNumberFormat="1" applyFont="1" applyFill="1" applyBorder="1" applyAlignment="1">
      <alignment horizontal="center" vertical="center" wrapText="1"/>
      <protection/>
    </xf>
    <xf numFmtId="1" fontId="9" fillId="34" borderId="25" xfId="55" applyNumberFormat="1" applyFont="1" applyFill="1" applyBorder="1" applyAlignment="1">
      <alignment horizontal="center" vertical="center" wrapText="1"/>
      <protection/>
    </xf>
    <xf numFmtId="1" fontId="9" fillId="0" borderId="0" xfId="55" applyNumberFormat="1" applyFont="1" applyAlignment="1">
      <alignment horizontal="center" vertical="center" wrapText="1"/>
      <protection/>
    </xf>
    <xf numFmtId="0" fontId="9" fillId="33" borderId="41" xfId="55" applyFont="1" applyFill="1" applyBorder="1" applyAlignment="1">
      <alignment horizontal="center" vertical="center" wrapText="1"/>
      <protection/>
    </xf>
    <xf numFmtId="0" fontId="9" fillId="33" borderId="22" xfId="55" applyFont="1" applyFill="1" applyBorder="1" applyAlignment="1">
      <alignment vertical="center" wrapText="1"/>
      <protection/>
    </xf>
    <xf numFmtId="43" fontId="9" fillId="33" borderId="22" xfId="42" applyFont="1" applyFill="1" applyBorder="1" applyAlignment="1">
      <alignment vertical="center" wrapText="1"/>
    </xf>
    <xf numFmtId="169" fontId="9" fillId="33" borderId="38" xfId="55" applyNumberFormat="1" applyFont="1" applyFill="1" applyBorder="1" applyAlignment="1">
      <alignment vertical="center" wrapText="1"/>
      <protection/>
    </xf>
    <xf numFmtId="43" fontId="10" fillId="0" borderId="22" xfId="42" applyFont="1" applyFill="1" applyBorder="1" applyAlignment="1">
      <alignment vertical="center" wrapText="1"/>
    </xf>
    <xf numFmtId="0" fontId="9" fillId="33" borderId="77" xfId="55" applyFont="1" applyFill="1" applyBorder="1" applyAlignment="1">
      <alignment horizontal="center" vertical="center" wrapText="1"/>
      <protection/>
    </xf>
    <xf numFmtId="0" fontId="9" fillId="33" borderId="33" xfId="55" applyFont="1" applyFill="1" applyBorder="1" applyAlignment="1">
      <alignment vertical="center" wrapText="1"/>
      <protection/>
    </xf>
    <xf numFmtId="43" fontId="9" fillId="33" borderId="33" xfId="42" applyFont="1" applyFill="1" applyBorder="1" applyAlignment="1">
      <alignment vertical="center" wrapText="1"/>
    </xf>
    <xf numFmtId="49" fontId="11" fillId="0" borderId="78" xfId="0" applyNumberFormat="1" applyFont="1" applyFill="1" applyBorder="1" applyAlignment="1">
      <alignment horizontal="center" vertical="center"/>
    </xf>
    <xf numFmtId="49" fontId="11" fillId="0" borderId="79" xfId="0" applyNumberFormat="1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left" vertical="center" wrapText="1"/>
    </xf>
    <xf numFmtId="4" fontId="11" fillId="0" borderId="79" xfId="0" applyNumberFormat="1" applyFont="1" applyFill="1" applyBorder="1" applyAlignment="1">
      <alignment horizontal="right" vertical="center"/>
    </xf>
    <xf numFmtId="4" fontId="11" fillId="0" borderId="80" xfId="0" applyNumberFormat="1" applyFont="1" applyFill="1" applyBorder="1" applyAlignment="1">
      <alignment horizontal="right" vertical="center"/>
    </xf>
    <xf numFmtId="4" fontId="11" fillId="0" borderId="81" xfId="0" applyNumberFormat="1" applyFont="1" applyBorder="1" applyAlignment="1">
      <alignment vertical="center"/>
    </xf>
    <xf numFmtId="49" fontId="11" fillId="0" borderId="82" xfId="0" applyNumberFormat="1" applyFont="1" applyFill="1" applyBorder="1" applyAlignment="1">
      <alignment horizontal="center" vertical="center"/>
    </xf>
    <xf numFmtId="49" fontId="11" fillId="0" borderId="83" xfId="0" applyNumberFormat="1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left" vertical="center" wrapText="1"/>
    </xf>
    <xf numFmtId="4" fontId="11" fillId="0" borderId="83" xfId="0" applyNumberFormat="1" applyFont="1" applyFill="1" applyBorder="1" applyAlignment="1">
      <alignment horizontal="right" vertical="center"/>
    </xf>
    <xf numFmtId="4" fontId="11" fillId="0" borderId="84" xfId="0" applyNumberFormat="1" applyFont="1" applyFill="1" applyBorder="1" applyAlignment="1">
      <alignment horizontal="right" vertical="center"/>
    </xf>
    <xf numFmtId="4" fontId="11" fillId="0" borderId="85" xfId="0" applyNumberFormat="1" applyFont="1" applyBorder="1" applyAlignment="1">
      <alignment vertical="center"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 wrapText="1"/>
    </xf>
    <xf numFmtId="4" fontId="11" fillId="0" borderId="29" xfId="0" applyNumberFormat="1" applyFont="1" applyFill="1" applyBorder="1" applyAlignment="1">
      <alignment horizontal="right" vertical="center"/>
    </xf>
    <xf numFmtId="4" fontId="11" fillId="0" borderId="22" xfId="0" applyNumberFormat="1" applyFont="1" applyFill="1" applyBorder="1" applyAlignment="1">
      <alignment horizontal="right" vertical="center"/>
    </xf>
    <xf numFmtId="4" fontId="11" fillId="0" borderId="38" xfId="0" applyNumberFormat="1" applyFont="1" applyBorder="1" applyAlignment="1">
      <alignment vertical="center"/>
    </xf>
    <xf numFmtId="49" fontId="10" fillId="0" borderId="64" xfId="0" applyNumberFormat="1" applyFont="1" applyFill="1" applyBorder="1" applyAlignment="1">
      <alignment horizontal="center" vertical="center"/>
    </xf>
    <xf numFmtId="49" fontId="10" fillId="0" borderId="65" xfId="0" applyNumberFormat="1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left" vertical="center" wrapText="1"/>
    </xf>
    <xf numFmtId="4" fontId="10" fillId="0" borderId="65" xfId="0" applyNumberFormat="1" applyFont="1" applyFill="1" applyBorder="1" applyAlignment="1">
      <alignment horizontal="right" vertical="center"/>
    </xf>
    <xf numFmtId="4" fontId="10" fillId="0" borderId="66" xfId="0" applyNumberFormat="1" applyFont="1" applyBorder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9" fillId="34" borderId="0" xfId="0" applyFont="1" applyFill="1" applyAlignment="1">
      <alignment vertical="center"/>
    </xf>
    <xf numFmtId="0" fontId="9" fillId="34" borderId="20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12" fillId="34" borderId="0" xfId="0" applyFont="1" applyFill="1" applyAlignment="1">
      <alignment horizontal="center" vertical="center"/>
    </xf>
    <xf numFmtId="4" fontId="9" fillId="33" borderId="43" xfId="0" applyNumberFormat="1" applyFont="1" applyFill="1" applyBorder="1" applyAlignment="1">
      <alignment horizontal="right" vertical="center"/>
    </xf>
    <xf numFmtId="4" fontId="9" fillId="33" borderId="17" xfId="0" applyNumberFormat="1" applyFont="1" applyFill="1" applyBorder="1" applyAlignment="1">
      <alignment horizontal="right" vertical="center"/>
    </xf>
    <xf numFmtId="4" fontId="10" fillId="0" borderId="66" xfId="0" applyNumberFormat="1" applyFont="1" applyFill="1" applyBorder="1" applyAlignment="1">
      <alignment horizontal="right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 wrapText="1"/>
    </xf>
    <xf numFmtId="4" fontId="10" fillId="0" borderId="20" xfId="0" applyNumberFormat="1" applyFont="1" applyFill="1" applyBorder="1" applyAlignment="1">
      <alignment horizontal="right" vertical="center"/>
    </xf>
    <xf numFmtId="4" fontId="10" fillId="0" borderId="23" xfId="0" applyNumberFormat="1" applyFont="1" applyFill="1" applyBorder="1" applyAlignment="1">
      <alignment horizontal="right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4" fontId="10" fillId="0" borderId="36" xfId="0" applyNumberFormat="1" applyFont="1" applyFill="1" applyBorder="1" applyAlignment="1">
      <alignment horizontal="right" vertical="center"/>
    </xf>
    <xf numFmtId="4" fontId="10" fillId="0" borderId="25" xfId="0" applyNumberFormat="1" applyFont="1" applyFill="1" applyBorder="1" applyAlignment="1">
      <alignment horizontal="right" vertical="center"/>
    </xf>
    <xf numFmtId="4" fontId="10" fillId="0" borderId="26" xfId="0" applyNumberFormat="1" applyFont="1" applyBorder="1" applyAlignment="1">
      <alignment vertical="center"/>
    </xf>
    <xf numFmtId="4" fontId="9" fillId="37" borderId="26" xfId="0" applyNumberFormat="1" applyFont="1" applyFill="1" applyBorder="1" applyAlignment="1">
      <alignment horizontal="right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left" vertical="center" wrapText="1"/>
    </xf>
    <xf numFmtId="4" fontId="10" fillId="0" borderId="65" xfId="0" applyNumberFormat="1" applyFont="1" applyBorder="1" applyAlignment="1">
      <alignment horizontal="right" vertical="center"/>
    </xf>
    <xf numFmtId="4" fontId="10" fillId="0" borderId="66" xfId="0" applyNumberFormat="1" applyFont="1" applyBorder="1" applyAlignment="1">
      <alignment horizontal="right" vertical="center"/>
    </xf>
    <xf numFmtId="4" fontId="9" fillId="33" borderId="20" xfId="0" applyNumberFormat="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vertical="center"/>
    </xf>
    <xf numFmtId="169" fontId="9" fillId="0" borderId="14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" fontId="10" fillId="0" borderId="10" xfId="0" applyNumberFormat="1" applyFont="1" applyFill="1" applyBorder="1" applyAlignment="1">
      <alignment vertical="center"/>
    </xf>
    <xf numFmtId="169" fontId="10" fillId="0" borderId="14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49" fontId="19" fillId="0" borderId="18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vertical="center"/>
    </xf>
    <xf numFmtId="4" fontId="10" fillId="0" borderId="13" xfId="0" applyNumberFormat="1" applyFont="1" applyFill="1" applyBorder="1" applyAlignment="1">
      <alignment vertical="center"/>
    </xf>
    <xf numFmtId="4" fontId="10" fillId="37" borderId="0" xfId="0" applyNumberFormat="1" applyFont="1" applyFill="1" applyAlignment="1">
      <alignment/>
    </xf>
    <xf numFmtId="49" fontId="9" fillId="37" borderId="41" xfId="0" applyNumberFormat="1" applyFont="1" applyFill="1" applyBorder="1" applyAlignment="1">
      <alignment horizontal="center" vertical="center"/>
    </xf>
    <xf numFmtId="49" fontId="9" fillId="37" borderId="42" xfId="0" applyNumberFormat="1" applyFont="1" applyFill="1" applyBorder="1" applyAlignment="1">
      <alignment horizontal="center" vertical="center"/>
    </xf>
    <xf numFmtId="49" fontId="9" fillId="37" borderId="55" xfId="0" applyNumberFormat="1" applyFont="1" applyFill="1" applyBorder="1" applyAlignment="1">
      <alignment vertical="center" wrapText="1"/>
    </xf>
    <xf numFmtId="4" fontId="9" fillId="37" borderId="29" xfId="0" applyNumberFormat="1" applyFont="1" applyFill="1" applyBorder="1" applyAlignment="1">
      <alignment vertical="center"/>
    </xf>
    <xf numFmtId="49" fontId="16" fillId="0" borderId="12" xfId="0" applyNumberFormat="1" applyFont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vertical="top"/>
    </xf>
    <xf numFmtId="0" fontId="11" fillId="0" borderId="0" xfId="0" applyFont="1" applyFill="1" applyBorder="1" applyAlignment="1">
      <alignment vertical="top"/>
    </xf>
    <xf numFmtId="49" fontId="11" fillId="0" borderId="18" xfId="0" applyNumberFormat="1" applyFont="1" applyFill="1" applyBorder="1" applyAlignment="1">
      <alignment horizontal="center" vertical="top"/>
    </xf>
    <xf numFmtId="49" fontId="11" fillId="0" borderId="15" xfId="0" applyNumberFormat="1" applyFont="1" applyFill="1" applyBorder="1" applyAlignment="1">
      <alignment horizontal="center" vertical="top" wrapText="1"/>
    </xf>
    <xf numFmtId="49" fontId="11" fillId="0" borderId="15" xfId="0" applyNumberFormat="1" applyFont="1" applyFill="1" applyBorder="1" applyAlignment="1">
      <alignment vertical="top" wrapText="1"/>
    </xf>
    <xf numFmtId="49" fontId="9" fillId="0" borderId="0" xfId="0" applyNumberFormat="1" applyFont="1" applyBorder="1" applyAlignment="1">
      <alignment horizontal="center" vertical="top"/>
    </xf>
    <xf numFmtId="49" fontId="9" fillId="0" borderId="0" xfId="0" applyNumberFormat="1" applyFont="1" applyBorder="1" applyAlignment="1">
      <alignment vertical="top"/>
    </xf>
    <xf numFmtId="4" fontId="9" fillId="0" borderId="0" xfId="0" applyNumberFormat="1" applyFont="1" applyAlignment="1">
      <alignment vertical="center"/>
    </xf>
    <xf numFmtId="169" fontId="9" fillId="0" borderId="0" xfId="0" applyNumberFormat="1" applyFont="1" applyAlignment="1">
      <alignment horizontal="right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0" xfId="0" applyFont="1" applyFill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center" wrapText="1"/>
    </xf>
    <xf numFmtId="4" fontId="25" fillId="0" borderId="10" xfId="0" applyNumberFormat="1" applyFont="1" applyFill="1" applyBorder="1" applyAlignment="1">
      <alignment vertical="center"/>
    </xf>
    <xf numFmtId="169" fontId="25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169" fontId="22" fillId="0" borderId="14" xfId="0" applyNumberFormat="1" applyFont="1" applyFill="1" applyBorder="1" applyAlignment="1">
      <alignment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vertical="center" wrapText="1"/>
    </xf>
    <xf numFmtId="4" fontId="25" fillId="0" borderId="10" xfId="0" applyNumberFormat="1" applyFont="1" applyBorder="1" applyAlignment="1">
      <alignment vertical="center"/>
    </xf>
    <xf numFmtId="169" fontId="25" fillId="0" borderId="14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6" fillId="0" borderId="45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vertical="center" wrapText="1"/>
    </xf>
    <xf numFmtId="4" fontId="25" fillId="0" borderId="29" xfId="0" applyNumberFormat="1" applyFont="1" applyBorder="1" applyAlignment="1">
      <alignment vertical="center"/>
    </xf>
    <xf numFmtId="169" fontId="25" fillId="0" borderId="48" xfId="0" applyNumberFormat="1" applyFont="1" applyBorder="1" applyAlignment="1">
      <alignment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4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vertical="center" wrapText="1"/>
    </xf>
    <xf numFmtId="4" fontId="11" fillId="0" borderId="29" xfId="0" applyNumberFormat="1" applyFont="1" applyFill="1" applyBorder="1" applyAlignment="1">
      <alignment vertical="center"/>
    </xf>
    <xf numFmtId="169" fontId="11" fillId="0" borderId="48" xfId="0" applyNumberFormat="1" applyFont="1" applyFill="1" applyBorder="1" applyAlignment="1">
      <alignment vertical="center"/>
    </xf>
    <xf numFmtId="169" fontId="9" fillId="33" borderId="48" xfId="0" applyNumberFormat="1" applyFont="1" applyFill="1" applyBorder="1" applyAlignment="1">
      <alignment vertical="center"/>
    </xf>
    <xf numFmtId="49" fontId="9" fillId="38" borderId="18" xfId="0" applyNumberFormat="1" applyFont="1" applyFill="1" applyBorder="1" applyAlignment="1">
      <alignment horizontal="center" vertical="center"/>
    </xf>
    <xf numFmtId="49" fontId="9" fillId="38" borderId="15" xfId="0" applyNumberFormat="1" applyFont="1" applyFill="1" applyBorder="1" applyAlignment="1">
      <alignment horizontal="center" vertical="center"/>
    </xf>
    <xf numFmtId="49" fontId="9" fillId="38" borderId="10" xfId="0" applyNumberFormat="1" applyFont="1" applyFill="1" applyBorder="1" applyAlignment="1">
      <alignment vertical="center" wrapText="1"/>
    </xf>
    <xf numFmtId="4" fontId="9" fillId="38" borderId="10" xfId="0" applyNumberFormat="1" applyFont="1" applyFill="1" applyBorder="1" applyAlignment="1">
      <alignment vertical="center"/>
    </xf>
    <xf numFmtId="169" fontId="9" fillId="38" borderId="14" xfId="0" applyNumberFormat="1" applyFont="1" applyFill="1" applyBorder="1" applyAlignment="1">
      <alignment vertical="center"/>
    </xf>
    <xf numFmtId="0" fontId="9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vertical="center"/>
    </xf>
    <xf numFmtId="49" fontId="16" fillId="38" borderId="12" xfId="0" applyNumberFormat="1" applyFont="1" applyFill="1" applyBorder="1" applyAlignment="1">
      <alignment horizontal="center" vertical="center"/>
    </xf>
    <xf numFmtId="49" fontId="16" fillId="38" borderId="10" xfId="0" applyNumberFormat="1" applyFont="1" applyFill="1" applyBorder="1" applyAlignment="1">
      <alignment horizontal="center" vertical="center"/>
    </xf>
    <xf numFmtId="49" fontId="25" fillId="38" borderId="10" xfId="0" applyNumberFormat="1" applyFont="1" applyFill="1" applyBorder="1" applyAlignment="1">
      <alignment vertical="center" wrapText="1"/>
    </xf>
    <xf numFmtId="4" fontId="25" fillId="38" borderId="10" xfId="0" applyNumberFormat="1" applyFont="1" applyFill="1" applyBorder="1" applyAlignment="1">
      <alignment vertical="center"/>
    </xf>
    <xf numFmtId="169" fontId="25" fillId="38" borderId="14" xfId="0" applyNumberFormat="1" applyFont="1" applyFill="1" applyBorder="1" applyAlignment="1">
      <alignment vertical="center"/>
    </xf>
    <xf numFmtId="0" fontId="16" fillId="38" borderId="0" xfId="0" applyFont="1" applyFill="1" applyAlignment="1">
      <alignment vertical="center"/>
    </xf>
    <xf numFmtId="0" fontId="11" fillId="38" borderId="0" xfId="0" applyFont="1" applyFill="1" applyAlignment="1">
      <alignment horizontal="center" vertical="center"/>
    </xf>
    <xf numFmtId="49" fontId="10" fillId="38" borderId="18" xfId="0" applyNumberFormat="1" applyFont="1" applyFill="1" applyBorder="1" applyAlignment="1">
      <alignment horizontal="center" vertical="center"/>
    </xf>
    <xf numFmtId="49" fontId="10" fillId="38" borderId="15" xfId="0" applyNumberFormat="1" applyFont="1" applyFill="1" applyBorder="1" applyAlignment="1">
      <alignment horizontal="center" vertical="center"/>
    </xf>
    <xf numFmtId="49" fontId="10" fillId="38" borderId="24" xfId="0" applyNumberFormat="1" applyFont="1" applyFill="1" applyBorder="1" applyAlignment="1">
      <alignment horizontal="center" vertical="center"/>
    </xf>
    <xf numFmtId="49" fontId="10" fillId="38" borderId="25" xfId="0" applyNumberFormat="1" applyFont="1" applyFill="1" applyBorder="1" applyAlignment="1">
      <alignment horizontal="center" vertical="center"/>
    </xf>
    <xf numFmtId="49" fontId="11" fillId="38" borderId="36" xfId="0" applyNumberFormat="1" applyFont="1" applyFill="1" applyBorder="1" applyAlignment="1">
      <alignment vertical="center" wrapText="1"/>
    </xf>
    <xf numFmtId="4" fontId="11" fillId="38" borderId="36" xfId="0" applyNumberFormat="1" applyFont="1" applyFill="1" applyBorder="1" applyAlignment="1">
      <alignment vertical="center"/>
    </xf>
    <xf numFmtId="169" fontId="11" fillId="38" borderId="37" xfId="0" applyNumberFormat="1" applyFont="1" applyFill="1" applyBorder="1" applyAlignment="1">
      <alignment vertical="center"/>
    </xf>
    <xf numFmtId="0" fontId="10" fillId="38" borderId="0" xfId="0" applyFont="1" applyFill="1" applyAlignment="1">
      <alignment horizontal="center" vertical="center"/>
    </xf>
    <xf numFmtId="0" fontId="10" fillId="38" borderId="0" xfId="0" applyFont="1" applyFill="1" applyAlignment="1">
      <alignment vertical="center"/>
    </xf>
    <xf numFmtId="169" fontId="9" fillId="37" borderId="48" xfId="0" applyNumberFormat="1" applyFont="1" applyFill="1" applyBorder="1" applyAlignme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 horizontal="center" vertical="center"/>
    </xf>
    <xf numFmtId="49" fontId="19" fillId="0" borderId="13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/>
    </xf>
    <xf numFmtId="169" fontId="17" fillId="0" borderId="14" xfId="0" applyNumberFormat="1" applyFont="1" applyBorder="1" applyAlignment="1">
      <alignment vertical="center"/>
    </xf>
    <xf numFmtId="49" fontId="18" fillId="0" borderId="18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vertical="center" wrapText="1"/>
    </xf>
    <xf numFmtId="4" fontId="16" fillId="0" borderId="0" xfId="0" applyNumberFormat="1" applyFont="1" applyAlignment="1">
      <alignment horizontal="center" vertical="center"/>
    </xf>
    <xf numFmtId="3" fontId="18" fillId="0" borderId="0" xfId="0" applyNumberFormat="1" applyFont="1" applyAlignment="1">
      <alignment vertical="center"/>
    </xf>
    <xf numFmtId="49" fontId="19" fillId="0" borderId="13" xfId="0" applyNumberFormat="1" applyFont="1" applyBorder="1" applyAlignment="1">
      <alignment horizontal="left" vertical="center" wrapText="1"/>
    </xf>
    <xf numFmtId="4" fontId="19" fillId="0" borderId="10" xfId="0" applyNumberFormat="1" applyFont="1" applyBorder="1" applyAlignment="1">
      <alignment vertical="center"/>
    </xf>
    <xf numFmtId="169" fontId="19" fillId="0" borderId="14" xfId="0" applyNumberFormat="1" applyFont="1" applyBorder="1" applyAlignment="1">
      <alignment vertical="center"/>
    </xf>
    <xf numFmtId="4" fontId="16" fillId="33" borderId="0" xfId="0" applyNumberFormat="1" applyFont="1" applyFill="1" applyAlignment="1">
      <alignment horizontal="center" vertical="center"/>
    </xf>
    <xf numFmtId="4" fontId="9" fillId="33" borderId="0" xfId="0" applyNumberFormat="1" applyFont="1" applyFill="1" applyAlignment="1">
      <alignment vertical="center"/>
    </xf>
    <xf numFmtId="4" fontId="9" fillId="0" borderId="0" xfId="0" applyNumberFormat="1" applyFont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7" xfId="0" applyNumberFormat="1" applyFont="1" applyBorder="1" applyAlignment="1">
      <alignment horizontal="center" vertical="center"/>
    </xf>
    <xf numFmtId="49" fontId="25" fillId="0" borderId="86" xfId="0" applyNumberFormat="1" applyFont="1" applyBorder="1" applyAlignment="1">
      <alignment vertical="center" wrapText="1"/>
    </xf>
    <xf numFmtId="4" fontId="25" fillId="0" borderId="36" xfId="0" applyNumberFormat="1" applyFont="1" applyBorder="1" applyAlignment="1">
      <alignment vertical="center"/>
    </xf>
    <xf numFmtId="169" fontId="25" fillId="0" borderId="37" xfId="0" applyNumberFormat="1" applyFont="1" applyBorder="1" applyAlignment="1">
      <alignment vertical="center"/>
    </xf>
    <xf numFmtId="4" fontId="17" fillId="0" borderId="0" xfId="0" applyNumberFormat="1" applyFont="1" applyAlignment="1">
      <alignment vertical="center"/>
    </xf>
    <xf numFmtId="169" fontId="19" fillId="0" borderId="0" xfId="0" applyNumberFormat="1" applyFont="1" applyBorder="1" applyAlignment="1">
      <alignment vertical="center"/>
    </xf>
    <xf numFmtId="49" fontId="17" fillId="0" borderId="42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vertical="center"/>
    </xf>
    <xf numFmtId="169" fontId="19" fillId="0" borderId="42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vertical="center" wrapText="1"/>
    </xf>
    <xf numFmtId="4" fontId="13" fillId="0" borderId="0" xfId="0" applyNumberFormat="1" applyFont="1" applyBorder="1" applyAlignment="1">
      <alignment vertical="center"/>
    </xf>
    <xf numFmtId="49" fontId="13" fillId="0" borderId="42" xfId="0" applyNumberFormat="1" applyFont="1" applyBorder="1" applyAlignment="1">
      <alignment vertical="center" wrapText="1"/>
    </xf>
    <xf numFmtId="4" fontId="13" fillId="0" borderId="42" xfId="0" applyNumberFormat="1" applyFont="1" applyBorder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 wrapText="1"/>
    </xf>
    <xf numFmtId="4" fontId="28" fillId="0" borderId="0" xfId="0" applyNumberFormat="1" applyFont="1" applyAlignment="1">
      <alignment vertical="center"/>
    </xf>
    <xf numFmtId="4" fontId="28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9" fontId="13" fillId="0" borderId="42" xfId="0" applyNumberFormat="1" applyFont="1" applyBorder="1" applyAlignment="1">
      <alignment vertical="center"/>
    </xf>
    <xf numFmtId="4" fontId="9" fillId="33" borderId="21" xfId="0" applyNumberFormat="1" applyFont="1" applyFill="1" applyBorder="1" applyAlignment="1">
      <alignment horizontal="right" vertical="center"/>
    </xf>
    <xf numFmtId="0" fontId="20" fillId="0" borderId="20" xfId="0" applyFont="1" applyBorder="1" applyAlignment="1">
      <alignment vertical="center" wrapText="1"/>
    </xf>
    <xf numFmtId="0" fontId="20" fillId="0" borderId="57" xfId="0" applyFont="1" applyBorder="1" applyAlignment="1">
      <alignment vertical="center" wrapText="1"/>
    </xf>
    <xf numFmtId="0" fontId="10" fillId="0" borderId="59" xfId="0" applyFont="1" applyBorder="1" applyAlignment="1">
      <alignment horizontal="center" vertical="center"/>
    </xf>
    <xf numFmtId="4" fontId="10" fillId="0" borderId="59" xfId="0" applyNumberFormat="1" applyFont="1" applyBorder="1" applyAlignment="1">
      <alignment vertical="center"/>
    </xf>
    <xf numFmtId="49" fontId="17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/>
    </xf>
    <xf numFmtId="172" fontId="11" fillId="0" borderId="15" xfId="0" applyNumberFormat="1" applyFont="1" applyBorder="1" applyAlignment="1">
      <alignment horizontal="right" vertical="center"/>
    </xf>
    <xf numFmtId="195" fontId="11" fillId="0" borderId="11" xfId="0" applyNumberFormat="1" applyFont="1" applyBorder="1" applyAlignment="1">
      <alignment vertical="center"/>
    </xf>
    <xf numFmtId="0" fontId="9" fillId="0" borderId="0" xfId="57" applyFont="1" applyAlignment="1">
      <alignment horizontal="center" vertical="center" wrapText="1"/>
      <protection/>
    </xf>
    <xf numFmtId="0" fontId="9" fillId="39" borderId="28" xfId="57" applyFont="1" applyFill="1" applyBorder="1" applyAlignment="1">
      <alignment horizontal="center" vertical="center" wrapText="1"/>
      <protection/>
    </xf>
    <xf numFmtId="0" fontId="9" fillId="39" borderId="72" xfId="57" applyFont="1" applyFill="1" applyBorder="1" applyAlignment="1">
      <alignment horizontal="center" vertical="center" wrapText="1"/>
      <protection/>
    </xf>
    <xf numFmtId="4" fontId="9" fillId="33" borderId="23" xfId="57" applyNumberFormat="1" applyFont="1" applyFill="1" applyBorder="1" applyAlignment="1">
      <alignment horizontal="center" vertical="center"/>
      <protection/>
    </xf>
    <xf numFmtId="4" fontId="9" fillId="33" borderId="63" xfId="57" applyNumberFormat="1" applyFont="1" applyFill="1" applyBorder="1" applyAlignment="1">
      <alignment horizontal="center" vertical="center"/>
      <protection/>
    </xf>
    <xf numFmtId="4" fontId="9" fillId="33" borderId="87" xfId="57" applyNumberFormat="1" applyFont="1" applyFill="1" applyBorder="1" applyAlignment="1">
      <alignment horizontal="center" vertical="center"/>
      <protection/>
    </xf>
    <xf numFmtId="0" fontId="9" fillId="39" borderId="52" xfId="57" applyFont="1" applyFill="1" applyBorder="1" applyAlignment="1">
      <alignment horizontal="center" vertical="center" wrapText="1"/>
      <protection/>
    </xf>
    <xf numFmtId="0" fontId="9" fillId="39" borderId="45" xfId="57" applyFont="1" applyFill="1" applyBorder="1" applyAlignment="1">
      <alignment horizontal="center" vertical="center" wrapText="1"/>
      <protection/>
    </xf>
    <xf numFmtId="0" fontId="9" fillId="39" borderId="53" xfId="57" applyFont="1" applyFill="1" applyBorder="1" applyAlignment="1">
      <alignment horizontal="center" vertical="center" wrapText="1"/>
      <protection/>
    </xf>
    <xf numFmtId="0" fontId="9" fillId="39" borderId="29" xfId="57" applyFont="1" applyFill="1" applyBorder="1" applyAlignment="1">
      <alignment horizontal="center" vertical="center" wrapText="1"/>
      <protection/>
    </xf>
    <xf numFmtId="0" fontId="9" fillId="39" borderId="88" xfId="57" applyFont="1" applyFill="1" applyBorder="1" applyAlignment="1">
      <alignment horizontal="center" vertical="center" wrapText="1"/>
      <protection/>
    </xf>
    <xf numFmtId="4" fontId="9" fillId="37" borderId="33" xfId="57" applyNumberFormat="1" applyFont="1" applyFill="1" applyBorder="1" applyAlignment="1">
      <alignment horizontal="center" vertical="center"/>
      <protection/>
    </xf>
    <xf numFmtId="4" fontId="9" fillId="37" borderId="89" xfId="57" applyNumberFormat="1" applyFont="1" applyFill="1" applyBorder="1" applyAlignment="1">
      <alignment horizontal="center" vertical="center"/>
      <protection/>
    </xf>
    <xf numFmtId="4" fontId="9" fillId="37" borderId="90" xfId="57" applyNumberFormat="1" applyFont="1" applyFill="1" applyBorder="1" applyAlignment="1">
      <alignment horizontal="center" vertical="center"/>
      <protection/>
    </xf>
    <xf numFmtId="0" fontId="9" fillId="33" borderId="67" xfId="57" applyFont="1" applyFill="1" applyBorder="1" applyAlignment="1">
      <alignment horizontal="center" vertical="center"/>
      <protection/>
    </xf>
    <xf numFmtId="0" fontId="9" fillId="33" borderId="63" xfId="57" applyFont="1" applyFill="1" applyBorder="1" applyAlignment="1">
      <alignment horizontal="center" vertical="center"/>
      <protection/>
    </xf>
    <xf numFmtId="0" fontId="9" fillId="37" borderId="77" xfId="57" applyFont="1" applyFill="1" applyBorder="1" applyAlignment="1">
      <alignment horizontal="center" vertical="center"/>
      <protection/>
    </xf>
    <xf numFmtId="0" fontId="9" fillId="37" borderId="89" xfId="57" applyFont="1" applyFill="1" applyBorder="1" applyAlignment="1">
      <alignment horizontal="center" vertical="center"/>
      <protection/>
    </xf>
    <xf numFmtId="4" fontId="10" fillId="0" borderId="0" xfId="57" applyNumberFormat="1" applyFont="1" applyAlignment="1">
      <alignment horizontal="center" vertical="center"/>
      <protection/>
    </xf>
    <xf numFmtId="0" fontId="10" fillId="0" borderId="0" xfId="57" applyFont="1" applyAlignment="1">
      <alignment horizontal="center" vertical="center"/>
      <protection/>
    </xf>
    <xf numFmtId="0" fontId="9" fillId="33" borderId="19" xfId="57" applyFont="1" applyFill="1" applyBorder="1" applyAlignment="1">
      <alignment horizontal="center" vertic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7" borderId="19" xfId="57" applyFont="1" applyFill="1" applyBorder="1" applyAlignment="1">
      <alignment horizontal="center" vertical="center"/>
      <protection/>
    </xf>
    <xf numFmtId="0" fontId="9" fillId="37" borderId="20" xfId="57" applyFont="1" applyFill="1" applyBorder="1" applyAlignment="1">
      <alignment horizontal="center" vertical="center"/>
      <protection/>
    </xf>
    <xf numFmtId="0" fontId="9" fillId="34" borderId="28" xfId="57" applyFont="1" applyFill="1" applyBorder="1" applyAlignment="1">
      <alignment horizontal="center" vertical="center" wrapText="1"/>
      <protection/>
    </xf>
    <xf numFmtId="0" fontId="9" fillId="34" borderId="72" xfId="57" applyFont="1" applyFill="1" applyBorder="1" applyAlignment="1">
      <alignment horizontal="center" vertical="center" wrapText="1"/>
      <protection/>
    </xf>
    <xf numFmtId="4" fontId="9" fillId="37" borderId="23" xfId="57" applyNumberFormat="1" applyFont="1" applyFill="1" applyBorder="1" applyAlignment="1">
      <alignment horizontal="center" vertical="center"/>
      <protection/>
    </xf>
    <xf numFmtId="4" fontId="9" fillId="37" borderId="87" xfId="57" applyNumberFormat="1" applyFont="1" applyFill="1" applyBorder="1" applyAlignment="1">
      <alignment horizontal="center" vertical="center"/>
      <protection/>
    </xf>
    <xf numFmtId="0" fontId="9" fillId="37" borderId="31" xfId="57" applyFont="1" applyFill="1" applyBorder="1" applyAlignment="1">
      <alignment horizontal="center" vertical="center"/>
      <protection/>
    </xf>
    <xf numFmtId="0" fontId="9" fillId="37" borderId="32" xfId="57" applyFont="1" applyFill="1" applyBorder="1" applyAlignment="1">
      <alignment horizontal="center" vertical="center"/>
      <protection/>
    </xf>
    <xf numFmtId="0" fontId="9" fillId="34" borderId="52" xfId="57" applyFont="1" applyFill="1" applyBorder="1" applyAlignment="1">
      <alignment horizontal="center" vertical="center" wrapText="1"/>
      <protection/>
    </xf>
    <xf numFmtId="0" fontId="9" fillId="34" borderId="45" xfId="57" applyFont="1" applyFill="1" applyBorder="1" applyAlignment="1">
      <alignment horizontal="center" vertical="center" wrapText="1"/>
      <protection/>
    </xf>
    <xf numFmtId="0" fontId="9" fillId="34" borderId="88" xfId="57" applyFont="1" applyFill="1" applyBorder="1" applyAlignment="1">
      <alignment horizontal="center" vertical="center" wrapText="1"/>
      <protection/>
    </xf>
    <xf numFmtId="4" fontId="9" fillId="37" borderId="63" xfId="57" applyNumberFormat="1" applyFont="1" applyFill="1" applyBorder="1" applyAlignment="1">
      <alignment horizontal="center" vertical="center"/>
      <protection/>
    </xf>
    <xf numFmtId="0" fontId="9" fillId="34" borderId="53" xfId="57" applyFont="1" applyFill="1" applyBorder="1" applyAlignment="1">
      <alignment horizontal="center" vertical="center" wrapText="1"/>
      <protection/>
    </xf>
    <xf numFmtId="0" fontId="9" fillId="34" borderId="29" xfId="57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9" fillId="34" borderId="88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34" borderId="52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53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74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right"/>
    </xf>
    <xf numFmtId="49" fontId="9" fillId="34" borderId="75" xfId="0" applyNumberFormat="1" applyFont="1" applyFill="1" applyBorder="1" applyAlignment="1">
      <alignment horizontal="center" vertical="center"/>
    </xf>
    <xf numFmtId="49" fontId="9" fillId="34" borderId="41" xfId="0" applyNumberFormat="1" applyFont="1" applyFill="1" applyBorder="1" applyAlignment="1">
      <alignment horizontal="center" vertical="center"/>
    </xf>
    <xf numFmtId="0" fontId="9" fillId="34" borderId="76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9" fillId="34" borderId="7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88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49" fontId="9" fillId="33" borderId="44" xfId="0" applyNumberFormat="1" applyFont="1" applyFill="1" applyBorder="1" applyAlignment="1">
      <alignment horizontal="center" vertical="center"/>
    </xf>
    <xf numFmtId="49" fontId="9" fillId="33" borderId="43" xfId="0" applyNumberFormat="1" applyFont="1" applyFill="1" applyBorder="1" applyAlignment="1">
      <alignment horizontal="center" vertical="center"/>
    </xf>
    <xf numFmtId="49" fontId="9" fillId="33" borderId="88" xfId="0" applyNumberFormat="1" applyFont="1" applyFill="1" applyBorder="1" applyAlignment="1">
      <alignment horizontal="center" vertical="center"/>
    </xf>
    <xf numFmtId="49" fontId="9" fillId="37" borderId="91" xfId="0" applyNumberFormat="1" applyFont="1" applyFill="1" applyBorder="1" applyAlignment="1">
      <alignment horizontal="center" vertical="center"/>
    </xf>
    <xf numFmtId="49" fontId="9" fillId="37" borderId="92" xfId="0" applyNumberFormat="1" applyFont="1" applyFill="1" applyBorder="1" applyAlignment="1">
      <alignment horizontal="center" vertical="center"/>
    </xf>
    <xf numFmtId="49" fontId="9" fillId="37" borderId="93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right" vertical="top"/>
    </xf>
    <xf numFmtId="169" fontId="11" fillId="0" borderId="11" xfId="0" applyNumberFormat="1" applyFont="1" applyFill="1" applyBorder="1" applyAlignment="1">
      <alignment horizontal="right" vertical="top"/>
    </xf>
    <xf numFmtId="49" fontId="9" fillId="33" borderId="41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49" fontId="9" fillId="33" borderId="5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 applyProtection="1">
      <alignment horizontal="center"/>
      <protection hidden="1"/>
    </xf>
    <xf numFmtId="49" fontId="9" fillId="33" borderId="67" xfId="0" applyNumberFormat="1" applyFont="1" applyFill="1" applyBorder="1" applyAlignment="1">
      <alignment horizontal="center" vertical="center"/>
    </xf>
    <xf numFmtId="49" fontId="9" fillId="33" borderId="68" xfId="0" applyNumberFormat="1" applyFont="1" applyFill="1" applyBorder="1" applyAlignment="1">
      <alignment horizontal="center" vertical="center"/>
    </xf>
    <xf numFmtId="49" fontId="9" fillId="33" borderId="63" xfId="0" applyNumberFormat="1" applyFont="1" applyFill="1" applyBorder="1" applyAlignment="1">
      <alignment horizontal="center" vertical="center"/>
    </xf>
    <xf numFmtId="49" fontId="9" fillId="33" borderId="45" xfId="0" applyNumberFormat="1" applyFont="1" applyFill="1" applyBorder="1" applyAlignment="1">
      <alignment horizontal="center" vertical="center"/>
    </xf>
    <xf numFmtId="49" fontId="9" fillId="33" borderId="29" xfId="0" applyNumberFormat="1" applyFont="1" applyFill="1" applyBorder="1" applyAlignment="1">
      <alignment horizontal="center" vertical="center"/>
    </xf>
    <xf numFmtId="0" fontId="12" fillId="34" borderId="44" xfId="0" applyFont="1" applyFill="1" applyBorder="1" applyAlignment="1">
      <alignment horizontal="center" vertical="center"/>
    </xf>
    <xf numFmtId="0" fontId="12" fillId="34" borderId="43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wrapText="1"/>
    </xf>
    <xf numFmtId="0" fontId="9" fillId="0" borderId="27" xfId="0" applyFont="1" applyBorder="1" applyAlignment="1">
      <alignment horizontal="left"/>
    </xf>
    <xf numFmtId="0" fontId="10" fillId="0" borderId="94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86" xfId="0" applyFont="1" applyFill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16" fillId="37" borderId="95" xfId="0" applyFont="1" applyFill="1" applyBorder="1" applyAlignment="1">
      <alignment horizontal="left" vertical="center"/>
    </xf>
    <xf numFmtId="0" fontId="16" fillId="37" borderId="60" xfId="0" applyFont="1" applyFill="1" applyBorder="1" applyAlignment="1">
      <alignment horizontal="left" vertical="center"/>
    </xf>
    <xf numFmtId="0" fontId="16" fillId="37" borderId="96" xfId="0" applyFont="1" applyFill="1" applyBorder="1" applyAlignment="1">
      <alignment horizontal="left" vertical="center"/>
    </xf>
    <xf numFmtId="0" fontId="9" fillId="37" borderId="24" xfId="0" applyFont="1" applyFill="1" applyBorder="1" applyAlignment="1">
      <alignment horizontal="left" vertical="center"/>
    </xf>
    <xf numFmtId="0" fontId="9" fillId="37" borderId="27" xfId="0" applyFont="1" applyFill="1" applyBorder="1" applyAlignment="1">
      <alignment horizontal="left" vertical="center"/>
    </xf>
    <xf numFmtId="0" fontId="9" fillId="37" borderId="86" xfId="0" applyFont="1" applyFill="1" applyBorder="1" applyAlignment="1">
      <alignment horizontal="left" vertical="center"/>
    </xf>
    <xf numFmtId="0" fontId="16" fillId="37" borderId="41" xfId="0" applyFont="1" applyFill="1" applyBorder="1" applyAlignment="1">
      <alignment horizontal="left" vertical="center"/>
    </xf>
    <xf numFmtId="0" fontId="16" fillId="37" borderId="42" xfId="0" applyFont="1" applyFill="1" applyBorder="1" applyAlignment="1">
      <alignment horizontal="left" vertical="center"/>
    </xf>
    <xf numFmtId="0" fontId="16" fillId="37" borderId="55" xfId="0" applyFont="1" applyFill="1" applyBorder="1" applyAlignment="1">
      <alignment horizontal="left" vertical="center"/>
    </xf>
    <xf numFmtId="0" fontId="9" fillId="0" borderId="27" xfId="0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98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49" fontId="10" fillId="0" borderId="94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49" fontId="9" fillId="37" borderId="35" xfId="0" applyNumberFormat="1" applyFont="1" applyFill="1" applyBorder="1" applyAlignment="1">
      <alignment horizontal="center" vertical="center"/>
    </xf>
    <xf numFmtId="49" fontId="9" fillId="37" borderId="3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49" fontId="9" fillId="34" borderId="30" xfId="0" applyNumberFormat="1" applyFont="1" applyFill="1" applyBorder="1" applyAlignment="1">
      <alignment horizontal="center" vertical="center"/>
    </xf>
    <xf numFmtId="49" fontId="9" fillId="34" borderId="19" xfId="0" applyNumberFormat="1" applyFont="1" applyFill="1" applyBorder="1" applyAlignment="1">
      <alignment horizontal="center" vertical="center"/>
    </xf>
    <xf numFmtId="49" fontId="18" fillId="34" borderId="16" xfId="0" applyNumberFormat="1" applyFont="1" applyFill="1" applyBorder="1" applyAlignment="1">
      <alignment horizontal="center" vertical="center"/>
    </xf>
    <xf numFmtId="49" fontId="18" fillId="34" borderId="20" xfId="0" applyNumberFormat="1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20" xfId="0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0" fontId="9" fillId="34" borderId="68" xfId="0" applyFont="1" applyFill="1" applyBorder="1" applyAlignment="1">
      <alignment horizontal="center" vertical="center" wrapText="1"/>
    </xf>
    <xf numFmtId="0" fontId="9" fillId="34" borderId="63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 wrapText="1"/>
    </xf>
    <xf numFmtId="0" fontId="9" fillId="34" borderId="47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/>
    </xf>
    <xf numFmtId="0" fontId="9" fillId="34" borderId="45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3" fontId="17" fillId="0" borderId="59" xfId="56" applyNumberFormat="1" applyFont="1" applyBorder="1" applyAlignment="1">
      <alignment horizontal="center" vertical="center"/>
      <protection/>
    </xf>
    <xf numFmtId="3" fontId="17" fillId="0" borderId="10" xfId="56" applyNumberFormat="1" applyFont="1" applyBorder="1" applyAlignment="1">
      <alignment horizontal="center" vertical="center"/>
      <protection/>
    </xf>
    <xf numFmtId="3" fontId="17" fillId="0" borderId="29" xfId="56" applyNumberFormat="1" applyFont="1" applyBorder="1" applyAlignment="1">
      <alignment horizontal="center" vertical="center"/>
      <protection/>
    </xf>
    <xf numFmtId="0" fontId="17" fillId="0" borderId="71" xfId="56" applyFont="1" applyFill="1" applyBorder="1" applyAlignment="1">
      <alignment horizontal="center" vertical="center"/>
      <protection/>
    </xf>
    <xf numFmtId="0" fontId="17" fillId="0" borderId="12" xfId="56" applyFont="1" applyFill="1" applyBorder="1" applyAlignment="1">
      <alignment horizontal="center" vertical="center"/>
      <protection/>
    </xf>
    <xf numFmtId="0" fontId="17" fillId="0" borderId="45" xfId="56" applyFont="1" applyFill="1" applyBorder="1" applyAlignment="1">
      <alignment horizontal="center" vertical="center"/>
      <protection/>
    </xf>
    <xf numFmtId="49" fontId="17" fillId="0" borderId="59" xfId="56" applyNumberFormat="1" applyFont="1" applyFill="1" applyBorder="1" applyAlignment="1">
      <alignment horizontal="center" vertical="center"/>
      <protection/>
    </xf>
    <xf numFmtId="49" fontId="17" fillId="0" borderId="10" xfId="56" applyNumberFormat="1" applyFont="1" applyFill="1" applyBorder="1" applyAlignment="1">
      <alignment horizontal="center" vertical="center"/>
      <protection/>
    </xf>
    <xf numFmtId="49" fontId="17" fillId="0" borderId="29" xfId="56" applyNumberFormat="1" applyFont="1" applyFill="1" applyBorder="1" applyAlignment="1">
      <alignment horizontal="center" vertical="center"/>
      <protection/>
    </xf>
    <xf numFmtId="0" fontId="17" fillId="0" borderId="59" xfId="56" applyFont="1" applyFill="1" applyBorder="1" applyAlignment="1">
      <alignment horizontal="center" vertical="center" wrapText="1"/>
      <protection/>
    </xf>
    <xf numFmtId="0" fontId="17" fillId="0" borderId="10" xfId="56" applyFont="1" applyFill="1" applyBorder="1" applyAlignment="1">
      <alignment horizontal="center" vertical="center" wrapText="1"/>
      <protection/>
    </xf>
    <xf numFmtId="0" fontId="17" fillId="0" borderId="29" xfId="56" applyFont="1" applyFill="1" applyBorder="1" applyAlignment="1">
      <alignment horizontal="center" vertical="center" wrapText="1"/>
      <protection/>
    </xf>
    <xf numFmtId="0" fontId="23" fillId="0" borderId="59" xfId="56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3" fillId="0" borderId="29" xfId="56" applyFont="1" applyFill="1" applyBorder="1" applyAlignment="1">
      <alignment horizontal="center" vertical="center" wrapText="1"/>
      <protection/>
    </xf>
    <xf numFmtId="3" fontId="17" fillId="0" borderId="59" xfId="56" applyNumberFormat="1" applyFont="1" applyFill="1" applyBorder="1" applyAlignment="1">
      <alignment horizontal="center" vertical="center"/>
      <protection/>
    </xf>
    <xf numFmtId="3" fontId="17" fillId="0" borderId="10" xfId="56" applyNumberFormat="1" applyFont="1" applyFill="1" applyBorder="1" applyAlignment="1">
      <alignment horizontal="center" vertical="center"/>
      <protection/>
    </xf>
    <xf numFmtId="3" fontId="17" fillId="0" borderId="29" xfId="56" applyNumberFormat="1" applyFont="1" applyFill="1" applyBorder="1" applyAlignment="1">
      <alignment horizontal="center" vertical="center"/>
      <protection/>
    </xf>
    <xf numFmtId="0" fontId="17" fillId="0" borderId="59" xfId="56" applyFont="1" applyBorder="1" applyAlignment="1">
      <alignment horizontal="center" vertical="center" wrapText="1"/>
      <protection/>
    </xf>
    <xf numFmtId="0" fontId="17" fillId="0" borderId="10" xfId="56" applyFont="1" applyBorder="1" applyAlignment="1">
      <alignment horizontal="center" vertical="center" wrapText="1"/>
      <protection/>
    </xf>
    <xf numFmtId="0" fontId="17" fillId="0" borderId="29" xfId="56" applyFont="1" applyBorder="1" applyAlignment="1">
      <alignment horizontal="center" vertical="center" wrapText="1"/>
      <protection/>
    </xf>
    <xf numFmtId="0" fontId="17" fillId="0" borderId="71" xfId="56" applyFont="1" applyBorder="1" applyAlignment="1">
      <alignment horizontal="center" vertical="center"/>
      <protection/>
    </xf>
    <xf numFmtId="0" fontId="17" fillId="0" borderId="12" xfId="56" applyFont="1" applyBorder="1" applyAlignment="1">
      <alignment horizontal="center" vertical="center"/>
      <protection/>
    </xf>
    <xf numFmtId="0" fontId="17" fillId="0" borderId="45" xfId="56" applyFont="1" applyBorder="1" applyAlignment="1">
      <alignment horizontal="center" vertical="center"/>
      <protection/>
    </xf>
    <xf numFmtId="49" fontId="17" fillId="0" borderId="59" xfId="56" applyNumberFormat="1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 wrapText="1"/>
      <protection/>
    </xf>
    <xf numFmtId="49" fontId="17" fillId="0" borderId="29" xfId="56" applyNumberFormat="1" applyFont="1" applyBorder="1" applyAlignment="1">
      <alignment horizontal="center" vertical="center" wrapText="1"/>
      <protection/>
    </xf>
    <xf numFmtId="49" fontId="17" fillId="0" borderId="59" xfId="56" applyNumberFormat="1" applyFont="1" applyBorder="1" applyAlignment="1">
      <alignment horizontal="center" vertical="center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right" vertical="center" wrapText="1"/>
    </xf>
    <xf numFmtId="0" fontId="18" fillId="0" borderId="0" xfId="56" applyFont="1" applyAlignment="1">
      <alignment horizontal="center" vertical="center" wrapText="1"/>
      <protection/>
    </xf>
    <xf numFmtId="0" fontId="18" fillId="37" borderId="24" xfId="56" applyFont="1" applyFill="1" applyBorder="1" applyAlignment="1">
      <alignment horizontal="center" vertical="center"/>
      <protection/>
    </xf>
    <xf numFmtId="0" fontId="18" fillId="37" borderId="27" xfId="56" applyFont="1" applyFill="1" applyBorder="1" applyAlignment="1">
      <alignment horizontal="center" vertical="center"/>
      <protection/>
    </xf>
    <xf numFmtId="0" fontId="18" fillId="37" borderId="86" xfId="56" applyFont="1" applyFill="1" applyBorder="1" applyAlignment="1">
      <alignment horizontal="center" vertical="center"/>
      <protection/>
    </xf>
    <xf numFmtId="0" fontId="28" fillId="33" borderId="67" xfId="56" applyFont="1" applyFill="1" applyBorder="1" applyAlignment="1">
      <alignment horizontal="center" vertical="center"/>
      <protection/>
    </xf>
    <xf numFmtId="0" fontId="28" fillId="33" borderId="68" xfId="56" applyFont="1" applyFill="1" applyBorder="1" applyAlignment="1">
      <alignment horizontal="center" vertical="center"/>
      <protection/>
    </xf>
    <xf numFmtId="0" fontId="28" fillId="33" borderId="63" xfId="56" applyFont="1" applyFill="1" applyBorder="1" applyAlignment="1">
      <alignment horizontal="center" vertical="center"/>
      <protection/>
    </xf>
    <xf numFmtId="0" fontId="28" fillId="33" borderId="41" xfId="56" applyFont="1" applyFill="1" applyBorder="1" applyAlignment="1">
      <alignment horizontal="center" vertical="center"/>
      <protection/>
    </xf>
    <xf numFmtId="0" fontId="28" fillId="33" borderId="42" xfId="56" applyFont="1" applyFill="1" applyBorder="1" applyAlignment="1">
      <alignment horizontal="center" vertical="center"/>
      <protection/>
    </xf>
    <xf numFmtId="0" fontId="28" fillId="33" borderId="55" xfId="56" applyFont="1" applyFill="1" applyBorder="1" applyAlignment="1">
      <alignment horizontal="center" vertical="center"/>
      <protection/>
    </xf>
    <xf numFmtId="0" fontId="17" fillId="0" borderId="97" xfId="56" applyFont="1" applyFill="1" applyBorder="1" applyAlignment="1">
      <alignment horizontal="center" vertical="center"/>
      <protection/>
    </xf>
    <xf numFmtId="49" fontId="17" fillId="0" borderId="98" xfId="56" applyNumberFormat="1" applyFont="1" applyFill="1" applyBorder="1" applyAlignment="1">
      <alignment horizontal="center" vertical="center"/>
      <protection/>
    </xf>
    <xf numFmtId="0" fontId="17" fillId="0" borderId="98" xfId="56" applyFont="1" applyFill="1" applyBorder="1" applyAlignment="1">
      <alignment horizontal="center" vertical="center" wrapText="1"/>
      <protection/>
    </xf>
    <xf numFmtId="3" fontId="17" fillId="0" borderId="98" xfId="56" applyNumberFormat="1" applyFont="1" applyFill="1" applyBorder="1" applyAlignment="1">
      <alignment horizontal="center" vertical="center"/>
      <protection/>
    </xf>
    <xf numFmtId="0" fontId="23" fillId="0" borderId="59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 wrapText="1"/>
      <protection/>
    </xf>
    <xf numFmtId="3" fontId="17" fillId="0" borderId="46" xfId="56" applyNumberFormat="1" applyFont="1" applyFill="1" applyBorder="1" applyAlignment="1">
      <alignment horizontal="center" vertical="center"/>
      <protection/>
    </xf>
    <xf numFmtId="3" fontId="17" fillId="0" borderId="15" xfId="56" applyNumberFormat="1" applyFont="1" applyFill="1" applyBorder="1" applyAlignment="1">
      <alignment horizontal="center" vertical="center"/>
      <protection/>
    </xf>
    <xf numFmtId="49" fontId="17" fillId="0" borderId="29" xfId="56" applyNumberFormat="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55" xfId="0" applyFont="1" applyFill="1" applyBorder="1" applyAlignment="1">
      <alignment horizontal="center" vertical="center" wrapText="1"/>
    </xf>
    <xf numFmtId="0" fontId="9" fillId="33" borderId="67" xfId="0" applyFont="1" applyFill="1" applyBorder="1" applyAlignment="1">
      <alignment horizontal="center" vertical="center" wrapText="1"/>
    </xf>
    <xf numFmtId="0" fontId="9" fillId="33" borderId="68" xfId="0" applyFont="1" applyFill="1" applyBorder="1" applyAlignment="1">
      <alignment horizontal="center" vertical="center" wrapText="1"/>
    </xf>
    <xf numFmtId="0" fontId="9" fillId="33" borderId="63" xfId="0" applyFont="1" applyFill="1" applyBorder="1" applyAlignment="1">
      <alignment horizontal="center" vertical="center" wrapText="1"/>
    </xf>
    <xf numFmtId="4" fontId="9" fillId="33" borderId="67" xfId="0" applyNumberFormat="1" applyFont="1" applyFill="1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63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7" borderId="35" xfId="0" applyFont="1" applyFill="1" applyBorder="1" applyAlignment="1">
      <alignment horizontal="center" vertical="center"/>
    </xf>
    <xf numFmtId="0" fontId="9" fillId="37" borderId="36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 wrapText="1"/>
    </xf>
    <xf numFmtId="49" fontId="9" fillId="34" borderId="16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/>
    </xf>
    <xf numFmtId="49" fontId="9" fillId="33" borderId="41" xfId="0" applyNumberFormat="1" applyFont="1" applyFill="1" applyBorder="1" applyAlignment="1">
      <alignment horizontal="center" vertical="center"/>
    </xf>
    <xf numFmtId="49" fontId="9" fillId="33" borderId="42" xfId="0" applyNumberFormat="1" applyFont="1" applyFill="1" applyBorder="1" applyAlignment="1">
      <alignment horizontal="center" vertical="center"/>
    </xf>
    <xf numFmtId="49" fontId="9" fillId="33" borderId="55" xfId="0" applyNumberFormat="1" applyFont="1" applyFill="1" applyBorder="1" applyAlignment="1">
      <alignment horizontal="center" vertical="center"/>
    </xf>
    <xf numFmtId="49" fontId="9" fillId="33" borderId="44" xfId="0" applyNumberFormat="1" applyFont="1" applyFill="1" applyBorder="1" applyAlignment="1">
      <alignment horizontal="center" vertical="center"/>
    </xf>
    <xf numFmtId="49" fontId="9" fillId="33" borderId="43" xfId="0" applyNumberFormat="1" applyFont="1" applyFill="1" applyBorder="1" applyAlignment="1">
      <alignment horizontal="center" vertical="center"/>
    </xf>
    <xf numFmtId="49" fontId="9" fillId="33" borderId="88" xfId="0" applyNumberFormat="1" applyFont="1" applyFill="1" applyBorder="1" applyAlignment="1">
      <alignment horizontal="center" vertical="center"/>
    </xf>
    <xf numFmtId="0" fontId="9" fillId="37" borderId="24" xfId="53" applyFont="1" applyFill="1" applyBorder="1" applyAlignment="1">
      <alignment horizontal="center" vertical="center"/>
      <protection/>
    </xf>
    <xf numFmtId="0" fontId="9" fillId="37" borderId="27" xfId="53" applyFont="1" applyFill="1" applyBorder="1" applyAlignment="1">
      <alignment horizontal="center" vertical="center"/>
      <protection/>
    </xf>
    <xf numFmtId="0" fontId="9" fillId="37" borderId="86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9" fillId="37" borderId="91" xfId="0" applyFont="1" applyFill="1" applyBorder="1" applyAlignment="1">
      <alignment horizontal="center" vertical="center"/>
    </xf>
    <xf numFmtId="0" fontId="9" fillId="37" borderId="92" xfId="0" applyFont="1" applyFill="1" applyBorder="1" applyAlignment="1">
      <alignment horizontal="center" vertical="center"/>
    </xf>
    <xf numFmtId="0" fontId="9" fillId="37" borderId="93" xfId="0" applyFont="1" applyFill="1" applyBorder="1" applyAlignment="1">
      <alignment horizontal="center" vertical="center"/>
    </xf>
    <xf numFmtId="0" fontId="9" fillId="37" borderId="50" xfId="0" applyFont="1" applyFill="1" applyBorder="1" applyAlignment="1">
      <alignment horizontal="center" vertical="center"/>
    </xf>
    <xf numFmtId="0" fontId="9" fillId="37" borderId="51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37" borderId="31" xfId="0" applyFont="1" applyFill="1" applyBorder="1" applyAlignment="1">
      <alignment horizontal="center" vertical="center"/>
    </xf>
    <xf numFmtId="0" fontId="9" fillId="37" borderId="32" xfId="0" applyFont="1" applyFill="1" applyBorder="1" applyAlignment="1">
      <alignment horizontal="center" vertical="center"/>
    </xf>
    <xf numFmtId="0" fontId="9" fillId="0" borderId="0" xfId="52" applyFont="1" applyAlignment="1">
      <alignment horizontal="center" vertical="center"/>
      <protection/>
    </xf>
    <xf numFmtId="0" fontId="9" fillId="37" borderId="39" xfId="0" applyFont="1" applyFill="1" applyBorder="1" applyAlignment="1">
      <alignment horizontal="center" vertical="center"/>
    </xf>
    <xf numFmtId="0" fontId="9" fillId="37" borderId="12" xfId="0" applyFont="1" applyFill="1" applyBorder="1" applyAlignment="1">
      <alignment horizontal="center" vertical="center"/>
    </xf>
    <xf numFmtId="0" fontId="9" fillId="37" borderId="15" xfId="0" applyFont="1" applyFill="1" applyBorder="1" applyAlignment="1">
      <alignment horizontal="center" vertical="center"/>
    </xf>
    <xf numFmtId="0" fontId="9" fillId="0" borderId="0" xfId="55" applyFont="1" applyAlignment="1">
      <alignment horizontal="center" vertical="center" wrapText="1"/>
      <protection/>
    </xf>
    <xf numFmtId="0" fontId="9" fillId="0" borderId="0" xfId="54" applyFont="1" applyAlignment="1">
      <alignment horizontal="right" vertic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fundusze" xfId="52"/>
    <cellStyle name="Normalny_niewygasy 2006" xfId="53"/>
    <cellStyle name="Normalny_tabele2007" xfId="54"/>
    <cellStyle name="Normalny_zaklady opieki zdrowotnej" xfId="55"/>
    <cellStyle name="Normalny_zalaczniki_" xfId="56"/>
    <cellStyle name="Normalny_Zmiany w budżecie 2006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8"/>
  <sheetViews>
    <sheetView view="pageBreakPreview" zoomScaleSheetLayoutView="100" zoomScalePageLayoutView="0" workbookViewId="0" topLeftCell="A1">
      <pane ySplit="7" topLeftCell="A24" activePane="bottomLeft" state="frozen"/>
      <selection pane="topLeft" activeCell="A1" sqref="A1"/>
      <selection pane="bottomLeft" activeCell="G31" sqref="G31"/>
    </sheetView>
  </sheetViews>
  <sheetFormatPr defaultColWidth="9.00390625" defaultRowHeight="12.75"/>
  <cols>
    <col min="1" max="1" width="14.375" style="886" customWidth="1"/>
    <col min="2" max="2" width="17.00390625" style="886" customWidth="1"/>
    <col min="3" max="3" width="13.75390625" style="884" customWidth="1"/>
    <col min="4" max="4" width="13.875" style="884" customWidth="1"/>
    <col min="5" max="5" width="14.25390625" style="884" customWidth="1"/>
    <col min="6" max="6" width="13.625" style="884" customWidth="1"/>
    <col min="7" max="7" width="17.25390625" style="884" customWidth="1"/>
    <col min="8" max="8" width="5.25390625" style="884" customWidth="1"/>
    <col min="9" max="9" width="13.875" style="884" customWidth="1"/>
    <col min="10" max="10" width="13.375" style="884" customWidth="1"/>
    <col min="11" max="16384" width="9.125" style="884" customWidth="1"/>
  </cols>
  <sheetData>
    <row r="1" spans="1:6" ht="26.25" customHeight="1">
      <c r="A1" s="884"/>
      <c r="B1" s="884"/>
      <c r="F1" s="885" t="s">
        <v>271</v>
      </c>
    </row>
    <row r="2" spans="1:6" ht="26.25" customHeight="1">
      <c r="A2" s="875"/>
      <c r="B2" s="875"/>
      <c r="C2" s="875"/>
      <c r="D2" s="875"/>
      <c r="E2" s="875"/>
      <c r="F2" s="875"/>
    </row>
    <row r="3" spans="1:6" ht="36" customHeight="1">
      <c r="A3" s="1292" t="s">
        <v>1340</v>
      </c>
      <c r="B3" s="1292"/>
      <c r="C3" s="1292"/>
      <c r="D3" s="1292"/>
      <c r="E3" s="1292"/>
      <c r="F3" s="1292"/>
    </row>
    <row r="4" spans="6:8" ht="18" customHeight="1" thickBot="1">
      <c r="F4" s="887" t="s">
        <v>818</v>
      </c>
      <c r="G4" s="1292" t="s">
        <v>1343</v>
      </c>
      <c r="H4" s="1292"/>
    </row>
    <row r="5" spans="1:8" s="888" customFormat="1" ht="18" customHeight="1">
      <c r="A5" s="1298" t="s">
        <v>131</v>
      </c>
      <c r="B5" s="1300" t="s">
        <v>801</v>
      </c>
      <c r="C5" s="1293" t="s">
        <v>1358</v>
      </c>
      <c r="D5" s="1302"/>
      <c r="E5" s="1293" t="s">
        <v>1359</v>
      </c>
      <c r="F5" s="1294"/>
      <c r="G5" s="1292"/>
      <c r="H5" s="1292"/>
    </row>
    <row r="6" spans="1:6" s="891" customFormat="1" ht="18" customHeight="1">
      <c r="A6" s="1299"/>
      <c r="B6" s="1301"/>
      <c r="C6" s="889" t="s">
        <v>132</v>
      </c>
      <c r="D6" s="889" t="s">
        <v>133</v>
      </c>
      <c r="E6" s="889" t="s">
        <v>132</v>
      </c>
      <c r="F6" s="890" t="s">
        <v>133</v>
      </c>
    </row>
    <row r="7" spans="1:6" s="896" customFormat="1" ht="13.5" customHeight="1">
      <c r="A7" s="892">
        <v>1</v>
      </c>
      <c r="B7" s="893">
        <v>2</v>
      </c>
      <c r="C7" s="894">
        <v>3</v>
      </c>
      <c r="D7" s="894">
        <v>4</v>
      </c>
      <c r="E7" s="894">
        <v>5</v>
      </c>
      <c r="F7" s="895">
        <v>6</v>
      </c>
    </row>
    <row r="8" spans="1:6" s="891" customFormat="1" ht="18" customHeight="1">
      <c r="A8" s="1306" t="s">
        <v>134</v>
      </c>
      <c r="B8" s="1307"/>
      <c r="C8" s="1295">
        <v>200787009</v>
      </c>
      <c r="D8" s="1296"/>
      <c r="E8" s="1295">
        <v>191987009</v>
      </c>
      <c r="F8" s="1297"/>
    </row>
    <row r="9" spans="1:10" s="901" customFormat="1" ht="18" customHeight="1">
      <c r="A9" s="897" t="s">
        <v>844</v>
      </c>
      <c r="B9" s="898" t="s">
        <v>845</v>
      </c>
      <c r="C9" s="899">
        <v>0</v>
      </c>
      <c r="D9" s="899">
        <v>0</v>
      </c>
      <c r="E9" s="899">
        <v>-4179205</v>
      </c>
      <c r="F9" s="900">
        <f>-E9</f>
        <v>4179205</v>
      </c>
      <c r="G9" s="901" t="s">
        <v>1339</v>
      </c>
      <c r="H9" s="901" t="s">
        <v>1170</v>
      </c>
      <c r="I9" s="902"/>
      <c r="J9" s="902"/>
    </row>
    <row r="10" spans="1:10" ht="18" customHeight="1">
      <c r="A10" s="897" t="s">
        <v>846</v>
      </c>
      <c r="B10" s="898" t="s">
        <v>847</v>
      </c>
      <c r="C10" s="899">
        <v>0</v>
      </c>
      <c r="D10" s="899">
        <v>1516781</v>
      </c>
      <c r="E10" s="899">
        <v>-2000000</v>
      </c>
      <c r="F10" s="900">
        <v>3516781</v>
      </c>
      <c r="G10" s="884" t="s">
        <v>66</v>
      </c>
      <c r="H10" s="901" t="s">
        <v>1171</v>
      </c>
      <c r="I10" s="902"/>
      <c r="J10" s="902"/>
    </row>
    <row r="11" spans="1:10" s="901" customFormat="1" ht="18" customHeight="1">
      <c r="A11" s="897" t="s">
        <v>848</v>
      </c>
      <c r="B11" s="898" t="s">
        <v>849</v>
      </c>
      <c r="C11" s="899">
        <v>0</v>
      </c>
      <c r="D11" s="899">
        <v>0</v>
      </c>
      <c r="E11" s="899">
        <v>-616976</v>
      </c>
      <c r="F11" s="900">
        <f>-E11</f>
        <v>616976</v>
      </c>
      <c r="G11" s="901" t="s">
        <v>1339</v>
      </c>
      <c r="H11" s="901" t="s">
        <v>1255</v>
      </c>
      <c r="I11" s="902"/>
      <c r="J11" s="902"/>
    </row>
    <row r="12" spans="1:10" s="901" customFormat="1" ht="18" customHeight="1">
      <c r="A12" s="897" t="s">
        <v>850</v>
      </c>
      <c r="B12" s="898" t="s">
        <v>851</v>
      </c>
      <c r="C12" s="899">
        <v>0</v>
      </c>
      <c r="D12" s="899">
        <v>0</v>
      </c>
      <c r="E12" s="899">
        <v>-17622</v>
      </c>
      <c r="F12" s="900">
        <f>-E12</f>
        <v>17622</v>
      </c>
      <c r="G12" s="901" t="s">
        <v>1339</v>
      </c>
      <c r="H12" s="901" t="s">
        <v>1262</v>
      </c>
      <c r="I12" s="902"/>
      <c r="J12" s="902"/>
    </row>
    <row r="13" spans="1:10" s="901" customFormat="1" ht="18" customHeight="1">
      <c r="A13" s="897" t="s">
        <v>852</v>
      </c>
      <c r="B13" s="898" t="s">
        <v>853</v>
      </c>
      <c r="C13" s="899">
        <v>0</v>
      </c>
      <c r="D13" s="899">
        <v>0</v>
      </c>
      <c r="E13" s="899">
        <v>-100000</v>
      </c>
      <c r="F13" s="900">
        <v>100000</v>
      </c>
      <c r="G13" s="901" t="s">
        <v>66</v>
      </c>
      <c r="H13" s="901" t="s">
        <v>1263</v>
      </c>
      <c r="I13" s="902"/>
      <c r="J13" s="902"/>
    </row>
    <row r="14" spans="1:10" ht="18" customHeight="1">
      <c r="A14" s="897" t="s">
        <v>855</v>
      </c>
      <c r="B14" s="898" t="s">
        <v>854</v>
      </c>
      <c r="C14" s="899">
        <v>0</v>
      </c>
      <c r="D14" s="899">
        <v>0</v>
      </c>
      <c r="E14" s="899">
        <v>-297655</v>
      </c>
      <c r="F14" s="900">
        <f>-E14</f>
        <v>297655</v>
      </c>
      <c r="G14" s="884" t="s">
        <v>1339</v>
      </c>
      <c r="H14" s="901" t="s">
        <v>1264</v>
      </c>
      <c r="I14" s="902"/>
      <c r="J14" s="902"/>
    </row>
    <row r="15" spans="1:10" s="901" customFormat="1" ht="18" customHeight="1">
      <c r="A15" s="897" t="s">
        <v>856</v>
      </c>
      <c r="B15" s="898" t="s">
        <v>857</v>
      </c>
      <c r="C15" s="899">
        <v>0</v>
      </c>
      <c r="D15" s="899">
        <v>505810</v>
      </c>
      <c r="E15" s="899">
        <v>0</v>
      </c>
      <c r="F15" s="900">
        <v>505810</v>
      </c>
      <c r="G15" s="901" t="s">
        <v>1339</v>
      </c>
      <c r="H15" s="901" t="s">
        <v>1351</v>
      </c>
      <c r="I15" s="902"/>
      <c r="J15" s="902"/>
    </row>
    <row r="16" spans="1:10" ht="18" customHeight="1">
      <c r="A16" s="903" t="s">
        <v>858</v>
      </c>
      <c r="B16" s="898" t="s">
        <v>859</v>
      </c>
      <c r="C16" s="899">
        <v>0</v>
      </c>
      <c r="D16" s="899">
        <v>0</v>
      </c>
      <c r="E16" s="899">
        <v>-386287</v>
      </c>
      <c r="F16" s="900">
        <f>-E16</f>
        <v>386287</v>
      </c>
      <c r="G16" s="884" t="s">
        <v>1339</v>
      </c>
      <c r="H16" s="901" t="s">
        <v>1352</v>
      </c>
      <c r="I16" s="902"/>
      <c r="J16" s="902"/>
    </row>
    <row r="17" spans="1:10" ht="18" customHeight="1">
      <c r="A17" s="903" t="s">
        <v>860</v>
      </c>
      <c r="B17" s="898" t="s">
        <v>861</v>
      </c>
      <c r="C17" s="899">
        <v>-7983883</v>
      </c>
      <c r="D17" s="899">
        <v>15730753</v>
      </c>
      <c r="E17" s="899">
        <v>-131910</v>
      </c>
      <c r="F17" s="900">
        <v>7878780</v>
      </c>
      <c r="G17" s="884" t="s">
        <v>66</v>
      </c>
      <c r="H17" s="901" t="s">
        <v>1265</v>
      </c>
      <c r="I17" s="902"/>
      <c r="J17" s="902"/>
    </row>
    <row r="18" spans="1:10" s="901" customFormat="1" ht="18" customHeight="1">
      <c r="A18" s="903" t="s">
        <v>862</v>
      </c>
      <c r="B18" s="898" t="s">
        <v>863</v>
      </c>
      <c r="C18" s="899">
        <v>0</v>
      </c>
      <c r="D18" s="899">
        <v>0</v>
      </c>
      <c r="E18" s="899">
        <v>-443686</v>
      </c>
      <c r="F18" s="900">
        <f>-E18</f>
        <v>443686</v>
      </c>
      <c r="G18" s="901" t="s">
        <v>1339</v>
      </c>
      <c r="H18" s="901" t="s">
        <v>1267</v>
      </c>
      <c r="I18" s="902"/>
      <c r="J18" s="902"/>
    </row>
    <row r="19" spans="1:10" ht="18" customHeight="1">
      <c r="A19" s="903" t="s">
        <v>864</v>
      </c>
      <c r="B19" s="898" t="s">
        <v>865</v>
      </c>
      <c r="C19" s="899">
        <v>0</v>
      </c>
      <c r="D19" s="899">
        <v>101706</v>
      </c>
      <c r="E19" s="899">
        <v>0</v>
      </c>
      <c r="F19" s="900">
        <f>D19</f>
        <v>101706</v>
      </c>
      <c r="G19" s="884" t="s">
        <v>993</v>
      </c>
      <c r="H19" s="901" t="s">
        <v>1353</v>
      </c>
      <c r="I19" s="902"/>
      <c r="J19" s="902"/>
    </row>
    <row r="20" spans="1:10" s="901" customFormat="1" ht="18" customHeight="1">
      <c r="A20" s="903" t="s">
        <v>866</v>
      </c>
      <c r="B20" s="898" t="s">
        <v>867</v>
      </c>
      <c r="C20" s="899">
        <v>0</v>
      </c>
      <c r="D20" s="899">
        <v>0</v>
      </c>
      <c r="E20" s="899">
        <v>-848811</v>
      </c>
      <c r="F20" s="900">
        <f>-E20</f>
        <v>848811</v>
      </c>
      <c r="G20" s="901" t="s">
        <v>1339</v>
      </c>
      <c r="H20" s="901" t="s">
        <v>1268</v>
      </c>
      <c r="I20" s="902"/>
      <c r="J20" s="902"/>
    </row>
    <row r="21" spans="1:10" ht="18" customHeight="1">
      <c r="A21" s="903" t="s">
        <v>868</v>
      </c>
      <c r="B21" s="898" t="s">
        <v>869</v>
      </c>
      <c r="C21" s="899">
        <v>0</v>
      </c>
      <c r="D21" s="899">
        <v>0</v>
      </c>
      <c r="E21" s="899">
        <v>-87527</v>
      </c>
      <c r="F21" s="900">
        <f>-E21</f>
        <v>87527</v>
      </c>
      <c r="G21" s="884" t="s">
        <v>1339</v>
      </c>
      <c r="H21" s="901" t="s">
        <v>1269</v>
      </c>
      <c r="I21" s="902"/>
      <c r="J21" s="902"/>
    </row>
    <row r="22" spans="1:10" ht="18" customHeight="1">
      <c r="A22" s="903" t="s">
        <v>868</v>
      </c>
      <c r="B22" s="898" t="s">
        <v>870</v>
      </c>
      <c r="C22" s="899">
        <v>-122</v>
      </c>
      <c r="D22" s="899">
        <v>122</v>
      </c>
      <c r="E22" s="899">
        <v>-122</v>
      </c>
      <c r="F22" s="900">
        <f>-E22</f>
        <v>122</v>
      </c>
      <c r="G22" s="901" t="s">
        <v>1339</v>
      </c>
      <c r="H22" s="901" t="s">
        <v>1354</v>
      </c>
      <c r="I22" s="902"/>
      <c r="J22" s="902"/>
    </row>
    <row r="23" spans="1:10" ht="18" customHeight="1">
      <c r="A23" s="903" t="s">
        <v>871</v>
      </c>
      <c r="B23" s="898" t="s">
        <v>872</v>
      </c>
      <c r="C23" s="899">
        <v>-932117</v>
      </c>
      <c r="D23" s="899">
        <v>1828377</v>
      </c>
      <c r="E23" s="899">
        <v>-6745015</v>
      </c>
      <c r="F23" s="900">
        <v>14189275</v>
      </c>
      <c r="G23" s="884" t="s">
        <v>66</v>
      </c>
      <c r="H23" s="901" t="s">
        <v>1270</v>
      </c>
      <c r="I23" s="902"/>
      <c r="J23" s="902"/>
    </row>
    <row r="24" spans="1:10" s="901" customFormat="1" ht="18" customHeight="1">
      <c r="A24" s="903" t="s">
        <v>873</v>
      </c>
      <c r="B24" s="898" t="s">
        <v>874</v>
      </c>
      <c r="C24" s="899">
        <v>-2054000</v>
      </c>
      <c r="D24" s="899">
        <v>2204883.63</v>
      </c>
      <c r="E24" s="899">
        <v>0</v>
      </c>
      <c r="F24" s="900">
        <v>150883.63</v>
      </c>
      <c r="G24" s="901" t="s">
        <v>993</v>
      </c>
      <c r="H24" s="901" t="s">
        <v>1271</v>
      </c>
      <c r="I24" s="902"/>
      <c r="J24" s="902"/>
    </row>
    <row r="25" spans="1:10" s="904" customFormat="1" ht="18" customHeight="1">
      <c r="A25" s="903" t="s">
        <v>873</v>
      </c>
      <c r="B25" s="898" t="s">
        <v>875</v>
      </c>
      <c r="C25" s="899">
        <v>0</v>
      </c>
      <c r="D25" s="899">
        <v>0</v>
      </c>
      <c r="E25" s="899">
        <v>-372989</v>
      </c>
      <c r="F25" s="900">
        <v>372989</v>
      </c>
      <c r="G25" s="904" t="s">
        <v>1339</v>
      </c>
      <c r="H25" s="901" t="s">
        <v>1272</v>
      </c>
      <c r="I25" s="902"/>
      <c r="J25" s="902"/>
    </row>
    <row r="26" spans="1:10" s="901" customFormat="1" ht="18" customHeight="1">
      <c r="A26" s="903" t="s">
        <v>876</v>
      </c>
      <c r="B26" s="898" t="s">
        <v>877</v>
      </c>
      <c r="C26" s="899">
        <v>0</v>
      </c>
      <c r="D26" s="899">
        <v>0</v>
      </c>
      <c r="E26" s="899">
        <v>-300000</v>
      </c>
      <c r="F26" s="900">
        <v>300000</v>
      </c>
      <c r="G26" s="901" t="s">
        <v>1339</v>
      </c>
      <c r="H26" s="901" t="s">
        <v>1273</v>
      </c>
      <c r="I26" s="902"/>
      <c r="J26" s="902"/>
    </row>
    <row r="27" spans="1:10" s="904" customFormat="1" ht="18" customHeight="1">
      <c r="A27" s="903" t="s">
        <v>878</v>
      </c>
      <c r="B27" s="898" t="s">
        <v>879</v>
      </c>
      <c r="C27" s="905">
        <v>0</v>
      </c>
      <c r="D27" s="899">
        <v>0</v>
      </c>
      <c r="E27" s="905">
        <v>-246799</v>
      </c>
      <c r="F27" s="900">
        <v>246799</v>
      </c>
      <c r="G27" s="904" t="s">
        <v>1339</v>
      </c>
      <c r="H27" s="901" t="s">
        <v>1276</v>
      </c>
      <c r="I27" s="902"/>
      <c r="J27" s="902"/>
    </row>
    <row r="28" spans="1:10" s="901" customFormat="1" ht="18" customHeight="1">
      <c r="A28" s="903" t="s">
        <v>880</v>
      </c>
      <c r="B28" s="898" t="s">
        <v>881</v>
      </c>
      <c r="C28" s="899">
        <v>0</v>
      </c>
      <c r="D28" s="899">
        <v>24750</v>
      </c>
      <c r="E28" s="899">
        <v>0</v>
      </c>
      <c r="F28" s="900">
        <v>24750</v>
      </c>
      <c r="G28" s="901" t="s">
        <v>993</v>
      </c>
      <c r="H28" s="901" t="s">
        <v>1277</v>
      </c>
      <c r="I28" s="902"/>
      <c r="J28" s="902"/>
    </row>
    <row r="29" spans="1:10" s="904" customFormat="1" ht="18" customHeight="1">
      <c r="A29" s="903" t="s">
        <v>880</v>
      </c>
      <c r="B29" s="898" t="s">
        <v>882</v>
      </c>
      <c r="C29" s="899">
        <v>-4091666</v>
      </c>
      <c r="D29" s="899">
        <v>938788</v>
      </c>
      <c r="E29" s="899">
        <v>-6818489</v>
      </c>
      <c r="F29" s="900">
        <v>3665611</v>
      </c>
      <c r="G29" s="904" t="s">
        <v>66</v>
      </c>
      <c r="H29" s="901" t="s">
        <v>1278</v>
      </c>
      <c r="I29" s="902"/>
      <c r="J29" s="902"/>
    </row>
    <row r="30" spans="1:10" s="904" customFormat="1" ht="18" customHeight="1">
      <c r="A30" s="903" t="s">
        <v>883</v>
      </c>
      <c r="B30" s="898" t="s">
        <v>884</v>
      </c>
      <c r="C30" s="899">
        <v>0</v>
      </c>
      <c r="D30" s="899">
        <v>0</v>
      </c>
      <c r="E30" s="899">
        <v>-534600</v>
      </c>
      <c r="F30" s="900">
        <f>-E30</f>
        <v>534600</v>
      </c>
      <c r="G30" s="904" t="s">
        <v>1339</v>
      </c>
      <c r="H30" s="901" t="s">
        <v>1279</v>
      </c>
      <c r="I30" s="902"/>
      <c r="J30" s="902"/>
    </row>
    <row r="31" spans="1:10" s="904" customFormat="1" ht="18" customHeight="1">
      <c r="A31" s="903" t="s">
        <v>834</v>
      </c>
      <c r="B31" s="898" t="s">
        <v>885</v>
      </c>
      <c r="C31" s="899">
        <v>0</v>
      </c>
      <c r="D31" s="899">
        <v>201665</v>
      </c>
      <c r="E31" s="899">
        <v>0</v>
      </c>
      <c r="F31" s="900">
        <f>D31</f>
        <v>201665</v>
      </c>
      <c r="G31" s="904" t="s">
        <v>993</v>
      </c>
      <c r="H31" s="901" t="s">
        <v>1127</v>
      </c>
      <c r="I31" s="902"/>
      <c r="J31" s="902"/>
    </row>
    <row r="32" spans="1:10" s="904" customFormat="1" ht="18" customHeight="1">
      <c r="A32" s="903" t="s">
        <v>834</v>
      </c>
      <c r="B32" s="898" t="s">
        <v>886</v>
      </c>
      <c r="C32" s="899">
        <v>0</v>
      </c>
      <c r="D32" s="899">
        <v>0</v>
      </c>
      <c r="E32" s="899">
        <v>-55790</v>
      </c>
      <c r="F32" s="900">
        <f>-E32</f>
        <v>55790</v>
      </c>
      <c r="G32" s="904" t="s">
        <v>1339</v>
      </c>
      <c r="H32" s="901" t="s">
        <v>1128</v>
      </c>
      <c r="I32" s="902"/>
      <c r="J32" s="902"/>
    </row>
    <row r="33" spans="1:6" s="891" customFormat="1" ht="18" customHeight="1">
      <c r="A33" s="1306" t="s">
        <v>1163</v>
      </c>
      <c r="B33" s="1307"/>
      <c r="C33" s="906">
        <f>SUM(C9:C32)</f>
        <v>-15061788</v>
      </c>
      <c r="D33" s="906">
        <f>SUM(D9:D32)</f>
        <v>23053635.63</v>
      </c>
      <c r="E33" s="906">
        <f>SUM(E9:E32)</f>
        <v>-24183483</v>
      </c>
      <c r="F33" s="906">
        <f>SUM(F9:F32)</f>
        <v>38723330.629999995</v>
      </c>
    </row>
    <row r="34" spans="1:6" s="891" customFormat="1" ht="18" customHeight="1">
      <c r="A34" s="1306" t="s">
        <v>135</v>
      </c>
      <c r="B34" s="1307"/>
      <c r="C34" s="1295">
        <f>SUM(C33:D33)</f>
        <v>7991847.629999999</v>
      </c>
      <c r="D34" s="1296"/>
      <c r="E34" s="1295">
        <f>SUM(E33:F33)</f>
        <v>14539847.629999995</v>
      </c>
      <c r="F34" s="1297"/>
    </row>
    <row r="35" spans="1:6" s="891" customFormat="1" ht="18" customHeight="1" thickBot="1">
      <c r="A35" s="1308" t="s">
        <v>136</v>
      </c>
      <c r="B35" s="1309"/>
      <c r="C35" s="1303">
        <f>SUM(C8,C34)</f>
        <v>208778856.63</v>
      </c>
      <c r="D35" s="1304"/>
      <c r="E35" s="1303">
        <f>SUM(E8,E34)</f>
        <v>206526856.63</v>
      </c>
      <c r="F35" s="1305"/>
    </row>
    <row r="36" ht="12.75" customHeight="1"/>
    <row r="37" spans="2:6" ht="12.75">
      <c r="B37" s="886" t="s">
        <v>887</v>
      </c>
      <c r="C37" s="1310">
        <v>208778856.63</v>
      </c>
      <c r="D37" s="1310"/>
      <c r="E37" s="1310">
        <v>206526856.63</v>
      </c>
      <c r="F37" s="1310"/>
    </row>
    <row r="38" spans="2:6" ht="12.75">
      <c r="B38" s="886" t="s">
        <v>296</v>
      </c>
      <c r="C38" s="1310">
        <f>C35-C37</f>
        <v>0</v>
      </c>
      <c r="D38" s="1311"/>
      <c r="E38" s="1310">
        <f>E35-E37</f>
        <v>0</v>
      </c>
      <c r="F38" s="1311"/>
    </row>
  </sheetData>
  <sheetProtection password="CF93" sheet="1"/>
  <mergeCells count="21">
    <mergeCell ref="C37:D37"/>
    <mergeCell ref="E37:F37"/>
    <mergeCell ref="C38:D38"/>
    <mergeCell ref="E38:F38"/>
    <mergeCell ref="C35:D35"/>
    <mergeCell ref="E35:F35"/>
    <mergeCell ref="C8:D8"/>
    <mergeCell ref="A8:B8"/>
    <mergeCell ref="A35:B35"/>
    <mergeCell ref="A33:B33"/>
    <mergeCell ref="A34:B34"/>
    <mergeCell ref="G4:G5"/>
    <mergeCell ref="H4:H5"/>
    <mergeCell ref="E5:F5"/>
    <mergeCell ref="C34:D34"/>
    <mergeCell ref="E34:F34"/>
    <mergeCell ref="A3:F3"/>
    <mergeCell ref="E8:F8"/>
    <mergeCell ref="A5:A6"/>
    <mergeCell ref="B5:B6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</sheetPr>
  <dimension ref="A1:J108"/>
  <sheetViews>
    <sheetView view="pageBreakPreview" zoomScaleSheetLayoutView="100" zoomScalePageLayoutView="0" workbookViewId="0" topLeftCell="A1">
      <pane ySplit="7" topLeftCell="A72" activePane="bottomLeft" state="frozen"/>
      <selection pane="topLeft" activeCell="A1" sqref="A1"/>
      <selection pane="bottomLeft" activeCell="A77" sqref="A77:C77"/>
    </sheetView>
  </sheetViews>
  <sheetFormatPr defaultColWidth="9.00390625" defaultRowHeight="12.75"/>
  <cols>
    <col min="1" max="1" width="3.375" style="61" customWidth="1"/>
    <col min="2" max="2" width="7.375" style="61" customWidth="1"/>
    <col min="3" max="3" width="42.625" style="6" customWidth="1"/>
    <col min="4" max="4" width="12.25390625" style="6" customWidth="1"/>
    <col min="5" max="5" width="12.625" style="6" customWidth="1"/>
    <col min="6" max="6" width="6.125" style="6" customWidth="1"/>
    <col min="7" max="7" width="6.375" style="63" customWidth="1"/>
    <col min="8" max="8" width="11.75390625" style="136" customWidth="1"/>
    <col min="9" max="9" width="10.00390625" style="134" customWidth="1"/>
    <col min="10" max="10" width="9.125" style="134" customWidth="1"/>
    <col min="11" max="16384" width="9.125" style="6" customWidth="1"/>
  </cols>
  <sheetData>
    <row r="1" spans="1:10" s="271" customFormat="1" ht="13.5">
      <c r="A1" s="278"/>
      <c r="B1" s="278"/>
      <c r="E1" s="1396" t="s">
        <v>275</v>
      </c>
      <c r="F1" s="1396"/>
      <c r="G1" s="477"/>
      <c r="H1" s="478"/>
      <c r="I1" s="270"/>
      <c r="J1" s="270"/>
    </row>
    <row r="2" spans="1:10" s="271" customFormat="1" ht="13.5">
      <c r="A2" s="278"/>
      <c r="B2" s="278"/>
      <c r="E2" s="282"/>
      <c r="F2" s="282"/>
      <c r="G2" s="477"/>
      <c r="H2" s="478"/>
      <c r="I2" s="270"/>
      <c r="J2" s="270"/>
    </row>
    <row r="3" spans="1:10" s="271" customFormat="1" ht="13.5">
      <c r="A3" s="1351" t="s">
        <v>635</v>
      </c>
      <c r="B3" s="1351"/>
      <c r="C3" s="1351"/>
      <c r="D3" s="1351"/>
      <c r="E3" s="1351"/>
      <c r="F3" s="1351"/>
      <c r="G3" s="477"/>
      <c r="H3" s="478"/>
      <c r="I3" s="270"/>
      <c r="J3" s="270"/>
    </row>
    <row r="4" spans="1:10" s="271" customFormat="1" ht="5.25" customHeight="1">
      <c r="A4" s="281"/>
      <c r="B4" s="281"/>
      <c r="C4" s="281"/>
      <c r="D4" s="281"/>
      <c r="E4" s="281"/>
      <c r="F4" s="281"/>
      <c r="G4" s="477"/>
      <c r="H4" s="478"/>
      <c r="I4" s="270"/>
      <c r="J4" s="270"/>
    </row>
    <row r="5" spans="1:10" s="271" customFormat="1" ht="28.5" customHeight="1" thickBot="1">
      <c r="A5" s="1377" t="s">
        <v>1283</v>
      </c>
      <c r="B5" s="1378"/>
      <c r="C5" s="1378"/>
      <c r="D5" s="1378"/>
      <c r="E5" s="1378"/>
      <c r="F5" s="479" t="s">
        <v>818</v>
      </c>
      <c r="G5" s="477"/>
      <c r="H5" s="478"/>
      <c r="I5" s="270"/>
      <c r="J5" s="270"/>
    </row>
    <row r="6" spans="1:10" s="472" customFormat="1" ht="17.25" customHeight="1">
      <c r="A6" s="480" t="s">
        <v>1167</v>
      </c>
      <c r="B6" s="481" t="s">
        <v>819</v>
      </c>
      <c r="C6" s="482" t="s">
        <v>1091</v>
      </c>
      <c r="D6" s="285" t="s">
        <v>821</v>
      </c>
      <c r="E6" s="483" t="s">
        <v>822</v>
      </c>
      <c r="F6" s="286" t="s">
        <v>153</v>
      </c>
      <c r="G6" s="484"/>
      <c r="H6" s="485"/>
      <c r="I6" s="535"/>
      <c r="J6" s="535"/>
    </row>
    <row r="7" spans="1:10" s="492" customFormat="1" ht="11.25" customHeight="1">
      <c r="A7" s="486">
        <v>1</v>
      </c>
      <c r="B7" s="487">
        <v>2</v>
      </c>
      <c r="C7" s="487">
        <v>3</v>
      </c>
      <c r="D7" s="487">
        <v>4</v>
      </c>
      <c r="E7" s="488">
        <v>5</v>
      </c>
      <c r="F7" s="489">
        <v>6</v>
      </c>
      <c r="G7" s="490"/>
      <c r="H7" s="491"/>
      <c r="I7" s="536"/>
      <c r="J7" s="536"/>
    </row>
    <row r="8" spans="1:10" s="271" customFormat="1" ht="18" customHeight="1">
      <c r="A8" s="1383" t="s">
        <v>592</v>
      </c>
      <c r="B8" s="1384"/>
      <c r="C8" s="1385"/>
      <c r="D8" s="493">
        <f>SUM(D9,D10)</f>
        <v>1250000</v>
      </c>
      <c r="E8" s="493">
        <f>SUM(E9,E10)</f>
        <v>960000</v>
      </c>
      <c r="F8" s="494">
        <f>E8/D8*100</f>
        <v>76.8</v>
      </c>
      <c r="G8" s="477"/>
      <c r="H8" s="478"/>
      <c r="I8" s="270"/>
      <c r="J8" s="270"/>
    </row>
    <row r="9" spans="1:10" s="271" customFormat="1" ht="40.5" customHeight="1">
      <c r="A9" s="265" t="s">
        <v>1170</v>
      </c>
      <c r="B9" s="267">
        <v>70001</v>
      </c>
      <c r="C9" s="1283" t="s">
        <v>1059</v>
      </c>
      <c r="D9" s="495">
        <f>SUM(9W!D69)</f>
        <v>400000</v>
      </c>
      <c r="E9" s="495">
        <f>SUM(9W!E69)</f>
        <v>360000</v>
      </c>
      <c r="F9" s="496">
        <f>E9/D9*100</f>
        <v>90</v>
      </c>
      <c r="G9" s="477" t="s">
        <v>1323</v>
      </c>
      <c r="H9" s="478"/>
      <c r="I9" s="270"/>
      <c r="J9" s="270"/>
    </row>
    <row r="10" spans="1:10" s="271" customFormat="1" ht="93.75" customHeight="1" thickBot="1">
      <c r="A10" s="499" t="s">
        <v>1171</v>
      </c>
      <c r="B10" s="500">
        <v>92605</v>
      </c>
      <c r="C10" s="1284" t="s">
        <v>1060</v>
      </c>
      <c r="D10" s="502">
        <v>850000</v>
      </c>
      <c r="E10" s="502">
        <v>600000</v>
      </c>
      <c r="F10" s="503">
        <f>E10/D10*100</f>
        <v>70.58823529411765</v>
      </c>
      <c r="G10" s="477" t="s">
        <v>1323</v>
      </c>
      <c r="H10" s="478"/>
      <c r="I10" s="270"/>
      <c r="J10" s="270"/>
    </row>
    <row r="11" spans="1:10" s="271" customFormat="1" ht="17.25" customHeight="1" thickBot="1" thickTop="1">
      <c r="A11" s="1380" t="s">
        <v>595</v>
      </c>
      <c r="B11" s="1381"/>
      <c r="C11" s="1382"/>
      <c r="D11" s="497">
        <f>SUM(D8)</f>
        <v>1250000</v>
      </c>
      <c r="E11" s="497">
        <f>SUM(E8)</f>
        <v>960000</v>
      </c>
      <c r="F11" s="498">
        <f>E11/D11*100</f>
        <v>76.8</v>
      </c>
      <c r="G11" s="477"/>
      <c r="H11" s="478"/>
      <c r="I11" s="270"/>
      <c r="J11" s="270"/>
    </row>
    <row r="12" ht="17.25" customHeight="1">
      <c r="F12" s="141"/>
    </row>
    <row r="13" spans="1:10" s="477" customFormat="1" ht="43.5" customHeight="1" thickBot="1">
      <c r="A13" s="1395" t="s">
        <v>1135</v>
      </c>
      <c r="B13" s="1395"/>
      <c r="C13" s="1395"/>
      <c r="D13" s="1395"/>
      <c r="E13" s="1395"/>
      <c r="F13" s="1395"/>
      <c r="H13" s="478"/>
      <c r="I13" s="537"/>
      <c r="J13" s="537"/>
    </row>
    <row r="14" spans="1:10" s="472" customFormat="1" ht="19.5" customHeight="1">
      <c r="A14" s="283" t="s">
        <v>1167</v>
      </c>
      <c r="B14" s="284" t="s">
        <v>819</v>
      </c>
      <c r="C14" s="482" t="s">
        <v>1091</v>
      </c>
      <c r="D14" s="285" t="s">
        <v>821</v>
      </c>
      <c r="E14" s="483" t="s">
        <v>822</v>
      </c>
      <c r="F14" s="286" t="s">
        <v>153</v>
      </c>
      <c r="G14" s="484"/>
      <c r="H14" s="485"/>
      <c r="I14" s="535"/>
      <c r="J14" s="535"/>
    </row>
    <row r="15" spans="1:10" s="505" customFormat="1" ht="10.5" customHeight="1">
      <c r="A15" s="486">
        <v>1</v>
      </c>
      <c r="B15" s="487">
        <v>2</v>
      </c>
      <c r="C15" s="487">
        <v>3</v>
      </c>
      <c r="D15" s="487">
        <v>4</v>
      </c>
      <c r="E15" s="488">
        <v>5</v>
      </c>
      <c r="F15" s="489">
        <v>6</v>
      </c>
      <c r="G15" s="290"/>
      <c r="H15" s="504"/>
      <c r="I15" s="538"/>
      <c r="J15" s="538"/>
    </row>
    <row r="16" spans="1:10" s="271" customFormat="1" ht="18.75" customHeight="1">
      <c r="A16" s="1383" t="s">
        <v>592</v>
      </c>
      <c r="B16" s="1384"/>
      <c r="C16" s="1385"/>
      <c r="D16" s="493">
        <f>SUM(D17,D18,D19,D20,D21,D22,D23,D24,D25,D26,D27,D28,D29,D30)</f>
        <v>9535380</v>
      </c>
      <c r="E16" s="493">
        <f>SUM(E17,E18,E19,E20,E21,E22,E23,E24,E25,E26,E27,E28,E29,E30)</f>
        <v>5772278.48</v>
      </c>
      <c r="F16" s="494">
        <f>E16/D16*100</f>
        <v>60.53537960731508</v>
      </c>
      <c r="G16" s="477"/>
      <c r="H16" s="478"/>
      <c r="I16" s="270"/>
      <c r="J16" s="270"/>
    </row>
    <row r="17" spans="1:10" s="271" customFormat="1" ht="30" customHeight="1">
      <c r="A17" s="265" t="s">
        <v>1170</v>
      </c>
      <c r="B17" s="267">
        <v>80101</v>
      </c>
      <c r="C17" s="266" t="s">
        <v>1040</v>
      </c>
      <c r="D17" s="507">
        <f>SUM(9W!D190)</f>
        <v>326880</v>
      </c>
      <c r="E17" s="507">
        <f>SUM(9W!E190)</f>
        <v>134898.06</v>
      </c>
      <c r="F17" s="496">
        <f aca="true" t="shared" si="0" ref="F17:F46">E17/D17*100</f>
        <v>41.26837371512482</v>
      </c>
      <c r="G17" s="478" t="s">
        <v>1324</v>
      </c>
      <c r="H17" s="270"/>
      <c r="I17" s="270"/>
      <c r="J17" s="270"/>
    </row>
    <row r="18" spans="1:10" s="271" customFormat="1" ht="27.75" customHeight="1">
      <c r="A18" s="265" t="s">
        <v>1171</v>
      </c>
      <c r="B18" s="267">
        <v>80103</v>
      </c>
      <c r="C18" s="266" t="s">
        <v>1040</v>
      </c>
      <c r="D18" s="507">
        <f>SUM(9W!D198)</f>
        <v>55680</v>
      </c>
      <c r="E18" s="507">
        <f>SUM(9W!E198)</f>
        <v>19164.48</v>
      </c>
      <c r="F18" s="496">
        <f t="shared" si="0"/>
        <v>34.41896551724138</v>
      </c>
      <c r="G18" s="478" t="s">
        <v>1324</v>
      </c>
      <c r="H18" s="533"/>
      <c r="I18" s="539"/>
      <c r="J18" s="270"/>
    </row>
    <row r="19" spans="1:10" s="271" customFormat="1" ht="24" customHeight="1">
      <c r="A19" s="265" t="s">
        <v>1255</v>
      </c>
      <c r="B19" s="267">
        <v>80104</v>
      </c>
      <c r="C19" s="506" t="s">
        <v>754</v>
      </c>
      <c r="D19" s="507">
        <v>5021440</v>
      </c>
      <c r="E19" s="507">
        <v>3033891</v>
      </c>
      <c r="F19" s="496">
        <f t="shared" si="0"/>
        <v>60.418744423910276</v>
      </c>
      <c r="G19" s="508" t="s">
        <v>1136</v>
      </c>
      <c r="H19" s="478"/>
      <c r="I19" s="270"/>
      <c r="J19" s="270"/>
    </row>
    <row r="20" spans="1:10" s="271" customFormat="1" ht="24" customHeight="1">
      <c r="A20" s="265" t="s">
        <v>1262</v>
      </c>
      <c r="B20" s="267">
        <v>80104</v>
      </c>
      <c r="C20" s="506" t="s">
        <v>1001</v>
      </c>
      <c r="D20" s="507">
        <v>118720</v>
      </c>
      <c r="E20" s="507">
        <v>39616</v>
      </c>
      <c r="F20" s="496">
        <f t="shared" si="0"/>
        <v>33.36927223719677</v>
      </c>
      <c r="G20" s="508" t="s">
        <v>1324</v>
      </c>
      <c r="H20" s="478"/>
      <c r="I20" s="270"/>
      <c r="J20" s="270"/>
    </row>
    <row r="21" spans="1:10" s="271" customFormat="1" ht="24" customHeight="1">
      <c r="A21" s="265" t="s">
        <v>1263</v>
      </c>
      <c r="B21" s="267">
        <v>80105</v>
      </c>
      <c r="C21" s="506" t="s">
        <v>618</v>
      </c>
      <c r="D21" s="507">
        <f>SUM(9W!D207)</f>
        <v>152240</v>
      </c>
      <c r="E21" s="507">
        <f>SUM(9W!E207)</f>
        <v>72137.32</v>
      </c>
      <c r="F21" s="496">
        <f t="shared" si="0"/>
        <v>47.3839464004204</v>
      </c>
      <c r="G21" s="508" t="s">
        <v>1324</v>
      </c>
      <c r="H21" s="478"/>
      <c r="I21" s="270"/>
      <c r="J21" s="270"/>
    </row>
    <row r="22" spans="1:10" s="271" customFormat="1" ht="30" customHeight="1">
      <c r="A22" s="265" t="s">
        <v>1264</v>
      </c>
      <c r="B22" s="267">
        <v>80110</v>
      </c>
      <c r="C22" s="266" t="s">
        <v>604</v>
      </c>
      <c r="D22" s="507">
        <v>226480</v>
      </c>
      <c r="E22" s="553">
        <v>92277.06</v>
      </c>
      <c r="F22" s="496">
        <f t="shared" si="0"/>
        <v>40.74402154715648</v>
      </c>
      <c r="G22" s="477" t="s">
        <v>1324</v>
      </c>
      <c r="H22" s="478"/>
      <c r="I22" s="270">
        <v>358720</v>
      </c>
      <c r="J22" s="270">
        <v>140291.14</v>
      </c>
    </row>
    <row r="23" spans="1:10" s="271" customFormat="1" ht="24.75" customHeight="1">
      <c r="A23" s="265" t="s">
        <v>1351</v>
      </c>
      <c r="B23" s="267">
        <v>80110</v>
      </c>
      <c r="C23" s="506" t="s">
        <v>605</v>
      </c>
      <c r="D23" s="507">
        <v>94240</v>
      </c>
      <c r="E23" s="553">
        <v>38261.22</v>
      </c>
      <c r="F23" s="496">
        <f t="shared" si="0"/>
        <v>40.59976655348048</v>
      </c>
      <c r="G23" s="477" t="s">
        <v>1324</v>
      </c>
      <c r="H23" s="478"/>
      <c r="I23" s="270"/>
      <c r="J23" s="270"/>
    </row>
    <row r="24" spans="1:10" s="271" customFormat="1" ht="24.75" customHeight="1">
      <c r="A24" s="265" t="s">
        <v>1352</v>
      </c>
      <c r="B24" s="267">
        <v>80110</v>
      </c>
      <c r="C24" s="506" t="s">
        <v>242</v>
      </c>
      <c r="D24" s="507">
        <v>38000</v>
      </c>
      <c r="E24" s="553">
        <v>9752.86</v>
      </c>
      <c r="F24" s="496">
        <f t="shared" si="0"/>
        <v>25.665421052631583</v>
      </c>
      <c r="G24" s="477" t="s">
        <v>1324</v>
      </c>
      <c r="H24" s="478"/>
      <c r="I24" s="270"/>
      <c r="J24" s="270"/>
    </row>
    <row r="25" spans="1:10" s="271" customFormat="1" ht="24.75" customHeight="1">
      <c r="A25" s="265" t="s">
        <v>1265</v>
      </c>
      <c r="B25" s="267">
        <v>80110</v>
      </c>
      <c r="C25" s="506" t="s">
        <v>606</v>
      </c>
      <c r="D25" s="495">
        <v>275000</v>
      </c>
      <c r="E25" s="534">
        <v>120180.48</v>
      </c>
      <c r="F25" s="496">
        <f t="shared" si="0"/>
        <v>43.701992727272724</v>
      </c>
      <c r="G25" s="477" t="s">
        <v>1286</v>
      </c>
      <c r="H25" s="478"/>
      <c r="I25" s="270"/>
      <c r="J25" s="270"/>
    </row>
    <row r="26" spans="1:7" ht="24.75" customHeight="1" hidden="1">
      <c r="A26" s="62" t="s">
        <v>1267</v>
      </c>
      <c r="B26" s="143">
        <v>85153</v>
      </c>
      <c r="C26" s="144" t="s">
        <v>1003</v>
      </c>
      <c r="D26" s="145"/>
      <c r="E26" s="146"/>
      <c r="F26" s="140" t="e">
        <f t="shared" si="0"/>
        <v>#DIV/0!</v>
      </c>
      <c r="G26" s="63" t="s">
        <v>1326</v>
      </c>
    </row>
    <row r="27" spans="1:10" s="271" customFormat="1" ht="24.75" customHeight="1">
      <c r="A27" s="265" t="s">
        <v>1267</v>
      </c>
      <c r="B27" s="509">
        <v>85154</v>
      </c>
      <c r="C27" s="510" t="s">
        <v>1003</v>
      </c>
      <c r="D27" s="449">
        <v>6200</v>
      </c>
      <c r="E27" s="449">
        <v>2600</v>
      </c>
      <c r="F27" s="496">
        <f>E27/D27*100</f>
        <v>41.935483870967744</v>
      </c>
      <c r="G27" s="477" t="s">
        <v>1326</v>
      </c>
      <c r="H27" s="478"/>
      <c r="I27" s="270"/>
      <c r="J27" s="270"/>
    </row>
    <row r="28" spans="1:10" s="271" customFormat="1" ht="24" customHeight="1">
      <c r="A28" s="265" t="s">
        <v>1353</v>
      </c>
      <c r="B28" s="267">
        <v>92109</v>
      </c>
      <c r="C28" s="506" t="s">
        <v>1092</v>
      </c>
      <c r="D28" s="495">
        <f>SUM(9W!D397)</f>
        <v>1660000</v>
      </c>
      <c r="E28" s="495">
        <f>SUM(9W!E397)</f>
        <v>1415000</v>
      </c>
      <c r="F28" s="496">
        <f t="shared" si="0"/>
        <v>85.2409638554217</v>
      </c>
      <c r="G28" s="477" t="s">
        <v>1325</v>
      </c>
      <c r="H28" s="478"/>
      <c r="I28" s="270"/>
      <c r="J28" s="270"/>
    </row>
    <row r="29" spans="1:10" s="271" customFormat="1" ht="24.75" customHeight="1">
      <c r="A29" s="265" t="s">
        <v>1268</v>
      </c>
      <c r="B29" s="267">
        <v>92116</v>
      </c>
      <c r="C29" s="506" t="s">
        <v>755</v>
      </c>
      <c r="D29" s="495">
        <f>SUM(9W!D402)</f>
        <v>1170500</v>
      </c>
      <c r="E29" s="495">
        <f>SUM(9W!E402)</f>
        <v>594500</v>
      </c>
      <c r="F29" s="496">
        <f t="shared" si="0"/>
        <v>50.790260572404954</v>
      </c>
      <c r="G29" s="477" t="s">
        <v>1325</v>
      </c>
      <c r="H29" s="478"/>
      <c r="I29" s="270"/>
      <c r="J29" s="270"/>
    </row>
    <row r="30" spans="1:10" s="271" customFormat="1" ht="24.75" customHeight="1">
      <c r="A30" s="265" t="s">
        <v>1269</v>
      </c>
      <c r="B30" s="267">
        <v>92118</v>
      </c>
      <c r="C30" s="506" t="s">
        <v>756</v>
      </c>
      <c r="D30" s="495">
        <f>SUM(9W!D405)</f>
        <v>390000</v>
      </c>
      <c r="E30" s="495">
        <f>SUM(9W!E405)</f>
        <v>200000</v>
      </c>
      <c r="F30" s="496">
        <f t="shared" si="0"/>
        <v>51.28205128205128</v>
      </c>
      <c r="G30" s="477" t="s">
        <v>1325</v>
      </c>
      <c r="H30" s="478"/>
      <c r="I30" s="270"/>
      <c r="J30" s="270"/>
    </row>
    <row r="31" spans="1:10" s="271" customFormat="1" ht="18" customHeight="1">
      <c r="A31" s="1397" t="s">
        <v>593</v>
      </c>
      <c r="B31" s="1398"/>
      <c r="C31" s="1399"/>
      <c r="D31" s="544">
        <f>SUM(D32,D33,D34,D35,D36,D37,D38,D39,D40,D41,D42,D43,D44,D45)</f>
        <v>2759595</v>
      </c>
      <c r="E31" s="544">
        <f>SUM(E32,E33,E34,E35,E36,E37,E38,E39,E40,E41,E42,E43,E44,E45)</f>
        <v>1098141.7599999998</v>
      </c>
      <c r="F31" s="545">
        <f t="shared" si="0"/>
        <v>39.79358420347913</v>
      </c>
      <c r="G31" s="477"/>
      <c r="H31" s="478"/>
      <c r="I31" s="270"/>
      <c r="J31" s="270"/>
    </row>
    <row r="32" spans="1:10" s="271" customFormat="1" ht="30" customHeight="1">
      <c r="A32" s="265" t="s">
        <v>1354</v>
      </c>
      <c r="B32" s="267">
        <v>80120</v>
      </c>
      <c r="C32" s="266" t="s">
        <v>715</v>
      </c>
      <c r="D32" s="507">
        <v>218400</v>
      </c>
      <c r="E32" s="553">
        <v>84777.81</v>
      </c>
      <c r="F32" s="496">
        <f t="shared" si="0"/>
        <v>38.81767857142857</v>
      </c>
      <c r="G32" s="477" t="s">
        <v>1324</v>
      </c>
      <c r="H32" s="478"/>
      <c r="I32" s="270">
        <v>1099680</v>
      </c>
      <c r="J32" s="270">
        <v>454285.74</v>
      </c>
    </row>
    <row r="33" spans="1:10" s="271" customFormat="1" ht="28.5" customHeight="1">
      <c r="A33" s="265" t="s">
        <v>1270</v>
      </c>
      <c r="B33" s="267">
        <v>80120</v>
      </c>
      <c r="C33" s="506" t="s">
        <v>716</v>
      </c>
      <c r="D33" s="507">
        <v>304200</v>
      </c>
      <c r="E33" s="553">
        <v>145771.8</v>
      </c>
      <c r="F33" s="496">
        <f t="shared" si="0"/>
        <v>47.91972386587771</v>
      </c>
      <c r="G33" s="477" t="s">
        <v>1324</v>
      </c>
      <c r="H33" s="478"/>
      <c r="I33" s="270"/>
      <c r="J33" s="270"/>
    </row>
    <row r="34" spans="1:10" s="271" customFormat="1" ht="30" customHeight="1">
      <c r="A34" s="265" t="s">
        <v>1271</v>
      </c>
      <c r="B34" s="509">
        <v>80120</v>
      </c>
      <c r="C34" s="510" t="s">
        <v>243</v>
      </c>
      <c r="D34" s="514">
        <v>162240</v>
      </c>
      <c r="E34" s="554">
        <v>74803.95</v>
      </c>
      <c r="F34" s="511">
        <f t="shared" si="0"/>
        <v>46.10697115384615</v>
      </c>
      <c r="G34" s="477" t="s">
        <v>1324</v>
      </c>
      <c r="H34" s="478"/>
      <c r="I34" s="270"/>
      <c r="J34" s="270"/>
    </row>
    <row r="35" spans="1:10" s="271" customFormat="1" ht="30" customHeight="1">
      <c r="A35" s="265" t="s">
        <v>1272</v>
      </c>
      <c r="B35" s="509">
        <v>80120</v>
      </c>
      <c r="C35" s="510" t="s">
        <v>340</v>
      </c>
      <c r="D35" s="514">
        <v>96120</v>
      </c>
      <c r="E35" s="554">
        <v>29468.6</v>
      </c>
      <c r="F35" s="511">
        <f t="shared" si="0"/>
        <v>30.65813566375364</v>
      </c>
      <c r="G35" s="477" t="s">
        <v>1324</v>
      </c>
      <c r="H35" s="478"/>
      <c r="I35" s="270"/>
      <c r="J35" s="270"/>
    </row>
    <row r="36" spans="1:10" s="271" customFormat="1" ht="42.75" customHeight="1">
      <c r="A36" s="265" t="s">
        <v>1273</v>
      </c>
      <c r="B36" s="267">
        <v>80120</v>
      </c>
      <c r="C36" s="266" t="s">
        <v>1002</v>
      </c>
      <c r="D36" s="507">
        <v>180960</v>
      </c>
      <c r="E36" s="553">
        <v>79023.66</v>
      </c>
      <c r="F36" s="496">
        <f t="shared" si="0"/>
        <v>43.66913129973475</v>
      </c>
      <c r="G36" s="477" t="s">
        <v>1324</v>
      </c>
      <c r="H36" s="478"/>
      <c r="I36" s="270"/>
      <c r="J36" s="270"/>
    </row>
    <row r="37" spans="1:10" s="271" customFormat="1" ht="30" customHeight="1">
      <c r="A37" s="265" t="s">
        <v>1276</v>
      </c>
      <c r="B37" s="267">
        <v>80120</v>
      </c>
      <c r="C37" s="266" t="s">
        <v>244</v>
      </c>
      <c r="D37" s="507">
        <v>73440</v>
      </c>
      <c r="E37" s="553">
        <v>19867.54</v>
      </c>
      <c r="F37" s="496">
        <f t="shared" si="0"/>
        <v>27.052750544662313</v>
      </c>
      <c r="G37" s="477" t="s">
        <v>1324</v>
      </c>
      <c r="H37" s="478"/>
      <c r="I37" s="270"/>
      <c r="J37" s="270"/>
    </row>
    <row r="38" spans="1:10" s="271" customFormat="1" ht="38.25" customHeight="1">
      <c r="A38" s="265" t="s">
        <v>1277</v>
      </c>
      <c r="B38" s="267">
        <v>80120</v>
      </c>
      <c r="C38" s="266" t="s">
        <v>619</v>
      </c>
      <c r="D38" s="507">
        <v>64320</v>
      </c>
      <c r="E38" s="553">
        <v>20572.38</v>
      </c>
      <c r="F38" s="496">
        <f t="shared" si="0"/>
        <v>31.984421641791045</v>
      </c>
      <c r="G38" s="477" t="s">
        <v>1324</v>
      </c>
      <c r="H38" s="478"/>
      <c r="I38" s="270"/>
      <c r="J38" s="270"/>
    </row>
    <row r="39" spans="1:10" s="271" customFormat="1" ht="30" customHeight="1">
      <c r="A39" s="265" t="s">
        <v>1278</v>
      </c>
      <c r="B39" s="267">
        <v>80130</v>
      </c>
      <c r="C39" s="266" t="s">
        <v>341</v>
      </c>
      <c r="D39" s="495">
        <v>19200</v>
      </c>
      <c r="E39" s="534">
        <v>0</v>
      </c>
      <c r="F39" s="496">
        <f>E39/D39*100</f>
        <v>0</v>
      </c>
      <c r="G39" s="477" t="s">
        <v>1324</v>
      </c>
      <c r="H39" s="478"/>
      <c r="I39" s="270"/>
      <c r="J39" s="270"/>
    </row>
    <row r="40" spans="1:10" s="271" customFormat="1" ht="39.75" customHeight="1">
      <c r="A40" s="265" t="s">
        <v>1279</v>
      </c>
      <c r="B40" s="267">
        <v>80130</v>
      </c>
      <c r="C40" s="266" t="s">
        <v>620</v>
      </c>
      <c r="D40" s="507">
        <v>658840</v>
      </c>
      <c r="E40" s="553">
        <v>280960.54</v>
      </c>
      <c r="F40" s="496">
        <f t="shared" si="0"/>
        <v>42.644730131746705</v>
      </c>
      <c r="G40" s="477" t="s">
        <v>1286</v>
      </c>
      <c r="H40" s="478"/>
      <c r="I40" s="270">
        <v>880880</v>
      </c>
      <c r="J40" s="270">
        <v>368450.66</v>
      </c>
    </row>
    <row r="41" spans="1:10" s="271" customFormat="1" ht="30" customHeight="1">
      <c r="A41" s="265" t="s">
        <v>1127</v>
      </c>
      <c r="B41" s="267">
        <v>80130</v>
      </c>
      <c r="C41" s="266" t="s">
        <v>1041</v>
      </c>
      <c r="D41" s="507">
        <v>222040</v>
      </c>
      <c r="E41" s="553">
        <v>87490.12</v>
      </c>
      <c r="F41" s="496">
        <f t="shared" si="0"/>
        <v>39.40286434876599</v>
      </c>
      <c r="G41" s="477" t="s">
        <v>1286</v>
      </c>
      <c r="H41" s="478"/>
      <c r="I41" s="270"/>
      <c r="J41" s="270"/>
    </row>
    <row r="42" spans="1:10" s="271" customFormat="1" ht="30" customHeight="1">
      <c r="A42" s="265" t="s">
        <v>1128</v>
      </c>
      <c r="B42" s="509">
        <v>85111</v>
      </c>
      <c r="C42" s="510" t="s">
        <v>1138</v>
      </c>
      <c r="D42" s="449">
        <f>SUM(9W!D547)</f>
        <v>35000</v>
      </c>
      <c r="E42" s="449">
        <f>SUM(9W!E547)</f>
        <v>18850</v>
      </c>
      <c r="F42" s="511">
        <f t="shared" si="0"/>
        <v>53.85714285714286</v>
      </c>
      <c r="G42" s="477" t="s">
        <v>1326</v>
      </c>
      <c r="I42" s="270"/>
      <c r="J42" s="270"/>
    </row>
    <row r="43" spans="1:10" s="271" customFormat="1" ht="30" customHeight="1">
      <c r="A43" s="265" t="s">
        <v>1129</v>
      </c>
      <c r="B43" s="267">
        <v>85117</v>
      </c>
      <c r="C43" s="266" t="s">
        <v>622</v>
      </c>
      <c r="D43" s="495">
        <f>SUM(9W!D554)</f>
        <v>74775</v>
      </c>
      <c r="E43" s="495">
        <f>SUM(9W!E554)</f>
        <v>350</v>
      </c>
      <c r="F43" s="496">
        <f t="shared" si="0"/>
        <v>0.4680708793045804</v>
      </c>
      <c r="G43" s="477" t="s">
        <v>1326</v>
      </c>
      <c r="H43" s="478"/>
      <c r="I43" s="270"/>
      <c r="J43" s="270"/>
    </row>
    <row r="44" spans="1:10" s="271" customFormat="1" ht="30" customHeight="1">
      <c r="A44" s="265" t="s">
        <v>1130</v>
      </c>
      <c r="B44" s="512">
        <v>85311</v>
      </c>
      <c r="C44" s="513" t="s">
        <v>1322</v>
      </c>
      <c r="D44" s="514">
        <f>SUM(9W!D605)</f>
        <v>41100</v>
      </c>
      <c r="E44" s="514">
        <f>SUM(9W!E605)</f>
        <v>13700</v>
      </c>
      <c r="F44" s="511">
        <f>E44/D44*100</f>
        <v>33.33333333333333</v>
      </c>
      <c r="G44" s="477" t="s">
        <v>1285</v>
      </c>
      <c r="H44" s="478"/>
      <c r="I44" s="270"/>
      <c r="J44" s="270"/>
    </row>
    <row r="45" spans="1:10" s="271" customFormat="1" ht="39.75" customHeight="1" thickBot="1">
      <c r="A45" s="499" t="s">
        <v>475</v>
      </c>
      <c r="B45" s="500">
        <v>85419</v>
      </c>
      <c r="C45" s="501" t="s">
        <v>380</v>
      </c>
      <c r="D45" s="502">
        <f>SUM(9W!D655)</f>
        <v>608960</v>
      </c>
      <c r="E45" s="502">
        <f>SUM(9W!E655)</f>
        <v>242505.36</v>
      </c>
      <c r="F45" s="503">
        <f t="shared" si="0"/>
        <v>39.82287178139779</v>
      </c>
      <c r="G45" s="477" t="s">
        <v>1324</v>
      </c>
      <c r="H45" s="478"/>
      <c r="I45" s="270"/>
      <c r="J45" s="270"/>
    </row>
    <row r="46" spans="1:10" s="271" customFormat="1" ht="18.75" customHeight="1" thickBot="1" thickTop="1">
      <c r="A46" s="1380" t="s">
        <v>594</v>
      </c>
      <c r="B46" s="1381"/>
      <c r="C46" s="1382"/>
      <c r="D46" s="497">
        <f>SUM(D16,D31)</f>
        <v>12294975</v>
      </c>
      <c r="E46" s="497">
        <f>SUM(E16,E31)</f>
        <v>6870420.24</v>
      </c>
      <c r="F46" s="498">
        <f t="shared" si="0"/>
        <v>55.879904107165736</v>
      </c>
      <c r="G46" s="477"/>
      <c r="H46" s="478"/>
      <c r="I46" s="270"/>
      <c r="J46" s="270"/>
    </row>
    <row r="47" ht="35.25" customHeight="1"/>
    <row r="48" spans="1:10" s="271" customFormat="1" ht="39" customHeight="1" thickBot="1">
      <c r="A48" s="1395" t="s">
        <v>704</v>
      </c>
      <c r="B48" s="1395"/>
      <c r="C48" s="1395"/>
      <c r="D48" s="1395"/>
      <c r="E48" s="1395"/>
      <c r="F48" s="1395"/>
      <c r="G48" s="477"/>
      <c r="H48" s="478"/>
      <c r="I48" s="270"/>
      <c r="J48" s="270"/>
    </row>
    <row r="49" spans="1:10" s="472" customFormat="1" ht="20.25" customHeight="1">
      <c r="A49" s="283" t="s">
        <v>1167</v>
      </c>
      <c r="B49" s="284" t="s">
        <v>819</v>
      </c>
      <c r="C49" s="482" t="s">
        <v>1091</v>
      </c>
      <c r="D49" s="285" t="s">
        <v>821</v>
      </c>
      <c r="E49" s="483" t="s">
        <v>822</v>
      </c>
      <c r="F49" s="286" t="s">
        <v>153</v>
      </c>
      <c r="G49" s="484"/>
      <c r="H49" s="485"/>
      <c r="I49" s="535"/>
      <c r="J49" s="535"/>
    </row>
    <row r="50" spans="1:10" s="505" customFormat="1" ht="9.75" customHeight="1">
      <c r="A50" s="486">
        <v>1</v>
      </c>
      <c r="B50" s="487">
        <v>2</v>
      </c>
      <c r="C50" s="487">
        <v>3</v>
      </c>
      <c r="D50" s="487">
        <v>4</v>
      </c>
      <c r="E50" s="488">
        <v>5</v>
      </c>
      <c r="F50" s="489">
        <v>6</v>
      </c>
      <c r="G50" s="290"/>
      <c r="H50" s="504"/>
      <c r="I50" s="538"/>
      <c r="J50" s="538"/>
    </row>
    <row r="51" spans="1:10" s="271" customFormat="1" ht="15.75" customHeight="1">
      <c r="A51" s="1383" t="s">
        <v>592</v>
      </c>
      <c r="B51" s="1384"/>
      <c r="C51" s="1385"/>
      <c r="D51" s="493">
        <f>SUM(D52,D53,D54,D55,D56,D57,D58,D59,D60,D61,D62,D63,D64,D65)</f>
        <v>2734736</v>
      </c>
      <c r="E51" s="493">
        <f>SUM(E52,E53,E54,E55,E56,E57,E58,E59,E60,E61,E62,E63,E64,E65)</f>
        <v>1530563.54</v>
      </c>
      <c r="F51" s="494">
        <f>E51/D51*100</f>
        <v>55.967506187068885</v>
      </c>
      <c r="G51" s="477"/>
      <c r="H51" s="478"/>
      <c r="I51" s="270"/>
      <c r="J51" s="270"/>
    </row>
    <row r="52" spans="1:10" s="271" customFormat="1" ht="24" customHeight="1">
      <c r="A52" s="265" t="s">
        <v>1170</v>
      </c>
      <c r="B52" s="267">
        <v>75095</v>
      </c>
      <c r="C52" s="506" t="s">
        <v>44</v>
      </c>
      <c r="D52" s="495">
        <f>SUM(9W!D130)</f>
        <v>6436</v>
      </c>
      <c r="E52" s="495">
        <f>SUM(9W!E130)</f>
        <v>0</v>
      </c>
      <c r="F52" s="496">
        <f aca="true" t="shared" si="1" ref="F52:F70">E52/D52*100</f>
        <v>0</v>
      </c>
      <c r="G52" s="477" t="s">
        <v>1281</v>
      </c>
      <c r="H52" s="478"/>
      <c r="I52" s="270"/>
      <c r="J52" s="270"/>
    </row>
    <row r="53" spans="1:7" ht="24" customHeight="1" hidden="1">
      <c r="A53" s="62" t="s">
        <v>1171</v>
      </c>
      <c r="B53" s="135">
        <v>80113</v>
      </c>
      <c r="C53" s="142" t="s">
        <v>1157</v>
      </c>
      <c r="D53" s="139"/>
      <c r="E53" s="139"/>
      <c r="F53" s="140" t="e">
        <f t="shared" si="1"/>
        <v>#DIV/0!</v>
      </c>
      <c r="G53" s="63" t="s">
        <v>1281</v>
      </c>
    </row>
    <row r="54" spans="1:10" s="271" customFormat="1" ht="24" customHeight="1">
      <c r="A54" s="265" t="s">
        <v>1171</v>
      </c>
      <c r="B54" s="267">
        <v>80195</v>
      </c>
      <c r="C54" s="506" t="s">
        <v>1093</v>
      </c>
      <c r="D54" s="495">
        <f>SUM(9W!D234)</f>
        <v>14000</v>
      </c>
      <c r="E54" s="495">
        <f>SUM(9W!E234)</f>
        <v>0</v>
      </c>
      <c r="F54" s="496">
        <f t="shared" si="1"/>
        <v>0</v>
      </c>
      <c r="G54" s="477" t="s">
        <v>1281</v>
      </c>
      <c r="H54" s="478"/>
      <c r="I54" s="270"/>
      <c r="J54" s="270"/>
    </row>
    <row r="55" spans="1:10" s="271" customFormat="1" ht="24" customHeight="1">
      <c r="A55" s="265" t="s">
        <v>1255</v>
      </c>
      <c r="B55" s="267">
        <v>85149</v>
      </c>
      <c r="C55" s="506" t="s">
        <v>333</v>
      </c>
      <c r="D55" s="495">
        <f>SUM(9W!D242)</f>
        <v>14000</v>
      </c>
      <c r="E55" s="495">
        <f>SUM(9W!E242)</f>
        <v>5380.58</v>
      </c>
      <c r="F55" s="496">
        <f t="shared" si="1"/>
        <v>38.43271428571428</v>
      </c>
      <c r="G55" s="477" t="s">
        <v>1281</v>
      </c>
      <c r="H55" s="478"/>
      <c r="I55" s="270"/>
      <c r="J55" s="270"/>
    </row>
    <row r="56" spans="1:10" s="271" customFormat="1" ht="35.25" customHeight="1" hidden="1">
      <c r="A56" s="265" t="s">
        <v>1263</v>
      </c>
      <c r="B56" s="267">
        <v>85152</v>
      </c>
      <c r="C56" s="266" t="s">
        <v>616</v>
      </c>
      <c r="D56" s="495"/>
      <c r="E56" s="495"/>
      <c r="F56" s="496" t="e">
        <f t="shared" si="1"/>
        <v>#DIV/0!</v>
      </c>
      <c r="G56" s="477" t="s">
        <v>1281</v>
      </c>
      <c r="H56" s="478"/>
      <c r="I56" s="270"/>
      <c r="J56" s="270"/>
    </row>
    <row r="57" spans="1:10" s="271" customFormat="1" ht="30" customHeight="1" hidden="1">
      <c r="A57" s="265" t="s">
        <v>1264</v>
      </c>
      <c r="B57" s="509">
        <v>85153</v>
      </c>
      <c r="C57" s="510" t="s">
        <v>615</v>
      </c>
      <c r="D57" s="449"/>
      <c r="E57" s="449"/>
      <c r="F57" s="511" t="e">
        <f t="shared" si="1"/>
        <v>#DIV/0!</v>
      </c>
      <c r="G57" s="477" t="s">
        <v>1281</v>
      </c>
      <c r="H57" s="478"/>
      <c r="I57" s="270"/>
      <c r="J57" s="270"/>
    </row>
    <row r="58" spans="1:10" s="271" customFormat="1" ht="24.75" customHeight="1">
      <c r="A58" s="265" t="s">
        <v>1262</v>
      </c>
      <c r="B58" s="267">
        <v>85154</v>
      </c>
      <c r="C58" s="506" t="s">
        <v>607</v>
      </c>
      <c r="D58" s="495">
        <v>515000</v>
      </c>
      <c r="E58" s="495">
        <v>225000</v>
      </c>
      <c r="F58" s="496">
        <f t="shared" si="1"/>
        <v>43.689320388349515</v>
      </c>
      <c r="G58" s="518" t="s">
        <v>707</v>
      </c>
      <c r="H58" s="478"/>
      <c r="I58" s="270"/>
      <c r="J58" s="270"/>
    </row>
    <row r="59" spans="1:10" s="271" customFormat="1" ht="24" customHeight="1">
      <c r="A59" s="265" t="s">
        <v>1263</v>
      </c>
      <c r="B59" s="509">
        <v>85195</v>
      </c>
      <c r="C59" s="510" t="s">
        <v>245</v>
      </c>
      <c r="D59" s="449">
        <f>SUM(9W!D261)</f>
        <v>20000</v>
      </c>
      <c r="E59" s="449">
        <f>SUM(9W!E261)</f>
        <v>5000</v>
      </c>
      <c r="F59" s="511">
        <f t="shared" si="1"/>
        <v>25</v>
      </c>
      <c r="G59" s="477" t="s">
        <v>1282</v>
      </c>
      <c r="H59" s="478"/>
      <c r="I59" s="270"/>
      <c r="J59" s="270"/>
    </row>
    <row r="60" spans="1:10" s="271" customFormat="1" ht="24" customHeight="1">
      <c r="A60" s="265" t="s">
        <v>1264</v>
      </c>
      <c r="B60" s="515">
        <v>85203</v>
      </c>
      <c r="C60" s="516" t="s">
        <v>501</v>
      </c>
      <c r="D60" s="507">
        <f>SUM(9W!D275)</f>
        <v>137000</v>
      </c>
      <c r="E60" s="507">
        <f>SUM(9W!E275)</f>
        <v>69631</v>
      </c>
      <c r="F60" s="496">
        <f t="shared" si="1"/>
        <v>50.82554744525547</v>
      </c>
      <c r="G60" s="477" t="s">
        <v>1281</v>
      </c>
      <c r="H60" s="478"/>
      <c r="I60" s="270"/>
      <c r="J60" s="270"/>
    </row>
    <row r="61" spans="1:10" s="271" customFormat="1" ht="24" customHeight="1">
      <c r="A61" s="265" t="s">
        <v>1351</v>
      </c>
      <c r="B61" s="509">
        <v>85395</v>
      </c>
      <c r="C61" s="517" t="s">
        <v>608</v>
      </c>
      <c r="D61" s="449">
        <f>SUM(9W!D333)</f>
        <v>552000</v>
      </c>
      <c r="E61" s="449">
        <f>SUM(9W!E333)</f>
        <v>286784</v>
      </c>
      <c r="F61" s="511">
        <f t="shared" si="1"/>
        <v>51.95362318840579</v>
      </c>
      <c r="G61" s="518" t="s">
        <v>707</v>
      </c>
      <c r="H61" s="478"/>
      <c r="I61" s="270"/>
      <c r="J61" s="270"/>
    </row>
    <row r="62" spans="1:10" s="271" customFormat="1" ht="24" customHeight="1">
      <c r="A62" s="265" t="s">
        <v>1352</v>
      </c>
      <c r="B62" s="509">
        <v>90013</v>
      </c>
      <c r="C62" s="517" t="s">
        <v>361</v>
      </c>
      <c r="D62" s="449">
        <f>SUM(9W!D375)</f>
        <v>305000</v>
      </c>
      <c r="E62" s="449">
        <f>SUM(9W!E375)</f>
        <v>152499.96</v>
      </c>
      <c r="F62" s="511">
        <f t="shared" si="1"/>
        <v>49.9999868852459</v>
      </c>
      <c r="G62" s="477" t="s">
        <v>1281</v>
      </c>
      <c r="H62" s="478"/>
      <c r="I62" s="270"/>
      <c r="J62" s="270"/>
    </row>
    <row r="63" spans="1:10" s="271" customFormat="1" ht="24" customHeight="1">
      <c r="A63" s="265" t="s">
        <v>1265</v>
      </c>
      <c r="B63" s="509">
        <v>90095</v>
      </c>
      <c r="C63" s="510" t="s">
        <v>621</v>
      </c>
      <c r="D63" s="449">
        <f>SUM(9W!D390)</f>
        <v>70000</v>
      </c>
      <c r="E63" s="449">
        <f>SUM(9W!E390)</f>
        <v>30000</v>
      </c>
      <c r="F63" s="511">
        <f t="shared" si="1"/>
        <v>42.857142857142854</v>
      </c>
      <c r="G63" s="508" t="s">
        <v>220</v>
      </c>
      <c r="H63" s="478"/>
      <c r="I63" s="270"/>
      <c r="J63" s="270"/>
    </row>
    <row r="64" spans="1:10" s="271" customFormat="1" ht="24" customHeight="1">
      <c r="A64" s="265" t="s">
        <v>1267</v>
      </c>
      <c r="B64" s="267">
        <v>92195</v>
      </c>
      <c r="C64" s="266" t="s">
        <v>326</v>
      </c>
      <c r="D64" s="495">
        <f>SUM(9W!D418)</f>
        <v>56800</v>
      </c>
      <c r="E64" s="495">
        <f>SUM(9W!E418)</f>
        <v>22918</v>
      </c>
      <c r="F64" s="496">
        <f t="shared" si="1"/>
        <v>40.348591549295776</v>
      </c>
      <c r="G64" s="477" t="s">
        <v>1281</v>
      </c>
      <c r="H64" s="478"/>
      <c r="I64" s="270"/>
      <c r="J64" s="270"/>
    </row>
    <row r="65" spans="1:10" s="271" customFormat="1" ht="24" customHeight="1">
      <c r="A65" s="265" t="s">
        <v>1353</v>
      </c>
      <c r="B65" s="267">
        <v>92605</v>
      </c>
      <c r="C65" s="506" t="s">
        <v>1089</v>
      </c>
      <c r="D65" s="495">
        <v>1044500</v>
      </c>
      <c r="E65" s="495">
        <v>733350</v>
      </c>
      <c r="F65" s="496">
        <f t="shared" si="1"/>
        <v>70.21062709430349</v>
      </c>
      <c r="G65" s="477" t="s">
        <v>1281</v>
      </c>
      <c r="H65" s="478"/>
      <c r="I65" s="270"/>
      <c r="J65" s="270"/>
    </row>
    <row r="66" spans="1:10" s="271" customFormat="1" ht="17.25" customHeight="1">
      <c r="A66" s="1383" t="s">
        <v>593</v>
      </c>
      <c r="B66" s="1384"/>
      <c r="C66" s="1385"/>
      <c r="D66" s="493">
        <f>SUM(D67,D68,D69)</f>
        <v>921920</v>
      </c>
      <c r="E66" s="493">
        <f>SUM(E67,E68,E69)</f>
        <v>484989.91000000003</v>
      </c>
      <c r="F66" s="494">
        <f t="shared" si="1"/>
        <v>52.60650707219716</v>
      </c>
      <c r="G66" s="477"/>
      <c r="H66" s="478"/>
      <c r="I66" s="270"/>
      <c r="J66" s="270"/>
    </row>
    <row r="67" spans="1:10" s="271" customFormat="1" ht="30" customHeight="1">
      <c r="A67" s="265" t="s">
        <v>1268</v>
      </c>
      <c r="B67" s="267">
        <v>85201</v>
      </c>
      <c r="C67" s="266" t="s">
        <v>617</v>
      </c>
      <c r="D67" s="495">
        <f>SUM(9W!D568)</f>
        <v>798390</v>
      </c>
      <c r="E67" s="495">
        <f>SUM(9W!E568)</f>
        <v>426685.51</v>
      </c>
      <c r="F67" s="496">
        <f t="shared" si="1"/>
        <v>53.443243277095156</v>
      </c>
      <c r="G67" s="477" t="s">
        <v>1284</v>
      </c>
      <c r="H67" s="478"/>
      <c r="I67" s="270"/>
      <c r="J67" s="270"/>
    </row>
    <row r="68" spans="1:10" s="271" customFormat="1" ht="24" customHeight="1">
      <c r="A68" s="265" t="s">
        <v>1269</v>
      </c>
      <c r="B68" s="515">
        <v>85204</v>
      </c>
      <c r="C68" s="516" t="s">
        <v>502</v>
      </c>
      <c r="D68" s="507">
        <f>SUM(9W!D578)</f>
        <v>87530</v>
      </c>
      <c r="E68" s="507">
        <f>SUM(9W!E578)</f>
        <v>40304.4</v>
      </c>
      <c r="F68" s="496">
        <f>E68/D68*100</f>
        <v>46.04638409688107</v>
      </c>
      <c r="G68" s="477" t="s">
        <v>1284</v>
      </c>
      <c r="H68" s="478"/>
      <c r="I68" s="270"/>
      <c r="J68" s="270"/>
    </row>
    <row r="69" spans="1:10" s="271" customFormat="1" ht="24.75" customHeight="1" thickBot="1">
      <c r="A69" s="499" t="s">
        <v>1354</v>
      </c>
      <c r="B69" s="519">
        <v>85321</v>
      </c>
      <c r="C69" s="520" t="s">
        <v>329</v>
      </c>
      <c r="D69" s="521">
        <f>SUM(9W!D608)</f>
        <v>36000</v>
      </c>
      <c r="E69" s="521">
        <f>SUM(9W!E608)</f>
        <v>18000</v>
      </c>
      <c r="F69" s="503">
        <f>E69/D69*100</f>
        <v>50</v>
      </c>
      <c r="G69" s="477" t="s">
        <v>1284</v>
      </c>
      <c r="H69" s="478"/>
      <c r="I69" s="270"/>
      <c r="J69" s="270"/>
    </row>
    <row r="70" spans="1:10" s="271" customFormat="1" ht="18" customHeight="1" thickBot="1" thickTop="1">
      <c r="A70" s="1380" t="s">
        <v>594</v>
      </c>
      <c r="B70" s="1381"/>
      <c r="C70" s="1382"/>
      <c r="D70" s="497">
        <f>SUM(D51,D66)</f>
        <v>3656656</v>
      </c>
      <c r="E70" s="497">
        <f>SUM(E51,E66)</f>
        <v>2015553.4500000002</v>
      </c>
      <c r="F70" s="498">
        <f t="shared" si="1"/>
        <v>55.120127515412996</v>
      </c>
      <c r="G70" s="477"/>
      <c r="H70" s="478"/>
      <c r="I70" s="270"/>
      <c r="J70" s="270"/>
    </row>
    <row r="71" ht="33.75" customHeight="1"/>
    <row r="72" spans="1:10" s="271" customFormat="1" ht="29.25" customHeight="1" thickBot="1">
      <c r="A72" s="1395" t="s">
        <v>705</v>
      </c>
      <c r="B72" s="1395"/>
      <c r="C72" s="1395"/>
      <c r="D72" s="1395"/>
      <c r="E72" s="1395"/>
      <c r="F72" s="1395"/>
      <c r="G72" s="477"/>
      <c r="H72" s="478"/>
      <c r="I72" s="270"/>
      <c r="J72" s="270"/>
    </row>
    <row r="73" spans="1:10" s="271" customFormat="1" ht="17.25" customHeight="1">
      <c r="A73" s="283" t="s">
        <v>1167</v>
      </c>
      <c r="B73" s="284" t="s">
        <v>819</v>
      </c>
      <c r="C73" s="482" t="s">
        <v>1091</v>
      </c>
      <c r="D73" s="285" t="s">
        <v>821</v>
      </c>
      <c r="E73" s="483" t="s">
        <v>822</v>
      </c>
      <c r="F73" s="286" t="s">
        <v>823</v>
      </c>
      <c r="G73" s="477"/>
      <c r="H73" s="478"/>
      <c r="I73" s="270"/>
      <c r="J73" s="270"/>
    </row>
    <row r="74" spans="1:10" s="271" customFormat="1" ht="12" customHeight="1">
      <c r="A74" s="486">
        <v>1</v>
      </c>
      <c r="B74" s="487">
        <v>2</v>
      </c>
      <c r="C74" s="487">
        <v>3</v>
      </c>
      <c r="D74" s="487">
        <v>4</v>
      </c>
      <c r="E74" s="488">
        <v>5</v>
      </c>
      <c r="F74" s="489">
        <v>6</v>
      </c>
      <c r="G74" s="477"/>
      <c r="H74" s="478"/>
      <c r="I74" s="270"/>
      <c r="J74" s="270"/>
    </row>
    <row r="75" spans="1:10" s="271" customFormat="1" ht="18" customHeight="1">
      <c r="A75" s="1383" t="s">
        <v>592</v>
      </c>
      <c r="B75" s="1384"/>
      <c r="C75" s="1385"/>
      <c r="D75" s="493">
        <f>SUM(D76)</f>
        <v>1000</v>
      </c>
      <c r="E75" s="493">
        <f>SUM(E76)</f>
        <v>62.78</v>
      </c>
      <c r="F75" s="494">
        <f aca="true" t="shared" si="2" ref="F75:F80">E75/D75*100</f>
        <v>6.2780000000000005</v>
      </c>
      <c r="G75" s="477"/>
      <c r="H75" s="478"/>
      <c r="I75" s="270"/>
      <c r="J75" s="270"/>
    </row>
    <row r="76" spans="1:10" s="271" customFormat="1" ht="24" customHeight="1">
      <c r="A76" s="265" t="s">
        <v>1170</v>
      </c>
      <c r="B76" s="543" t="s">
        <v>318</v>
      </c>
      <c r="C76" s="266" t="s">
        <v>319</v>
      </c>
      <c r="D76" s="495">
        <f>SUM(9W!D16)</f>
        <v>1000</v>
      </c>
      <c r="E76" s="495">
        <f>SUM(9W!E16)</f>
        <v>62.78</v>
      </c>
      <c r="F76" s="496">
        <f t="shared" si="2"/>
        <v>6.2780000000000005</v>
      </c>
      <c r="G76" s="477" t="s">
        <v>706</v>
      </c>
      <c r="H76" s="478"/>
      <c r="I76" s="270"/>
      <c r="J76" s="270"/>
    </row>
    <row r="77" spans="1:10" s="271" customFormat="1" ht="18" customHeight="1">
      <c r="A77" s="1383" t="s">
        <v>593</v>
      </c>
      <c r="B77" s="1384"/>
      <c r="C77" s="1385"/>
      <c r="D77" s="493">
        <f>SUM(D78,D79)</f>
        <v>122000</v>
      </c>
      <c r="E77" s="493">
        <f>SUM(E78,E79)</f>
        <v>122000</v>
      </c>
      <c r="F77" s="494">
        <f t="shared" si="2"/>
        <v>100</v>
      </c>
      <c r="G77" s="477"/>
      <c r="H77" s="478"/>
      <c r="I77" s="270"/>
      <c r="J77" s="270"/>
    </row>
    <row r="78" spans="1:10" s="271" customFormat="1" ht="24" customHeight="1">
      <c r="A78" s="265" t="s">
        <v>1171</v>
      </c>
      <c r="B78" s="267">
        <v>75405</v>
      </c>
      <c r="C78" s="266" t="s">
        <v>350</v>
      </c>
      <c r="D78" s="495">
        <f>SUM(9W!D484)</f>
        <v>112000</v>
      </c>
      <c r="E78" s="495">
        <f>SUM(9W!E484)</f>
        <v>112000</v>
      </c>
      <c r="F78" s="496">
        <f t="shared" si="2"/>
        <v>100</v>
      </c>
      <c r="G78" s="477" t="s">
        <v>1137</v>
      </c>
      <c r="H78" s="478"/>
      <c r="I78" s="270"/>
      <c r="J78" s="270"/>
    </row>
    <row r="79" spans="1:10" s="271" customFormat="1" ht="24" customHeight="1" thickBot="1">
      <c r="A79" s="499" t="s">
        <v>1255</v>
      </c>
      <c r="B79" s="500">
        <v>75406</v>
      </c>
      <c r="C79" s="501" t="s">
        <v>810</v>
      </c>
      <c r="D79" s="502">
        <f>SUM(9W!D489)</f>
        <v>10000</v>
      </c>
      <c r="E79" s="502">
        <f>SUM(9W!E489)</f>
        <v>10000</v>
      </c>
      <c r="F79" s="503">
        <f t="shared" si="2"/>
        <v>100</v>
      </c>
      <c r="G79" s="477" t="s">
        <v>1137</v>
      </c>
      <c r="H79" s="478"/>
      <c r="I79" s="270"/>
      <c r="J79" s="270"/>
    </row>
    <row r="80" spans="1:10" s="271" customFormat="1" ht="17.25" customHeight="1" thickBot="1" thickTop="1">
      <c r="A80" s="1380" t="s">
        <v>595</v>
      </c>
      <c r="B80" s="1381"/>
      <c r="C80" s="1382"/>
      <c r="D80" s="497">
        <f>SUM(D75,D77)</f>
        <v>123000</v>
      </c>
      <c r="E80" s="497">
        <f>SUM(E75,E77)</f>
        <v>122062.78</v>
      </c>
      <c r="F80" s="498">
        <f t="shared" si="2"/>
        <v>99.2380325203252</v>
      </c>
      <c r="G80" s="477"/>
      <c r="H80" s="478"/>
      <c r="I80" s="270"/>
      <c r="J80" s="270"/>
    </row>
    <row r="81" spans="1:10" s="271" customFormat="1" ht="30" customHeight="1">
      <c r="A81" s="278"/>
      <c r="B81" s="278"/>
      <c r="G81" s="477"/>
      <c r="H81" s="478"/>
      <c r="I81" s="270"/>
      <c r="J81" s="270"/>
    </row>
    <row r="82" spans="1:10" s="271" customFormat="1" ht="48.75" customHeight="1" thickBot="1">
      <c r="A82" s="1395" t="s">
        <v>221</v>
      </c>
      <c r="B82" s="1395"/>
      <c r="C82" s="1395"/>
      <c r="D82" s="1395"/>
      <c r="E82" s="1395"/>
      <c r="F82" s="1395"/>
      <c r="G82" s="522"/>
      <c r="H82" s="478"/>
      <c r="I82" s="270"/>
      <c r="J82" s="270"/>
    </row>
    <row r="83" spans="1:10" s="271" customFormat="1" ht="20.25" customHeight="1">
      <c r="A83" s="283" t="s">
        <v>1167</v>
      </c>
      <c r="B83" s="284" t="s">
        <v>819</v>
      </c>
      <c r="C83" s="482" t="s">
        <v>1091</v>
      </c>
      <c r="D83" s="285" t="s">
        <v>821</v>
      </c>
      <c r="E83" s="483" t="s">
        <v>822</v>
      </c>
      <c r="F83" s="286" t="s">
        <v>823</v>
      </c>
      <c r="G83" s="477"/>
      <c r="H83" s="478"/>
      <c r="I83" s="270"/>
      <c r="J83" s="270"/>
    </row>
    <row r="84" spans="1:10" s="505" customFormat="1" ht="10.5" customHeight="1">
      <c r="A84" s="486">
        <v>1</v>
      </c>
      <c r="B84" s="487">
        <v>2</v>
      </c>
      <c r="C84" s="487">
        <v>3</v>
      </c>
      <c r="D84" s="487">
        <v>4</v>
      </c>
      <c r="E84" s="488">
        <v>5</v>
      </c>
      <c r="F84" s="489">
        <v>6</v>
      </c>
      <c r="G84" s="290"/>
      <c r="H84" s="504"/>
      <c r="I84" s="538"/>
      <c r="J84" s="538"/>
    </row>
    <row r="85" spans="1:10" s="271" customFormat="1" ht="18.75" customHeight="1">
      <c r="A85" s="1383" t="s">
        <v>592</v>
      </c>
      <c r="B85" s="1384"/>
      <c r="C85" s="1385"/>
      <c r="D85" s="493">
        <f>SUM(D86,D88,D91,D92)</f>
        <v>1406000</v>
      </c>
      <c r="E85" s="493">
        <f>SUM(E86,E88,E91,E92)</f>
        <v>463246.75</v>
      </c>
      <c r="F85" s="494">
        <f>E85/D85*100</f>
        <v>32.94784850640114</v>
      </c>
      <c r="G85" s="477"/>
      <c r="H85" s="478"/>
      <c r="I85" s="270"/>
      <c r="J85" s="270"/>
    </row>
    <row r="86" spans="1:10" s="271" customFormat="1" ht="24" customHeight="1">
      <c r="A86" s="265" t="s">
        <v>1170</v>
      </c>
      <c r="B86" s="267">
        <v>70001</v>
      </c>
      <c r="C86" s="266" t="s">
        <v>1252</v>
      </c>
      <c r="D86" s="495">
        <f>SUM(9W!D71)</f>
        <v>806000</v>
      </c>
      <c r="E86" s="495">
        <f>SUM(9W!E71)</f>
        <v>13246.75</v>
      </c>
      <c r="F86" s="496">
        <f aca="true" t="shared" si="3" ref="F86:F97">E86/D86*100</f>
        <v>1.643517369727047</v>
      </c>
      <c r="G86" s="477" t="s">
        <v>1327</v>
      </c>
      <c r="H86" s="478"/>
      <c r="I86" s="270"/>
      <c r="J86" s="270"/>
    </row>
    <row r="87" spans="1:10" s="271" customFormat="1" ht="24" customHeight="1" hidden="1">
      <c r="A87" s="265" t="s">
        <v>1171</v>
      </c>
      <c r="B87" s="267">
        <v>80104</v>
      </c>
      <c r="C87" s="266" t="s">
        <v>754</v>
      </c>
      <c r="D87" s="495"/>
      <c r="E87" s="495"/>
      <c r="F87" s="496" t="e">
        <f t="shared" si="3"/>
        <v>#DIV/0!</v>
      </c>
      <c r="G87" s="477" t="s">
        <v>1327</v>
      </c>
      <c r="H87" s="478"/>
      <c r="I87" s="270"/>
      <c r="J87" s="270"/>
    </row>
    <row r="88" spans="1:10" s="271" customFormat="1" ht="24" customHeight="1">
      <c r="A88" s="265" t="s">
        <v>1171</v>
      </c>
      <c r="B88" s="267">
        <v>92109</v>
      </c>
      <c r="C88" s="506" t="s">
        <v>1092</v>
      </c>
      <c r="D88" s="495">
        <f>SUM(9W!D399)</f>
        <v>60000</v>
      </c>
      <c r="E88" s="495">
        <f>SUM(9W!E399)</f>
        <v>60000</v>
      </c>
      <c r="F88" s="496">
        <f t="shared" si="3"/>
        <v>100</v>
      </c>
      <c r="G88" s="477" t="s">
        <v>1328</v>
      </c>
      <c r="H88" s="478"/>
      <c r="I88" s="270"/>
      <c r="J88" s="270"/>
    </row>
    <row r="89" spans="1:10" s="271" customFormat="1" ht="24" customHeight="1" hidden="1">
      <c r="A89" s="265" t="s">
        <v>1262</v>
      </c>
      <c r="B89" s="267">
        <v>92116</v>
      </c>
      <c r="C89" s="506" t="s">
        <v>755</v>
      </c>
      <c r="D89" s="495"/>
      <c r="E89" s="495"/>
      <c r="F89" s="496" t="e">
        <f t="shared" si="3"/>
        <v>#DIV/0!</v>
      </c>
      <c r="G89" s="477" t="s">
        <v>701</v>
      </c>
      <c r="H89" s="478"/>
      <c r="I89" s="270"/>
      <c r="J89" s="270"/>
    </row>
    <row r="90" spans="1:10" s="271" customFormat="1" ht="24" customHeight="1" hidden="1">
      <c r="A90" s="265" t="s">
        <v>1263</v>
      </c>
      <c r="B90" s="267">
        <v>92118</v>
      </c>
      <c r="C90" s="506" t="s">
        <v>756</v>
      </c>
      <c r="D90" s="495"/>
      <c r="E90" s="495"/>
      <c r="F90" s="496" t="e">
        <f t="shared" si="3"/>
        <v>#DIV/0!</v>
      </c>
      <c r="G90" s="477" t="s">
        <v>702</v>
      </c>
      <c r="H90" s="478"/>
      <c r="I90" s="270"/>
      <c r="J90" s="270"/>
    </row>
    <row r="91" spans="1:10" s="271" customFormat="1" ht="24" customHeight="1">
      <c r="A91" s="265" t="s">
        <v>1255</v>
      </c>
      <c r="B91" s="267">
        <v>92120</v>
      </c>
      <c r="C91" s="506" t="s">
        <v>700</v>
      </c>
      <c r="D91" s="495">
        <f>SUM(9W!D411)</f>
        <v>150000</v>
      </c>
      <c r="E91" s="495">
        <f>SUM(9W!E411)</f>
        <v>0</v>
      </c>
      <c r="F91" s="496">
        <f t="shared" si="3"/>
        <v>0</v>
      </c>
      <c r="G91" s="477" t="s">
        <v>703</v>
      </c>
      <c r="H91" s="478"/>
      <c r="I91" s="270"/>
      <c r="J91" s="270"/>
    </row>
    <row r="92" spans="1:10" s="271" customFormat="1" ht="24" customHeight="1">
      <c r="A92" s="265" t="s">
        <v>1262</v>
      </c>
      <c r="B92" s="267">
        <v>92605</v>
      </c>
      <c r="C92" s="506" t="s">
        <v>327</v>
      </c>
      <c r="D92" s="495">
        <f>SUM(9W!D432)</f>
        <v>390000</v>
      </c>
      <c r="E92" s="495">
        <f>SUM(9W!E432)</f>
        <v>390000</v>
      </c>
      <c r="F92" s="496">
        <f t="shared" si="3"/>
        <v>100</v>
      </c>
      <c r="G92" s="477" t="s">
        <v>1327</v>
      </c>
      <c r="H92" s="478"/>
      <c r="I92" s="270"/>
      <c r="J92" s="270"/>
    </row>
    <row r="93" spans="1:10" s="477" customFormat="1" ht="20.25" customHeight="1">
      <c r="A93" s="1383" t="s">
        <v>593</v>
      </c>
      <c r="B93" s="1384"/>
      <c r="C93" s="1385"/>
      <c r="D93" s="523">
        <f>SUM(D94,D95,D96)</f>
        <v>349325</v>
      </c>
      <c r="E93" s="523">
        <f>SUM(E94,E95,E96)</f>
        <v>291057.6</v>
      </c>
      <c r="F93" s="494">
        <f>E93/D93*100</f>
        <v>83.3200028626637</v>
      </c>
      <c r="H93" s="478"/>
      <c r="I93" s="537"/>
      <c r="J93" s="537"/>
    </row>
    <row r="94" spans="1:10" s="477" customFormat="1" ht="20.25" customHeight="1">
      <c r="A94" s="265" t="s">
        <v>1263</v>
      </c>
      <c r="B94" s="267">
        <v>75405</v>
      </c>
      <c r="C94" s="266" t="s">
        <v>1333</v>
      </c>
      <c r="D94" s="495">
        <f>SUM(9W!D486)</f>
        <v>25000</v>
      </c>
      <c r="E94" s="495">
        <f>SUM(9W!E486)</f>
        <v>25000</v>
      </c>
      <c r="F94" s="496">
        <f>E94/D94*100</f>
        <v>100</v>
      </c>
      <c r="G94" s="477" t="s">
        <v>1332</v>
      </c>
      <c r="H94" s="478"/>
      <c r="I94" s="537"/>
      <c r="J94" s="537"/>
    </row>
    <row r="95" spans="1:10" s="271" customFormat="1" ht="31.5" customHeight="1">
      <c r="A95" s="265" t="s">
        <v>1264</v>
      </c>
      <c r="B95" s="267">
        <v>85111</v>
      </c>
      <c r="C95" s="266" t="s">
        <v>1138</v>
      </c>
      <c r="D95" s="495">
        <f>SUM(9W!D549)</f>
        <v>295425</v>
      </c>
      <c r="E95" s="495">
        <f>SUM(9W!E549)</f>
        <v>266057.6</v>
      </c>
      <c r="F95" s="496">
        <f>E95/D95*100</f>
        <v>90.05927054243885</v>
      </c>
      <c r="G95" s="477" t="s">
        <v>1328</v>
      </c>
      <c r="H95" s="277"/>
      <c r="I95" s="270"/>
      <c r="J95" s="270"/>
    </row>
    <row r="96" spans="1:10" s="271" customFormat="1" ht="29.25" customHeight="1" thickBot="1">
      <c r="A96" s="499" t="s">
        <v>1351</v>
      </c>
      <c r="B96" s="500">
        <v>85117</v>
      </c>
      <c r="C96" s="501" t="s">
        <v>622</v>
      </c>
      <c r="D96" s="502">
        <f>SUM(9W!D557)</f>
        <v>28900</v>
      </c>
      <c r="E96" s="502">
        <f>SUM(9W!E557)</f>
        <v>0</v>
      </c>
      <c r="F96" s="503">
        <f>E96/D96*100</f>
        <v>0</v>
      </c>
      <c r="G96" s="477" t="s">
        <v>1328</v>
      </c>
      <c r="H96" s="478"/>
      <c r="I96" s="270"/>
      <c r="J96" s="270"/>
    </row>
    <row r="97" spans="1:10" s="477" customFormat="1" ht="18" customHeight="1" thickBot="1" thickTop="1">
      <c r="A97" s="1380" t="s">
        <v>594</v>
      </c>
      <c r="B97" s="1381"/>
      <c r="C97" s="1382"/>
      <c r="D97" s="497">
        <f>SUM(D85,D93)</f>
        <v>1755325</v>
      </c>
      <c r="E97" s="497">
        <f>SUM(E85,E93)</f>
        <v>754304.35</v>
      </c>
      <c r="F97" s="498">
        <f t="shared" si="3"/>
        <v>42.97234700126757</v>
      </c>
      <c r="H97" s="478"/>
      <c r="I97" s="537"/>
      <c r="J97" s="537"/>
    </row>
    <row r="98" spans="1:10" s="137" customFormat="1" ht="21" customHeight="1" thickBot="1">
      <c r="A98" s="147"/>
      <c r="B98" s="147"/>
      <c r="C98" s="147"/>
      <c r="D98" s="148"/>
      <c r="E98" s="148"/>
      <c r="F98" s="149"/>
      <c r="H98" s="138"/>
      <c r="I98" s="540"/>
      <c r="J98" s="540"/>
    </row>
    <row r="99" spans="1:10" s="505" customFormat="1" ht="18" customHeight="1">
      <c r="A99" s="1374" t="s">
        <v>1091</v>
      </c>
      <c r="B99" s="1375"/>
      <c r="C99" s="1376"/>
      <c r="D99" s="524" t="s">
        <v>168</v>
      </c>
      <c r="E99" s="525" t="s">
        <v>169</v>
      </c>
      <c r="F99" s="526" t="s">
        <v>823</v>
      </c>
      <c r="G99" s="290"/>
      <c r="H99" s="504"/>
      <c r="I99" s="538"/>
      <c r="J99" s="538"/>
    </row>
    <row r="100" spans="1:10" s="478" customFormat="1" ht="22.5" customHeight="1">
      <c r="A100" s="1392" t="s">
        <v>695</v>
      </c>
      <c r="B100" s="1393"/>
      <c r="C100" s="1394"/>
      <c r="D100" s="527">
        <f>SUM(D11,D46,D70,D80)</f>
        <v>17324631</v>
      </c>
      <c r="E100" s="527">
        <f>SUM(E11,E46,E70,E80)</f>
        <v>9968036.47</v>
      </c>
      <c r="F100" s="528">
        <f>E100/D100*100</f>
        <v>57.53678949929728</v>
      </c>
      <c r="I100" s="541"/>
      <c r="J100" s="541"/>
    </row>
    <row r="101" spans="1:10" s="478" customFormat="1" ht="22.5" customHeight="1" thickBot="1">
      <c r="A101" s="1386" t="s">
        <v>1330</v>
      </c>
      <c r="B101" s="1387"/>
      <c r="C101" s="1388"/>
      <c r="D101" s="529">
        <f>SUM(D97)</f>
        <v>1755325</v>
      </c>
      <c r="E101" s="529">
        <f>SUM(E97)</f>
        <v>754304.35</v>
      </c>
      <c r="F101" s="530">
        <f>E101/D101*100</f>
        <v>42.97234700126757</v>
      </c>
      <c r="I101" s="541"/>
      <c r="J101" s="541"/>
    </row>
    <row r="102" spans="1:10" s="477" customFormat="1" ht="22.5" customHeight="1" thickBot="1" thickTop="1">
      <c r="A102" s="1389" t="s">
        <v>614</v>
      </c>
      <c r="B102" s="1390"/>
      <c r="C102" s="1391"/>
      <c r="D102" s="531">
        <f>SUM(D100,D101)</f>
        <v>19079956</v>
      </c>
      <c r="E102" s="531">
        <f>SUM(E100,E101)</f>
        <v>10722340.82</v>
      </c>
      <c r="F102" s="532">
        <f>E102/D102*100</f>
        <v>56.1968844162953</v>
      </c>
      <c r="H102" s="478"/>
      <c r="I102" s="537"/>
      <c r="J102" s="537"/>
    </row>
    <row r="103" spans="1:10" s="484" customFormat="1" ht="131.25" customHeight="1">
      <c r="A103" s="1379" t="s">
        <v>1061</v>
      </c>
      <c r="B103" s="1379"/>
      <c r="C103" s="1379"/>
      <c r="D103" s="1379"/>
      <c r="E103" s="1379"/>
      <c r="F103" s="1379"/>
      <c r="I103" s="542"/>
      <c r="J103" s="542"/>
    </row>
    <row r="104" spans="1:10" s="271" customFormat="1" ht="13.5">
      <c r="A104" s="278"/>
      <c r="B104" s="278"/>
      <c r="C104" s="279" t="s">
        <v>708</v>
      </c>
      <c r="D104" s="270"/>
      <c r="E104" s="270"/>
      <c r="G104" s="477"/>
      <c r="H104" s="478"/>
      <c r="I104" s="270"/>
      <c r="J104" s="270"/>
    </row>
    <row r="105" spans="1:10" s="271" customFormat="1" ht="13.5">
      <c r="A105" s="278"/>
      <c r="B105" s="278"/>
      <c r="C105" s="279" t="s">
        <v>709</v>
      </c>
      <c r="D105" s="270"/>
      <c r="E105" s="270"/>
      <c r="G105" s="477"/>
      <c r="H105" s="478"/>
      <c r="I105" s="270"/>
      <c r="J105" s="270"/>
    </row>
    <row r="106" spans="1:10" s="271" customFormat="1" ht="13.5">
      <c r="A106" s="278"/>
      <c r="B106" s="278"/>
      <c r="D106" s="270"/>
      <c r="E106" s="270"/>
      <c r="G106" s="477"/>
      <c r="H106" s="478"/>
      <c r="I106" s="270"/>
      <c r="J106" s="270"/>
    </row>
    <row r="107" spans="1:10" s="271" customFormat="1" ht="13.5">
      <c r="A107" s="278"/>
      <c r="B107" s="278"/>
      <c r="C107" s="279" t="s">
        <v>1287</v>
      </c>
      <c r="D107" s="270">
        <f>D104-D100</f>
        <v>-17324631</v>
      </c>
      <c r="E107" s="270">
        <f>E104-E100</f>
        <v>-9968036.47</v>
      </c>
      <c r="G107" s="477"/>
      <c r="H107" s="478"/>
      <c r="I107" s="270"/>
      <c r="J107" s="270"/>
    </row>
    <row r="108" spans="1:10" s="271" customFormat="1" ht="13.5">
      <c r="A108" s="278"/>
      <c r="B108" s="278"/>
      <c r="C108" s="279" t="s">
        <v>1321</v>
      </c>
      <c r="D108" s="270">
        <f>D105-D101</f>
        <v>-1755325</v>
      </c>
      <c r="E108" s="270">
        <f>E105-E101</f>
        <v>-754304.35</v>
      </c>
      <c r="G108" s="477"/>
      <c r="H108" s="478"/>
      <c r="I108" s="270"/>
      <c r="J108" s="270"/>
    </row>
  </sheetData>
  <sheetProtection password="CF93" sheet="1"/>
  <mergeCells count="26">
    <mergeCell ref="A85:C85"/>
    <mergeCell ref="A97:C97"/>
    <mergeCell ref="A72:F72"/>
    <mergeCell ref="A77:C77"/>
    <mergeCell ref="A80:C80"/>
    <mergeCell ref="A75:C75"/>
    <mergeCell ref="A48:F48"/>
    <mergeCell ref="A82:F82"/>
    <mergeCell ref="E1:F1"/>
    <mergeCell ref="A46:C46"/>
    <mergeCell ref="A16:C16"/>
    <mergeCell ref="A31:C31"/>
    <mergeCell ref="A8:C8"/>
    <mergeCell ref="A11:C11"/>
    <mergeCell ref="A3:F3"/>
    <mergeCell ref="A13:F13"/>
    <mergeCell ref="A99:C99"/>
    <mergeCell ref="A5:E5"/>
    <mergeCell ref="A103:F103"/>
    <mergeCell ref="A70:C70"/>
    <mergeCell ref="A93:C93"/>
    <mergeCell ref="A101:C101"/>
    <mergeCell ref="A102:C102"/>
    <mergeCell ref="A51:C51"/>
    <mergeCell ref="A66:C66"/>
    <mergeCell ref="A100:C10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H20"/>
  <sheetViews>
    <sheetView view="pageBreakPreview" zoomScaleSheetLayoutView="100" zoomScalePageLayoutView="0" workbookViewId="0" topLeftCell="A3">
      <selection activeCell="J17" sqref="J17:J18"/>
    </sheetView>
  </sheetViews>
  <sheetFormatPr defaultColWidth="9.00390625" defaultRowHeight="12.75"/>
  <cols>
    <col min="1" max="1" width="5.375" style="271" customWidth="1"/>
    <col min="2" max="2" width="9.125" style="271" customWidth="1"/>
    <col min="3" max="3" width="10.125" style="271" customWidth="1"/>
    <col min="4" max="4" width="7.125" style="271" customWidth="1"/>
    <col min="5" max="5" width="25.75390625" style="271" customWidth="1"/>
    <col min="6" max="6" width="11.875" style="271" customWidth="1"/>
    <col min="7" max="7" width="10.625" style="271" customWidth="1"/>
    <col min="8" max="8" width="5.25390625" style="271" customWidth="1"/>
    <col min="9" max="16384" width="9.125" style="271" customWidth="1"/>
  </cols>
  <sheetData>
    <row r="1" spans="6:8" ht="12.75">
      <c r="F1" s="477"/>
      <c r="G1" s="1396" t="s">
        <v>276</v>
      </c>
      <c r="H1" s="1396"/>
    </row>
    <row r="2" ht="24" customHeight="1"/>
    <row r="3" spans="1:8" ht="12.75">
      <c r="A3" s="1351" t="s">
        <v>330</v>
      </c>
      <c r="B3" s="1351"/>
      <c r="C3" s="1351"/>
      <c r="D3" s="1351"/>
      <c r="E3" s="1351"/>
      <c r="F3" s="1351"/>
      <c r="G3" s="1351"/>
      <c r="H3" s="1351"/>
    </row>
    <row r="4" spans="1:6" ht="15" customHeight="1">
      <c r="A4" s="281"/>
      <c r="B4" s="281"/>
      <c r="C4" s="281"/>
      <c r="D4" s="281"/>
      <c r="E4" s="281"/>
      <c r="F4" s="281"/>
    </row>
    <row r="5" spans="6:8" ht="13.5" thickBot="1">
      <c r="F5" s="279"/>
      <c r="G5" s="279"/>
      <c r="H5" s="279" t="s">
        <v>818</v>
      </c>
    </row>
    <row r="6" spans="1:8" s="484" customFormat="1" ht="24" customHeight="1">
      <c r="A6" s="283" t="s">
        <v>1167</v>
      </c>
      <c r="B6" s="284" t="s">
        <v>1090</v>
      </c>
      <c r="C6" s="284" t="s">
        <v>819</v>
      </c>
      <c r="D6" s="284" t="s">
        <v>1095</v>
      </c>
      <c r="E6" s="284" t="s">
        <v>596</v>
      </c>
      <c r="F6" s="284" t="s">
        <v>821</v>
      </c>
      <c r="G6" s="546" t="s">
        <v>822</v>
      </c>
      <c r="H6" s="547" t="s">
        <v>823</v>
      </c>
    </row>
    <row r="7" spans="1:8" s="281" customFormat="1" ht="9.75" customHeight="1">
      <c r="A7" s="548">
        <v>1</v>
      </c>
      <c r="B7" s="549">
        <v>2</v>
      </c>
      <c r="C7" s="549">
        <v>3</v>
      </c>
      <c r="D7" s="549">
        <v>4</v>
      </c>
      <c r="E7" s="549">
        <v>5</v>
      </c>
      <c r="F7" s="549">
        <v>6</v>
      </c>
      <c r="G7" s="549">
        <v>7</v>
      </c>
      <c r="H7" s="550">
        <v>8</v>
      </c>
    </row>
    <row r="8" spans="1:8" ht="30" customHeight="1">
      <c r="A8" s="1403" t="s">
        <v>1170</v>
      </c>
      <c r="B8" s="1400">
        <v>750</v>
      </c>
      <c r="C8" s="1400">
        <v>75095</v>
      </c>
      <c r="D8" s="267">
        <v>4210</v>
      </c>
      <c r="E8" s="1400" t="s">
        <v>597</v>
      </c>
      <c r="F8" s="495">
        <v>100</v>
      </c>
      <c r="G8" s="495">
        <v>0</v>
      </c>
      <c r="H8" s="269">
        <f aca="true" t="shared" si="0" ref="H8:H18">G8/F8*100</f>
        <v>0</v>
      </c>
    </row>
    <row r="9" spans="1:8" ht="30" customHeight="1">
      <c r="A9" s="1404"/>
      <c r="B9" s="1401"/>
      <c r="C9" s="1401"/>
      <c r="D9" s="267">
        <v>4360</v>
      </c>
      <c r="E9" s="1401"/>
      <c r="F9" s="495">
        <v>250</v>
      </c>
      <c r="G9" s="495">
        <v>54.7</v>
      </c>
      <c r="H9" s="269">
        <f t="shared" si="0"/>
        <v>21.880000000000003</v>
      </c>
    </row>
    <row r="10" spans="1:8" ht="30" customHeight="1">
      <c r="A10" s="1409"/>
      <c r="B10" s="1402"/>
      <c r="C10" s="1402"/>
      <c r="D10" s="267">
        <v>4400</v>
      </c>
      <c r="E10" s="1402"/>
      <c r="F10" s="495">
        <v>6000</v>
      </c>
      <c r="G10" s="495">
        <v>0</v>
      </c>
      <c r="H10" s="269">
        <f t="shared" si="0"/>
        <v>0</v>
      </c>
    </row>
    <row r="11" spans="1:8" ht="30" customHeight="1">
      <c r="A11" s="1403" t="s">
        <v>1171</v>
      </c>
      <c r="B11" s="1400">
        <v>750</v>
      </c>
      <c r="C11" s="1400">
        <v>75095</v>
      </c>
      <c r="D11" s="267">
        <v>4360</v>
      </c>
      <c r="E11" s="1400" t="s">
        <v>598</v>
      </c>
      <c r="F11" s="495">
        <v>450</v>
      </c>
      <c r="G11" s="495">
        <v>125.81</v>
      </c>
      <c r="H11" s="269">
        <f t="shared" si="0"/>
        <v>27.957777777777775</v>
      </c>
    </row>
    <row r="12" spans="1:8" ht="30" customHeight="1">
      <c r="A12" s="1404"/>
      <c r="B12" s="1401"/>
      <c r="C12" s="1401"/>
      <c r="D12" s="1285">
        <v>4400</v>
      </c>
      <c r="E12" s="1401"/>
      <c r="F12" s="1286">
        <v>6000</v>
      </c>
      <c r="G12" s="1286">
        <v>3000</v>
      </c>
      <c r="H12" s="298">
        <f t="shared" si="0"/>
        <v>50</v>
      </c>
    </row>
    <row r="13" spans="1:8" ht="30" customHeight="1">
      <c r="A13" s="1409"/>
      <c r="B13" s="1402"/>
      <c r="C13" s="1402"/>
      <c r="D13" s="1285">
        <v>4740</v>
      </c>
      <c r="E13" s="1402"/>
      <c r="F13" s="1286">
        <v>40</v>
      </c>
      <c r="G13" s="1286">
        <v>0</v>
      </c>
      <c r="H13" s="298">
        <f t="shared" si="0"/>
        <v>0</v>
      </c>
    </row>
    <row r="14" spans="1:8" ht="30" customHeight="1">
      <c r="A14" s="1403" t="s">
        <v>1255</v>
      </c>
      <c r="B14" s="1400">
        <v>750</v>
      </c>
      <c r="C14" s="1400">
        <v>75095</v>
      </c>
      <c r="D14" s="267">
        <v>4210</v>
      </c>
      <c r="E14" s="1400" t="s">
        <v>599</v>
      </c>
      <c r="F14" s="1286">
        <v>1300</v>
      </c>
      <c r="G14" s="1286">
        <v>0</v>
      </c>
      <c r="H14" s="298">
        <f t="shared" si="0"/>
        <v>0</v>
      </c>
    </row>
    <row r="15" spans="1:8" ht="30" customHeight="1">
      <c r="A15" s="1404"/>
      <c r="B15" s="1401"/>
      <c r="C15" s="1401"/>
      <c r="D15" s="267">
        <v>4360</v>
      </c>
      <c r="E15" s="1401"/>
      <c r="F15" s="1286">
        <v>100</v>
      </c>
      <c r="G15" s="1286">
        <v>0</v>
      </c>
      <c r="H15" s="298">
        <f t="shared" si="0"/>
        <v>0</v>
      </c>
    </row>
    <row r="16" spans="1:8" ht="30" customHeight="1">
      <c r="A16" s="1404"/>
      <c r="B16" s="1401"/>
      <c r="C16" s="1401"/>
      <c r="D16" s="267">
        <v>4400</v>
      </c>
      <c r="E16" s="1401"/>
      <c r="F16" s="495">
        <v>6000</v>
      </c>
      <c r="G16" s="495">
        <v>3000</v>
      </c>
      <c r="H16" s="269">
        <f t="shared" si="0"/>
        <v>50</v>
      </c>
    </row>
    <row r="17" spans="1:8" ht="30" customHeight="1" thickBot="1">
      <c r="A17" s="1405"/>
      <c r="B17" s="1406"/>
      <c r="C17" s="1406"/>
      <c r="D17" s="500">
        <v>4740</v>
      </c>
      <c r="E17" s="1406"/>
      <c r="F17" s="502">
        <v>40</v>
      </c>
      <c r="G17" s="502">
        <v>0</v>
      </c>
      <c r="H17" s="551">
        <f t="shared" si="0"/>
        <v>0</v>
      </c>
    </row>
    <row r="18" spans="1:8" ht="24" customHeight="1" thickBot="1" thickTop="1">
      <c r="A18" s="1407" t="s">
        <v>600</v>
      </c>
      <c r="B18" s="1408"/>
      <c r="C18" s="1408"/>
      <c r="D18" s="1408"/>
      <c r="E18" s="1408"/>
      <c r="F18" s="497">
        <f>SUM(F8:F17)</f>
        <v>20280</v>
      </c>
      <c r="G18" s="497">
        <f>SUM(G8:G17)</f>
        <v>6180.51</v>
      </c>
      <c r="H18" s="552">
        <f t="shared" si="0"/>
        <v>30.4758875739645</v>
      </c>
    </row>
    <row r="20" ht="12.75">
      <c r="A20" s="277"/>
    </row>
  </sheetData>
  <sheetProtection password="CF93" sheet="1"/>
  <mergeCells count="15">
    <mergeCell ref="G1:H1"/>
    <mergeCell ref="A3:H3"/>
    <mergeCell ref="A8:A10"/>
    <mergeCell ref="B8:B10"/>
    <mergeCell ref="C8:C10"/>
    <mergeCell ref="E8:E10"/>
    <mergeCell ref="E11:E13"/>
    <mergeCell ref="A14:A17"/>
    <mergeCell ref="B14:B17"/>
    <mergeCell ref="C14:C17"/>
    <mergeCell ref="E14:E17"/>
    <mergeCell ref="A18:E18"/>
    <mergeCell ref="A11:A13"/>
    <mergeCell ref="B11:B13"/>
    <mergeCell ref="C11:C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K170"/>
  <sheetViews>
    <sheetView view="pageBreakPreview" zoomScaleSheetLayoutView="100" zoomScalePageLayoutView="0" workbookViewId="0" topLeftCell="A3">
      <pane ySplit="5" topLeftCell="A8" activePane="bottomLeft" state="frozen"/>
      <selection pane="topLeft" activeCell="A3" sqref="A3"/>
      <selection pane="bottomLeft" activeCell="H9" sqref="H9"/>
    </sheetView>
  </sheetViews>
  <sheetFormatPr defaultColWidth="9.00390625" defaultRowHeight="12.75"/>
  <cols>
    <col min="1" max="1" width="4.75390625" style="556" customWidth="1"/>
    <col min="2" max="2" width="7.125" style="556" customWidth="1"/>
    <col min="3" max="3" width="23.00390625" style="557" customWidth="1"/>
    <col min="4" max="4" width="12.125" style="119" customWidth="1"/>
    <col min="5" max="5" width="12.25390625" style="119" customWidth="1"/>
    <col min="6" max="6" width="5.125" style="119" customWidth="1"/>
    <col min="7" max="7" width="12.125" style="555" customWidth="1"/>
    <col min="8" max="8" width="12.625" style="119" customWidth="1"/>
    <col min="9" max="9" width="5.625" style="555" customWidth="1"/>
    <col min="10" max="10" width="10.25390625" style="555" customWidth="1"/>
    <col min="11" max="11" width="15.875" style="119" customWidth="1"/>
    <col min="12" max="16384" width="9.125" style="119" customWidth="1"/>
  </cols>
  <sheetData>
    <row r="1" spans="8:9" ht="15.75" customHeight="1">
      <c r="H1" s="1411" t="s">
        <v>277</v>
      </c>
      <c r="I1" s="1411"/>
    </row>
    <row r="2" spans="8:9" ht="22.5" customHeight="1">
      <c r="H2" s="558"/>
      <c r="I2" s="558"/>
    </row>
    <row r="3" spans="1:9" ht="18.75" customHeight="1">
      <c r="A3" s="1424" t="s">
        <v>1030</v>
      </c>
      <c r="B3" s="1424"/>
      <c r="C3" s="1424"/>
      <c r="D3" s="1424"/>
      <c r="E3" s="1424"/>
      <c r="F3" s="1424"/>
      <c r="G3" s="1424"/>
      <c r="H3" s="1424"/>
      <c r="I3" s="1424"/>
    </row>
    <row r="4" spans="8:9" ht="12.75" customHeight="1" thickBot="1">
      <c r="H4" s="1414" t="s">
        <v>818</v>
      </c>
      <c r="I4" s="1414"/>
    </row>
    <row r="5" spans="1:10" s="559" customFormat="1" ht="20.25" customHeight="1">
      <c r="A5" s="1418" t="s">
        <v>1090</v>
      </c>
      <c r="B5" s="1420" t="s">
        <v>819</v>
      </c>
      <c r="C5" s="1422" t="s">
        <v>1091</v>
      </c>
      <c r="D5" s="1415" t="s">
        <v>737</v>
      </c>
      <c r="E5" s="1416"/>
      <c r="F5" s="1416"/>
      <c r="G5" s="1415" t="s">
        <v>738</v>
      </c>
      <c r="H5" s="1416"/>
      <c r="I5" s="1417"/>
      <c r="J5" s="558"/>
    </row>
    <row r="6" spans="1:10" s="560" customFormat="1" ht="18.75" customHeight="1">
      <c r="A6" s="1419"/>
      <c r="B6" s="1421"/>
      <c r="C6" s="1423"/>
      <c r="D6" s="248" t="s">
        <v>821</v>
      </c>
      <c r="E6" s="248" t="s">
        <v>822</v>
      </c>
      <c r="F6" s="248" t="s">
        <v>823</v>
      </c>
      <c r="G6" s="248" t="s">
        <v>1160</v>
      </c>
      <c r="H6" s="248" t="s">
        <v>1161</v>
      </c>
      <c r="I6" s="81" t="s">
        <v>823</v>
      </c>
      <c r="J6" s="558"/>
    </row>
    <row r="7" spans="1:11" s="563" customFormat="1" ht="13.5" thickBot="1">
      <c r="A7" s="167">
        <v>1</v>
      </c>
      <c r="B7" s="168">
        <v>2</v>
      </c>
      <c r="C7" s="561">
        <v>3</v>
      </c>
      <c r="D7" s="170">
        <v>4</v>
      </c>
      <c r="E7" s="170">
        <v>5</v>
      </c>
      <c r="F7" s="170">
        <v>6</v>
      </c>
      <c r="G7" s="170">
        <v>7</v>
      </c>
      <c r="H7" s="170">
        <v>8</v>
      </c>
      <c r="I7" s="250">
        <v>9</v>
      </c>
      <c r="J7" s="558" t="s">
        <v>2</v>
      </c>
      <c r="K7" s="562" t="s">
        <v>749</v>
      </c>
    </row>
    <row r="8" spans="1:10" s="560" customFormat="1" ht="22.5" customHeight="1">
      <c r="A8" s="564" t="s">
        <v>824</v>
      </c>
      <c r="B8" s="565"/>
      <c r="C8" s="566" t="s">
        <v>315</v>
      </c>
      <c r="D8" s="567">
        <f>SUM(D9)</f>
        <v>19106.63</v>
      </c>
      <c r="E8" s="567">
        <f>SUM(E9)</f>
        <v>19106.63</v>
      </c>
      <c r="F8" s="568">
        <f aca="true" t="shared" si="0" ref="F8:F51">E8/D8*100</f>
        <v>100</v>
      </c>
      <c r="G8" s="569">
        <f>SUM(G9)</f>
        <v>19106.63</v>
      </c>
      <c r="H8" s="569">
        <f>SUM(H9)</f>
        <v>19106.63</v>
      </c>
      <c r="I8" s="570">
        <f>H8/G8*100</f>
        <v>100</v>
      </c>
      <c r="J8" s="558"/>
    </row>
    <row r="9" spans="1:10" s="579" customFormat="1" ht="19.5" customHeight="1">
      <c r="A9" s="571"/>
      <c r="B9" s="572" t="s">
        <v>320</v>
      </c>
      <c r="C9" s="573" t="s">
        <v>825</v>
      </c>
      <c r="D9" s="574">
        <f>SUM(6D!E10)</f>
        <v>19106.63</v>
      </c>
      <c r="E9" s="574">
        <f>SUM(6D!F10)</f>
        <v>19106.63</v>
      </c>
      <c r="F9" s="575">
        <f t="shared" si="0"/>
        <v>100</v>
      </c>
      <c r="G9" s="576">
        <f>D9</f>
        <v>19106.63</v>
      </c>
      <c r="H9" s="576">
        <v>19106.63</v>
      </c>
      <c r="I9" s="577">
        <f>H9/G9*100</f>
        <v>100</v>
      </c>
      <c r="J9" s="578">
        <f>G9-H9</f>
        <v>0</v>
      </c>
    </row>
    <row r="10" spans="1:10" s="563" customFormat="1" ht="20.25" customHeight="1" hidden="1">
      <c r="A10" s="580" t="s">
        <v>902</v>
      </c>
      <c r="B10" s="581"/>
      <c r="C10" s="582" t="s">
        <v>903</v>
      </c>
      <c r="D10" s="583">
        <f>SUM(D11)</f>
        <v>0</v>
      </c>
      <c r="E10" s="583">
        <f>SUM(E11)</f>
        <v>0</v>
      </c>
      <c r="F10" s="568" t="e">
        <f t="shared" si="0"/>
        <v>#DIV/0!</v>
      </c>
      <c r="G10" s="584">
        <f>SUM(G11)</f>
        <v>0</v>
      </c>
      <c r="H10" s="584">
        <f>SUM(H11)</f>
        <v>0</v>
      </c>
      <c r="I10" s="570" t="e">
        <f>H10/G10*100</f>
        <v>#DIV/0!</v>
      </c>
      <c r="J10" s="578"/>
    </row>
    <row r="11" spans="1:11" s="579" customFormat="1" ht="51.75" customHeight="1" hidden="1">
      <c r="A11" s="571"/>
      <c r="B11" s="572" t="s">
        <v>904</v>
      </c>
      <c r="C11" s="573" t="s">
        <v>962</v>
      </c>
      <c r="D11" s="574">
        <f>SUM(6D!E320,6D!E322)</f>
        <v>0</v>
      </c>
      <c r="E11" s="574">
        <f>SUM(6D!F320,6D!F322)</f>
        <v>0</v>
      </c>
      <c r="F11" s="575" t="e">
        <f t="shared" si="0"/>
        <v>#DIV/0!</v>
      </c>
      <c r="G11" s="585">
        <f>D11</f>
        <v>0</v>
      </c>
      <c r="H11" s="585"/>
      <c r="I11" s="577" t="e">
        <f>H11/G11*100</f>
        <v>#DIV/0!</v>
      </c>
      <c r="J11" s="578">
        <f>G11-H11</f>
        <v>0</v>
      </c>
      <c r="K11" s="586"/>
    </row>
    <row r="12" spans="1:10" s="563" customFormat="1" ht="30.75" customHeight="1">
      <c r="A12" s="580" t="s">
        <v>909</v>
      </c>
      <c r="B12" s="581"/>
      <c r="C12" s="582" t="s">
        <v>910</v>
      </c>
      <c r="D12" s="583">
        <f>SUM(D13)</f>
        <v>79000</v>
      </c>
      <c r="E12" s="583">
        <f>SUM(E13)</f>
        <v>58122</v>
      </c>
      <c r="F12" s="568">
        <f t="shared" si="0"/>
        <v>73.57215189873418</v>
      </c>
      <c r="G12" s="584">
        <f>SUM(G13)</f>
        <v>79000</v>
      </c>
      <c r="H12" s="584">
        <f>SUM(H13)</f>
        <v>14497.39</v>
      </c>
      <c r="I12" s="570">
        <f>H12/G12*100</f>
        <v>18.35112658227848</v>
      </c>
      <c r="J12" s="578"/>
    </row>
    <row r="13" spans="1:10" ht="29.25" customHeight="1">
      <c r="A13" s="587"/>
      <c r="B13" s="588" t="s">
        <v>911</v>
      </c>
      <c r="C13" s="589" t="s">
        <v>912</v>
      </c>
      <c r="D13" s="590">
        <f>SUM(6D!E65,6D!E325,6D!E326)</f>
        <v>79000</v>
      </c>
      <c r="E13" s="590">
        <f>SUM(6D!F65,6D!F325,6D!F326)</f>
        <v>58122</v>
      </c>
      <c r="F13" s="575">
        <f t="shared" si="0"/>
        <v>73.57215189873418</v>
      </c>
      <c r="G13" s="585">
        <f>D13</f>
        <v>79000</v>
      </c>
      <c r="H13" s="585">
        <v>14497.39</v>
      </c>
      <c r="I13" s="591">
        <f aca="true" t="shared" si="1" ref="I13:I41">H13/G13*100</f>
        <v>18.35112658227848</v>
      </c>
      <c r="J13" s="578">
        <f aca="true" t="shared" si="2" ref="J13:J54">G13-H13</f>
        <v>64502.61</v>
      </c>
    </row>
    <row r="14" spans="1:10" s="559" customFormat="1" ht="23.25" customHeight="1">
      <c r="A14" s="592" t="s">
        <v>913</v>
      </c>
      <c r="B14" s="593"/>
      <c r="C14" s="594" t="s">
        <v>914</v>
      </c>
      <c r="D14" s="595">
        <f>SUM(D15,D16,D17)</f>
        <v>413083</v>
      </c>
      <c r="E14" s="595">
        <f>SUM(E15,E16,E17)</f>
        <v>243433</v>
      </c>
      <c r="F14" s="568">
        <f t="shared" si="0"/>
        <v>58.93077178194213</v>
      </c>
      <c r="G14" s="584">
        <f>SUM(G15,G16,G17)</f>
        <v>413083</v>
      </c>
      <c r="H14" s="584">
        <f>SUM(H15,H16,H17)</f>
        <v>175352.21</v>
      </c>
      <c r="I14" s="596">
        <f t="shared" si="1"/>
        <v>42.44963118792107</v>
      </c>
      <c r="J14" s="578"/>
    </row>
    <row r="15" spans="1:10" ht="39" customHeight="1">
      <c r="A15" s="587"/>
      <c r="B15" s="588" t="s">
        <v>915</v>
      </c>
      <c r="C15" s="589" t="s">
        <v>1213</v>
      </c>
      <c r="D15" s="590">
        <f>SUM(6D!E329)</f>
        <v>46000</v>
      </c>
      <c r="E15" s="590">
        <f>SUM(6D!F329)</f>
        <v>46000</v>
      </c>
      <c r="F15" s="575">
        <f t="shared" si="0"/>
        <v>100</v>
      </c>
      <c r="G15" s="585">
        <f>D15</f>
        <v>46000</v>
      </c>
      <c r="H15" s="585">
        <v>0</v>
      </c>
      <c r="I15" s="591">
        <f t="shared" si="1"/>
        <v>0</v>
      </c>
      <c r="J15" s="578">
        <f t="shared" si="2"/>
        <v>46000</v>
      </c>
    </row>
    <row r="16" spans="1:10" ht="30" customHeight="1">
      <c r="A16" s="587"/>
      <c r="B16" s="588" t="s">
        <v>916</v>
      </c>
      <c r="C16" s="589" t="s">
        <v>917</v>
      </c>
      <c r="D16" s="590">
        <f>SUM(6D!E332)</f>
        <v>11000</v>
      </c>
      <c r="E16" s="590">
        <f>SUM(6D!F332)</f>
        <v>11000</v>
      </c>
      <c r="F16" s="575">
        <f t="shared" si="0"/>
        <v>100</v>
      </c>
      <c r="G16" s="585">
        <f>D16</f>
        <v>11000</v>
      </c>
      <c r="H16" s="585">
        <v>0</v>
      </c>
      <c r="I16" s="591">
        <f t="shared" si="1"/>
        <v>0</v>
      </c>
      <c r="J16" s="578">
        <f t="shared" si="2"/>
        <v>11000</v>
      </c>
    </row>
    <row r="17" spans="1:10" ht="19.5" customHeight="1">
      <c r="A17" s="587"/>
      <c r="B17" s="588" t="s">
        <v>918</v>
      </c>
      <c r="C17" s="597" t="s">
        <v>922</v>
      </c>
      <c r="D17" s="590">
        <f>SUM(6D!E334)</f>
        <v>356083</v>
      </c>
      <c r="E17" s="590">
        <f>SUM(6D!F334)</f>
        <v>186433</v>
      </c>
      <c r="F17" s="575">
        <f t="shared" si="0"/>
        <v>52.356613486181594</v>
      </c>
      <c r="G17" s="585">
        <f>D17</f>
        <v>356083</v>
      </c>
      <c r="H17" s="585">
        <v>175352.21</v>
      </c>
      <c r="I17" s="591">
        <f t="shared" si="1"/>
        <v>49.24475754248307</v>
      </c>
      <c r="J17" s="578">
        <f t="shared" si="2"/>
        <v>180730.79</v>
      </c>
    </row>
    <row r="18" spans="1:10" s="559" customFormat="1" ht="24.75" customHeight="1">
      <c r="A18" s="592" t="s">
        <v>925</v>
      </c>
      <c r="B18" s="593"/>
      <c r="C18" s="594" t="s">
        <v>926</v>
      </c>
      <c r="D18" s="595">
        <f>SUM(D19,D20)</f>
        <v>473800</v>
      </c>
      <c r="E18" s="595">
        <f>SUM(E19,E20)</f>
        <v>264881</v>
      </c>
      <c r="F18" s="568">
        <f t="shared" si="0"/>
        <v>55.90565639510342</v>
      </c>
      <c r="G18" s="584">
        <f>SUM(G19,G20)</f>
        <v>473800</v>
      </c>
      <c r="H18" s="584">
        <f>SUM(H19,H20)</f>
        <v>254852.74</v>
      </c>
      <c r="I18" s="596">
        <f t="shared" si="1"/>
        <v>53.789096665259606</v>
      </c>
      <c r="J18" s="578"/>
    </row>
    <row r="19" spans="1:10" ht="21" customHeight="1">
      <c r="A19" s="587"/>
      <c r="B19" s="588" t="s">
        <v>927</v>
      </c>
      <c r="C19" s="597" t="s">
        <v>933</v>
      </c>
      <c r="D19" s="590">
        <f>SUM(6D!E80,6D!E337)</f>
        <v>451800</v>
      </c>
      <c r="E19" s="590">
        <f>SUM(6D!F80,6D!F337)</f>
        <v>244131</v>
      </c>
      <c r="F19" s="575">
        <f t="shared" si="0"/>
        <v>54.03519256308101</v>
      </c>
      <c r="G19" s="585">
        <f>D19</f>
        <v>451800</v>
      </c>
      <c r="H19" s="585">
        <v>234105</v>
      </c>
      <c r="I19" s="591">
        <f t="shared" si="1"/>
        <v>51.81606905710492</v>
      </c>
      <c r="J19" s="578">
        <f t="shared" si="2"/>
        <v>217695</v>
      </c>
    </row>
    <row r="20" spans="1:10" ht="21" customHeight="1">
      <c r="A20" s="587"/>
      <c r="B20" s="588" t="s">
        <v>937</v>
      </c>
      <c r="C20" s="597" t="s">
        <v>376</v>
      </c>
      <c r="D20" s="590">
        <f>SUM(6D!E344,6D!E345)</f>
        <v>22000</v>
      </c>
      <c r="E20" s="590">
        <f>SUM(6D!F344,6D!F345)</f>
        <v>20750</v>
      </c>
      <c r="F20" s="575">
        <f t="shared" si="0"/>
        <v>94.31818181818183</v>
      </c>
      <c r="G20" s="585">
        <f>D20</f>
        <v>22000</v>
      </c>
      <c r="H20" s="585">
        <v>20747.74</v>
      </c>
      <c r="I20" s="591">
        <f t="shared" si="1"/>
        <v>94.3079090909091</v>
      </c>
      <c r="J20" s="578">
        <f t="shared" si="2"/>
        <v>1252.2599999999984</v>
      </c>
    </row>
    <row r="21" spans="1:10" s="559" customFormat="1" ht="63" customHeight="1">
      <c r="A21" s="592" t="s">
        <v>1162</v>
      </c>
      <c r="B21" s="593"/>
      <c r="C21" s="594" t="s">
        <v>939</v>
      </c>
      <c r="D21" s="595">
        <f>SUM(D22,D23)</f>
        <v>99475</v>
      </c>
      <c r="E21" s="595">
        <f>SUM(E22,E23)</f>
        <v>95995</v>
      </c>
      <c r="F21" s="568">
        <f t="shared" si="0"/>
        <v>96.50163357627545</v>
      </c>
      <c r="G21" s="584">
        <f>SUM(G22,G23)</f>
        <v>99475</v>
      </c>
      <c r="H21" s="584">
        <f>SUM(H22,H23)</f>
        <v>31969.22</v>
      </c>
      <c r="I21" s="596">
        <f t="shared" si="1"/>
        <v>32.13794420708721</v>
      </c>
      <c r="J21" s="578"/>
    </row>
    <row r="22" spans="1:10" ht="44.25" customHeight="1">
      <c r="A22" s="598"/>
      <c r="B22" s="599" t="s">
        <v>1110</v>
      </c>
      <c r="C22" s="589" t="s">
        <v>1112</v>
      </c>
      <c r="D22" s="590">
        <f>SUM(6D!E103)</f>
        <v>6960</v>
      </c>
      <c r="E22" s="590">
        <f>SUM(6D!F103)</f>
        <v>3480</v>
      </c>
      <c r="F22" s="575">
        <f t="shared" si="0"/>
        <v>50</v>
      </c>
      <c r="G22" s="585">
        <f>D22</f>
        <v>6960</v>
      </c>
      <c r="H22" s="585">
        <v>0</v>
      </c>
      <c r="I22" s="591">
        <f t="shared" si="1"/>
        <v>0</v>
      </c>
      <c r="J22" s="578">
        <f t="shared" si="2"/>
        <v>6960</v>
      </c>
    </row>
    <row r="23" spans="1:10" ht="31.5" customHeight="1">
      <c r="A23" s="598"/>
      <c r="B23" s="599" t="s">
        <v>70</v>
      </c>
      <c r="C23" s="154" t="s">
        <v>71</v>
      </c>
      <c r="D23" s="590">
        <f>6D!E105</f>
        <v>92515</v>
      </c>
      <c r="E23" s="590">
        <f>6D!F105</f>
        <v>92515</v>
      </c>
      <c r="F23" s="575">
        <f>E23/D23*100</f>
        <v>100</v>
      </c>
      <c r="G23" s="585">
        <f>D23</f>
        <v>92515</v>
      </c>
      <c r="H23" s="585">
        <v>31969.22</v>
      </c>
      <c r="I23" s="591">
        <f>H23/G23*100</f>
        <v>34.55571528941253</v>
      </c>
      <c r="J23" s="578">
        <f>G23-H23</f>
        <v>60545.78</v>
      </c>
    </row>
    <row r="24" spans="1:10" s="559" customFormat="1" ht="42" customHeight="1">
      <c r="A24" s="600" t="s">
        <v>940</v>
      </c>
      <c r="B24" s="601"/>
      <c r="C24" s="594" t="s">
        <v>1044</v>
      </c>
      <c r="D24" s="595">
        <f>SUM(D25,D26)</f>
        <v>3805084</v>
      </c>
      <c r="E24" s="595">
        <f>SUM(E25,E26)</f>
        <v>2350632</v>
      </c>
      <c r="F24" s="568">
        <f t="shared" si="0"/>
        <v>61.776086940524834</v>
      </c>
      <c r="G24" s="584">
        <f>SUM(G25,G26)</f>
        <v>3805084</v>
      </c>
      <c r="H24" s="584">
        <f>SUM(H25,H26)</f>
        <v>1983997.3</v>
      </c>
      <c r="I24" s="596">
        <f t="shared" si="1"/>
        <v>52.14069649973562</v>
      </c>
      <c r="J24" s="578"/>
    </row>
    <row r="25" spans="1:10" ht="30" customHeight="1">
      <c r="A25" s="598"/>
      <c r="B25" s="599" t="s">
        <v>941</v>
      </c>
      <c r="C25" s="589" t="s">
        <v>1225</v>
      </c>
      <c r="D25" s="590">
        <f>SUM(6D!E348,6D!E349)</f>
        <v>3795084</v>
      </c>
      <c r="E25" s="590">
        <f>SUM(6D!F348,6D!F349)</f>
        <v>2345634</v>
      </c>
      <c r="F25" s="575">
        <f t="shared" si="0"/>
        <v>61.80716948557661</v>
      </c>
      <c r="G25" s="585">
        <f>D25</f>
        <v>3795084</v>
      </c>
      <c r="H25" s="585">
        <v>1981462.19</v>
      </c>
      <c r="I25" s="591">
        <f t="shared" si="1"/>
        <v>52.211286759397154</v>
      </c>
      <c r="J25" s="578">
        <f t="shared" si="2"/>
        <v>1813621.81</v>
      </c>
    </row>
    <row r="26" spans="1:10" ht="20.25" customHeight="1">
      <c r="A26" s="587"/>
      <c r="B26" s="588" t="s">
        <v>942</v>
      </c>
      <c r="C26" s="597" t="s">
        <v>943</v>
      </c>
      <c r="D26" s="590">
        <f>SUM(6D!E110)</f>
        <v>10000</v>
      </c>
      <c r="E26" s="590">
        <f>SUM(6D!F110)</f>
        <v>4998</v>
      </c>
      <c r="F26" s="602">
        <f t="shared" si="0"/>
        <v>49.980000000000004</v>
      </c>
      <c r="G26" s="585">
        <f>D26</f>
        <v>10000</v>
      </c>
      <c r="H26" s="585">
        <v>2535.11</v>
      </c>
      <c r="I26" s="591">
        <f t="shared" si="1"/>
        <v>25.3511</v>
      </c>
      <c r="J26" s="578">
        <f t="shared" si="2"/>
        <v>7464.889999999999</v>
      </c>
    </row>
    <row r="27" spans="1:10" s="559" customFormat="1" ht="21.75" customHeight="1" hidden="1">
      <c r="A27" s="592" t="s">
        <v>947</v>
      </c>
      <c r="B27" s="593"/>
      <c r="C27" s="603" t="s">
        <v>948</v>
      </c>
      <c r="D27" s="595">
        <f>SUM(D28,D29)</f>
        <v>0</v>
      </c>
      <c r="E27" s="595">
        <f>SUM(E28,E29)</f>
        <v>0</v>
      </c>
      <c r="F27" s="568" t="e">
        <f t="shared" si="0"/>
        <v>#DIV/0!</v>
      </c>
      <c r="G27" s="584">
        <f>SUM(G28,G29)</f>
        <v>0</v>
      </c>
      <c r="H27" s="584">
        <f>SUM(H28,H29)</f>
        <v>0</v>
      </c>
      <c r="I27" s="596" t="e">
        <f t="shared" si="1"/>
        <v>#DIV/0!</v>
      </c>
      <c r="J27" s="578"/>
    </row>
    <row r="28" spans="1:10" ht="20.25" customHeight="1" hidden="1">
      <c r="A28" s="587"/>
      <c r="B28" s="588" t="s">
        <v>949</v>
      </c>
      <c r="C28" s="597" t="s">
        <v>950</v>
      </c>
      <c r="D28" s="590">
        <f>SUM(6D!E170)</f>
        <v>0</v>
      </c>
      <c r="E28" s="590">
        <f>SUM(6D!F170)</f>
        <v>0</v>
      </c>
      <c r="F28" s="575" t="e">
        <f t="shared" si="0"/>
        <v>#DIV/0!</v>
      </c>
      <c r="G28" s="585">
        <f>D28</f>
        <v>0</v>
      </c>
      <c r="H28" s="585"/>
      <c r="I28" s="591" t="e">
        <f t="shared" si="1"/>
        <v>#DIV/0!</v>
      </c>
      <c r="J28" s="578">
        <f t="shared" si="2"/>
        <v>0</v>
      </c>
    </row>
    <row r="29" spans="1:10" ht="20.25" customHeight="1" hidden="1">
      <c r="A29" s="587"/>
      <c r="B29" s="588" t="s">
        <v>399</v>
      </c>
      <c r="C29" s="597" t="s">
        <v>825</v>
      </c>
      <c r="D29" s="590">
        <f>SUM(6D!E183,6D!E184,6D!E185,6D!E187,6D!E374,6D!E375)</f>
        <v>0</v>
      </c>
      <c r="E29" s="590">
        <f>SUM(6D!F183,6D!F184,6D!F185,6D!F187,6D!F374,6D!F375)</f>
        <v>0</v>
      </c>
      <c r="F29" s="575" t="e">
        <f t="shared" si="0"/>
        <v>#DIV/0!</v>
      </c>
      <c r="G29" s="585">
        <f>D29</f>
        <v>0</v>
      </c>
      <c r="H29" s="585"/>
      <c r="I29" s="591" t="e">
        <f t="shared" si="1"/>
        <v>#DIV/0!</v>
      </c>
      <c r="J29" s="578">
        <f t="shared" si="2"/>
        <v>0</v>
      </c>
    </row>
    <row r="30" spans="1:10" s="559" customFormat="1" ht="20.25" customHeight="1">
      <c r="A30" s="592" t="s">
        <v>956</v>
      </c>
      <c r="B30" s="593"/>
      <c r="C30" s="604" t="s">
        <v>957</v>
      </c>
      <c r="D30" s="595">
        <f>SUM(D31,D32)</f>
        <v>841000</v>
      </c>
      <c r="E30" s="595">
        <f>SUM(E31,E32)</f>
        <v>477283</v>
      </c>
      <c r="F30" s="568">
        <f t="shared" si="0"/>
        <v>56.751843043995244</v>
      </c>
      <c r="G30" s="584">
        <f>SUM(G31,G32)</f>
        <v>841000</v>
      </c>
      <c r="H30" s="584">
        <f>SUM(H31,H32)</f>
        <v>456779.78</v>
      </c>
      <c r="I30" s="596">
        <f t="shared" si="1"/>
        <v>54.313885850178366</v>
      </c>
      <c r="J30" s="578"/>
    </row>
    <row r="31" spans="1:10" ht="52.5" customHeight="1">
      <c r="A31" s="598"/>
      <c r="B31" s="599" t="s">
        <v>1153</v>
      </c>
      <c r="C31" s="589" t="s">
        <v>312</v>
      </c>
      <c r="D31" s="590">
        <f>SUM(6D!E378)</f>
        <v>827000</v>
      </c>
      <c r="E31" s="590">
        <f>SUM(6D!F378)</f>
        <v>470287</v>
      </c>
      <c r="F31" s="575">
        <f t="shared" si="0"/>
        <v>56.86662636033857</v>
      </c>
      <c r="G31" s="585">
        <f>D31</f>
        <v>827000</v>
      </c>
      <c r="H31" s="585">
        <v>455052.69</v>
      </c>
      <c r="I31" s="591">
        <f t="shared" si="1"/>
        <v>55.02450906892382</v>
      </c>
      <c r="J31" s="578">
        <f t="shared" si="2"/>
        <v>371947.31</v>
      </c>
    </row>
    <row r="32" spans="1:10" ht="21" customHeight="1">
      <c r="A32" s="598"/>
      <c r="B32" s="599" t="s">
        <v>411</v>
      </c>
      <c r="C32" s="589" t="s">
        <v>825</v>
      </c>
      <c r="D32" s="590">
        <f>SUM(6D!E200,6D!E201)</f>
        <v>14000</v>
      </c>
      <c r="E32" s="590">
        <f>SUM(6D!F200,6D!F201)</f>
        <v>6996</v>
      </c>
      <c r="F32" s="575">
        <f t="shared" si="0"/>
        <v>49.971428571428575</v>
      </c>
      <c r="G32" s="585">
        <f>D32</f>
        <v>14000</v>
      </c>
      <c r="H32" s="585">
        <v>1727.09</v>
      </c>
      <c r="I32" s="591">
        <f t="shared" si="1"/>
        <v>12.336357142857143</v>
      </c>
      <c r="J32" s="578">
        <f t="shared" si="2"/>
        <v>12272.91</v>
      </c>
    </row>
    <row r="33" spans="1:10" s="559" customFormat="1" ht="21" customHeight="1">
      <c r="A33" s="605" t="s">
        <v>110</v>
      </c>
      <c r="B33" s="606"/>
      <c r="C33" s="582" t="s">
        <v>121</v>
      </c>
      <c r="D33" s="583">
        <f>SUM(D34,D35,D36,D37,D38,D39,D40,D41,D42,D43,D44)</f>
        <v>8475820</v>
      </c>
      <c r="E33" s="583">
        <f>SUM(E34,E35,E36,E37,E38,E39,E40,E41,E42,E43,E44)</f>
        <v>4393577</v>
      </c>
      <c r="F33" s="568">
        <f t="shared" si="0"/>
        <v>51.836601060428364</v>
      </c>
      <c r="G33" s="607">
        <f>SUM(G34,G35,G36,G37,G38,G39,G40,G41,G42,G43,G44)</f>
        <v>8475820</v>
      </c>
      <c r="H33" s="607">
        <f>SUM(H34,H35,H36,H37,H38,H39,H40,H41,H42,H43,H44)</f>
        <v>4117757.79</v>
      </c>
      <c r="I33" s="570">
        <f t="shared" si="1"/>
        <v>48.58241196721969</v>
      </c>
      <c r="J33" s="578"/>
    </row>
    <row r="34" spans="1:10" ht="19.5" customHeight="1">
      <c r="A34" s="608"/>
      <c r="B34" s="609" t="s">
        <v>122</v>
      </c>
      <c r="C34" s="573" t="s">
        <v>1208</v>
      </c>
      <c r="D34" s="574">
        <f>SUM(6D!E211,6D!E384)</f>
        <v>137000</v>
      </c>
      <c r="E34" s="574">
        <f>SUM(6D!F211,6D!F384)</f>
        <v>69631</v>
      </c>
      <c r="F34" s="575">
        <f t="shared" si="0"/>
        <v>50.82554744525547</v>
      </c>
      <c r="G34" s="576">
        <f aca="true" t="shared" si="3" ref="G34:G44">D34</f>
        <v>137000</v>
      </c>
      <c r="H34" s="576">
        <v>69631</v>
      </c>
      <c r="I34" s="577">
        <f t="shared" si="1"/>
        <v>50.82554744525547</v>
      </c>
      <c r="J34" s="578">
        <f t="shared" si="2"/>
        <v>67369</v>
      </c>
    </row>
    <row r="35" spans="1:10" ht="46.5" customHeight="1">
      <c r="A35" s="608"/>
      <c r="B35" s="609" t="s">
        <v>83</v>
      </c>
      <c r="C35" s="1287" t="s">
        <v>1318</v>
      </c>
      <c r="D35" s="574">
        <f>SUM(6D!E389)</f>
        <v>318000</v>
      </c>
      <c r="E35" s="574">
        <f>SUM(6D!F389)</f>
        <v>168000</v>
      </c>
      <c r="F35" s="575">
        <f t="shared" si="0"/>
        <v>52.83018867924528</v>
      </c>
      <c r="G35" s="576">
        <f t="shared" si="3"/>
        <v>318000</v>
      </c>
      <c r="H35" s="576">
        <v>150126.22</v>
      </c>
      <c r="I35" s="577">
        <f t="shared" si="1"/>
        <v>47.209503144654086</v>
      </c>
      <c r="J35" s="578"/>
    </row>
    <row r="36" spans="1:10" ht="78.75" customHeight="1">
      <c r="A36" s="598"/>
      <c r="B36" s="599" t="s">
        <v>112</v>
      </c>
      <c r="C36" s="626" t="s">
        <v>460</v>
      </c>
      <c r="D36" s="590">
        <f>SUM(6D!E218)</f>
        <v>5580000</v>
      </c>
      <c r="E36" s="590">
        <f>SUM(6D!F218)</f>
        <v>2825000</v>
      </c>
      <c r="F36" s="602">
        <f t="shared" si="0"/>
        <v>50.62724014336918</v>
      </c>
      <c r="G36" s="585">
        <f t="shared" si="3"/>
        <v>5580000</v>
      </c>
      <c r="H36" s="585">
        <v>2729996.65</v>
      </c>
      <c r="I36" s="591">
        <f t="shared" si="1"/>
        <v>48.9246711469534</v>
      </c>
      <c r="J36" s="578">
        <f t="shared" si="2"/>
        <v>2850003.35</v>
      </c>
    </row>
    <row r="37" spans="1:10" ht="111.75" customHeight="1">
      <c r="A37" s="608"/>
      <c r="B37" s="609" t="s">
        <v>113</v>
      </c>
      <c r="C37" s="573" t="s">
        <v>226</v>
      </c>
      <c r="D37" s="574">
        <f>SUM(6D!E222,6D!E223)</f>
        <v>132000</v>
      </c>
      <c r="E37" s="574">
        <f>SUM(6D!F222,6D!F223)</f>
        <v>43180</v>
      </c>
      <c r="F37" s="575">
        <f t="shared" si="0"/>
        <v>32.71212121212122</v>
      </c>
      <c r="G37" s="576">
        <f t="shared" si="3"/>
        <v>132000</v>
      </c>
      <c r="H37" s="576">
        <v>35887.21</v>
      </c>
      <c r="I37" s="577">
        <f t="shared" si="1"/>
        <v>27.187280303030303</v>
      </c>
      <c r="J37" s="578">
        <f t="shared" si="2"/>
        <v>96112.79000000001</v>
      </c>
    </row>
    <row r="38" spans="1:10" ht="41.25" customHeight="1">
      <c r="A38" s="598"/>
      <c r="B38" s="599" t="s">
        <v>114</v>
      </c>
      <c r="C38" s="589" t="s">
        <v>300</v>
      </c>
      <c r="D38" s="590">
        <f>SUM(6D!E227,6D!E228)</f>
        <v>305000</v>
      </c>
      <c r="E38" s="590">
        <f>SUM(6D!F227,6D!F228)</f>
        <v>152502</v>
      </c>
      <c r="F38" s="575">
        <f t="shared" si="0"/>
        <v>50.00065573770491</v>
      </c>
      <c r="G38" s="585">
        <f t="shared" si="3"/>
        <v>305000</v>
      </c>
      <c r="H38" s="585">
        <v>152502</v>
      </c>
      <c r="I38" s="591">
        <f t="shared" si="1"/>
        <v>50.00065573770491</v>
      </c>
      <c r="J38" s="578">
        <f t="shared" si="2"/>
        <v>152498</v>
      </c>
    </row>
    <row r="39" spans="1:10" ht="23.25" customHeight="1">
      <c r="A39" s="598"/>
      <c r="B39" s="599" t="s">
        <v>80</v>
      </c>
      <c r="C39" s="627" t="s">
        <v>355</v>
      </c>
      <c r="D39" s="590">
        <f>SUM(6D!E233)</f>
        <v>773000</v>
      </c>
      <c r="E39" s="590">
        <f>SUM(6D!F233)</f>
        <v>401502</v>
      </c>
      <c r="F39" s="575">
        <f t="shared" si="0"/>
        <v>51.940750323415266</v>
      </c>
      <c r="G39" s="585">
        <f t="shared" si="3"/>
        <v>773000</v>
      </c>
      <c r="H39" s="585">
        <v>392486.21</v>
      </c>
      <c r="I39" s="591">
        <f t="shared" si="1"/>
        <v>50.7744126778784</v>
      </c>
      <c r="J39" s="578">
        <f t="shared" si="2"/>
        <v>380513.79</v>
      </c>
    </row>
    <row r="40" spans="1:10" ht="26.25" customHeight="1">
      <c r="A40" s="598"/>
      <c r="B40" s="599" t="s">
        <v>418</v>
      </c>
      <c r="C40" s="610" t="s">
        <v>419</v>
      </c>
      <c r="D40" s="590">
        <f>SUM(6D!E391)</f>
        <v>4500</v>
      </c>
      <c r="E40" s="590">
        <f>SUM(6D!F391)</f>
        <v>4500</v>
      </c>
      <c r="F40" s="575">
        <f t="shared" si="0"/>
        <v>100</v>
      </c>
      <c r="G40" s="585">
        <f t="shared" si="3"/>
        <v>4500</v>
      </c>
      <c r="H40" s="585">
        <v>4500</v>
      </c>
      <c r="I40" s="591">
        <f t="shared" si="1"/>
        <v>100</v>
      </c>
      <c r="J40" s="578">
        <f t="shared" si="2"/>
        <v>0</v>
      </c>
    </row>
    <row r="41" spans="1:10" ht="21" customHeight="1">
      <c r="A41" s="587"/>
      <c r="B41" s="588" t="s">
        <v>116</v>
      </c>
      <c r="C41" s="597" t="s">
        <v>966</v>
      </c>
      <c r="D41" s="590">
        <f>SUM(6D!E237)</f>
        <v>589000</v>
      </c>
      <c r="E41" s="590">
        <f>SUM(6D!F237)</f>
        <v>305500</v>
      </c>
      <c r="F41" s="575">
        <f t="shared" si="0"/>
        <v>51.86757215619694</v>
      </c>
      <c r="G41" s="585">
        <f t="shared" si="3"/>
        <v>589000</v>
      </c>
      <c r="H41" s="585">
        <v>305500</v>
      </c>
      <c r="I41" s="591">
        <f t="shared" si="1"/>
        <v>51.86757215619694</v>
      </c>
      <c r="J41" s="578">
        <f t="shared" si="2"/>
        <v>283500</v>
      </c>
    </row>
    <row r="42" spans="1:10" ht="54" customHeight="1" hidden="1">
      <c r="A42" s="587"/>
      <c r="B42" s="588" t="s">
        <v>590</v>
      </c>
      <c r="C42" s="589" t="s">
        <v>591</v>
      </c>
      <c r="D42" s="590">
        <f>SUM(6D!E393)</f>
        <v>0</v>
      </c>
      <c r="E42" s="590">
        <f>SUM(6D!F393)</f>
        <v>0</v>
      </c>
      <c r="F42" s="575" t="e">
        <f t="shared" si="0"/>
        <v>#DIV/0!</v>
      </c>
      <c r="G42" s="585">
        <f t="shared" si="3"/>
        <v>0</v>
      </c>
      <c r="H42" s="585"/>
      <c r="I42" s="591" t="e">
        <f aca="true" t="shared" si="4" ref="I42:I54">H42/G42*100</f>
        <v>#DIV/0!</v>
      </c>
      <c r="J42" s="578">
        <f t="shared" si="2"/>
        <v>0</v>
      </c>
    </row>
    <row r="43" spans="1:10" ht="39.75" customHeight="1">
      <c r="A43" s="598"/>
      <c r="B43" s="599" t="s">
        <v>118</v>
      </c>
      <c r="C43" s="589" t="s">
        <v>969</v>
      </c>
      <c r="D43" s="590">
        <f>SUM(6D!E241)</f>
        <v>85000</v>
      </c>
      <c r="E43" s="590">
        <f>SUM(6D!F241)</f>
        <v>42498</v>
      </c>
      <c r="F43" s="575">
        <f t="shared" si="0"/>
        <v>49.99764705882353</v>
      </c>
      <c r="G43" s="585">
        <f t="shared" si="3"/>
        <v>85000</v>
      </c>
      <c r="H43" s="585">
        <v>33890.12</v>
      </c>
      <c r="I43" s="591">
        <f t="shared" si="4"/>
        <v>39.870729411764714</v>
      </c>
      <c r="J43" s="578">
        <f t="shared" si="2"/>
        <v>51109.88</v>
      </c>
    </row>
    <row r="44" spans="1:10" ht="21.75" customHeight="1">
      <c r="A44" s="598"/>
      <c r="B44" s="599" t="s">
        <v>120</v>
      </c>
      <c r="C44" s="589" t="s">
        <v>825</v>
      </c>
      <c r="D44" s="590">
        <f>SUM(6D!E244,6D!E245,6D!E395)</f>
        <v>552320</v>
      </c>
      <c r="E44" s="590">
        <f>SUM(6D!F244,6D!F245,6D!F395)</f>
        <v>381264</v>
      </c>
      <c r="F44" s="575">
        <f t="shared" si="0"/>
        <v>69.02954808806489</v>
      </c>
      <c r="G44" s="585">
        <f t="shared" si="3"/>
        <v>552320</v>
      </c>
      <c r="H44" s="585">
        <v>243238.38</v>
      </c>
      <c r="I44" s="591">
        <f t="shared" si="4"/>
        <v>44.039393829663965</v>
      </c>
      <c r="J44" s="578">
        <f t="shared" si="2"/>
        <v>309081.62</v>
      </c>
    </row>
    <row r="45" spans="1:10" s="559" customFormat="1" ht="37.5" customHeight="1">
      <c r="A45" s="600" t="s">
        <v>960</v>
      </c>
      <c r="B45" s="601"/>
      <c r="C45" s="594" t="s">
        <v>420</v>
      </c>
      <c r="D45" s="595">
        <f>SUM(D46,D47)</f>
        <v>36000</v>
      </c>
      <c r="E45" s="595">
        <f>SUM(E46,E47)</f>
        <v>18000</v>
      </c>
      <c r="F45" s="568">
        <f t="shared" si="0"/>
        <v>50</v>
      </c>
      <c r="G45" s="584">
        <f>SUM(G46,G47)</f>
        <v>36000</v>
      </c>
      <c r="H45" s="584">
        <f>SUM(H46,H47)</f>
        <v>18000</v>
      </c>
      <c r="I45" s="596">
        <f t="shared" si="4"/>
        <v>50</v>
      </c>
      <c r="J45" s="578"/>
    </row>
    <row r="46" spans="1:10" ht="26.25" customHeight="1">
      <c r="A46" s="598"/>
      <c r="B46" s="599" t="s">
        <v>968</v>
      </c>
      <c r="C46" s="589" t="s">
        <v>1253</v>
      </c>
      <c r="D46" s="590">
        <f>SUM(6D!E398)</f>
        <v>36000</v>
      </c>
      <c r="E46" s="590">
        <f>SUM(6D!F398)</f>
        <v>18000</v>
      </c>
      <c r="F46" s="575">
        <f t="shared" si="0"/>
        <v>50</v>
      </c>
      <c r="G46" s="585">
        <f>D46</f>
        <v>36000</v>
      </c>
      <c r="H46" s="585">
        <v>18000</v>
      </c>
      <c r="I46" s="591">
        <f t="shared" si="4"/>
        <v>50</v>
      </c>
      <c r="J46" s="578">
        <f t="shared" si="2"/>
        <v>18000</v>
      </c>
    </row>
    <row r="47" spans="1:10" ht="20.25" customHeight="1" hidden="1">
      <c r="A47" s="598"/>
      <c r="B47" s="599" t="s">
        <v>188</v>
      </c>
      <c r="C47" s="589" t="s">
        <v>189</v>
      </c>
      <c r="D47" s="590">
        <f>6D!E404</f>
        <v>0</v>
      </c>
      <c r="E47" s="590">
        <f>6D!F404</f>
        <v>0</v>
      </c>
      <c r="F47" s="575" t="e">
        <f>E47/D47*100</f>
        <v>#DIV/0!</v>
      </c>
      <c r="G47" s="585">
        <f>D47</f>
        <v>0</v>
      </c>
      <c r="H47" s="585"/>
      <c r="I47" s="591" t="e">
        <f>H47/G47*100</f>
        <v>#DIV/0!</v>
      </c>
      <c r="J47" s="578">
        <f>G47-H47</f>
        <v>0</v>
      </c>
    </row>
    <row r="48" spans="1:10" s="559" customFormat="1" ht="29.25" customHeight="1">
      <c r="A48" s="600" t="s">
        <v>970</v>
      </c>
      <c r="B48" s="601"/>
      <c r="C48" s="594" t="s">
        <v>974</v>
      </c>
      <c r="D48" s="595">
        <f>SUM(D49,D50,D51)</f>
        <v>65206</v>
      </c>
      <c r="E48" s="595">
        <f>SUM(E49,E50,E51)</f>
        <v>65206</v>
      </c>
      <c r="F48" s="568">
        <f t="shared" si="0"/>
        <v>100</v>
      </c>
      <c r="G48" s="584">
        <f>SUM(G49,G50,G51)</f>
        <v>65206</v>
      </c>
      <c r="H48" s="584">
        <f>SUM(H49,H50,H51)</f>
        <v>43912</v>
      </c>
      <c r="I48" s="596">
        <f t="shared" si="4"/>
        <v>67.34349599730086</v>
      </c>
      <c r="J48" s="578"/>
    </row>
    <row r="49" spans="1:10" ht="37.5" customHeight="1" hidden="1">
      <c r="A49" s="598"/>
      <c r="B49" s="599" t="s">
        <v>976</v>
      </c>
      <c r="C49" s="589" t="s">
        <v>963</v>
      </c>
      <c r="D49" s="590">
        <f>SUM(6D!E412)</f>
        <v>0</v>
      </c>
      <c r="E49" s="590">
        <f>SUM(6D!F412)</f>
        <v>0</v>
      </c>
      <c r="F49" s="575" t="e">
        <f t="shared" si="0"/>
        <v>#DIV/0!</v>
      </c>
      <c r="G49" s="585">
        <f>D49</f>
        <v>0</v>
      </c>
      <c r="H49" s="585">
        <f>E49</f>
        <v>0</v>
      </c>
      <c r="I49" s="591" t="e">
        <f t="shared" si="4"/>
        <v>#DIV/0!</v>
      </c>
      <c r="J49" s="578">
        <f t="shared" si="2"/>
        <v>0</v>
      </c>
    </row>
    <row r="50" spans="1:10" ht="20.25" customHeight="1">
      <c r="A50" s="598"/>
      <c r="B50" s="599" t="s">
        <v>1046</v>
      </c>
      <c r="C50" s="589" t="s">
        <v>1047</v>
      </c>
      <c r="D50" s="590">
        <f>SUM(6D!E258,6D!E416)</f>
        <v>65206</v>
      </c>
      <c r="E50" s="590">
        <f>SUM(6D!F258,6D!F416)</f>
        <v>65206</v>
      </c>
      <c r="F50" s="575">
        <f t="shared" si="0"/>
        <v>100</v>
      </c>
      <c r="G50" s="585">
        <f>D50</f>
        <v>65206</v>
      </c>
      <c r="H50" s="585">
        <v>43912</v>
      </c>
      <c r="I50" s="591">
        <f t="shared" si="4"/>
        <v>67.34349599730086</v>
      </c>
      <c r="J50" s="578">
        <f t="shared" si="2"/>
        <v>21294</v>
      </c>
    </row>
    <row r="51" spans="1:10" ht="20.25" customHeight="1" hidden="1">
      <c r="A51" s="611"/>
      <c r="B51" s="612" t="s">
        <v>433</v>
      </c>
      <c r="C51" s="589" t="s">
        <v>825</v>
      </c>
      <c r="D51" s="613">
        <f>SUM(6D!E422,6D!E423)</f>
        <v>0</v>
      </c>
      <c r="E51" s="613">
        <f>SUM(6D!F422,6D!F423)</f>
        <v>0</v>
      </c>
      <c r="F51" s="575" t="e">
        <f t="shared" si="0"/>
        <v>#DIV/0!</v>
      </c>
      <c r="G51" s="585">
        <f>D51</f>
        <v>0</v>
      </c>
      <c r="H51" s="585">
        <f>E51</f>
        <v>0</v>
      </c>
      <c r="I51" s="591" t="e">
        <f t="shared" si="4"/>
        <v>#DIV/0!</v>
      </c>
      <c r="J51" s="578">
        <f t="shared" si="2"/>
        <v>0</v>
      </c>
    </row>
    <row r="52" spans="1:10" s="559" customFormat="1" ht="26.25" customHeight="1" hidden="1">
      <c r="A52" s="600" t="s">
        <v>1081</v>
      </c>
      <c r="B52" s="601"/>
      <c r="C52" s="594" t="s">
        <v>1082</v>
      </c>
      <c r="D52" s="595">
        <f>SUM(D53)</f>
        <v>0</v>
      </c>
      <c r="E52" s="595">
        <f>SUM(E53)</f>
        <v>0</v>
      </c>
      <c r="F52" s="568" t="e">
        <f>E52/D52*100</f>
        <v>#DIV/0!</v>
      </c>
      <c r="G52" s="584">
        <f>SUM(G53)</f>
        <v>0</v>
      </c>
      <c r="H52" s="584">
        <f>SUM(H53)</f>
        <v>0</v>
      </c>
      <c r="I52" s="596" t="e">
        <f>H52/G52*100</f>
        <v>#DIV/0!</v>
      </c>
      <c r="J52" s="578"/>
    </row>
    <row r="53" spans="1:10" ht="21" customHeight="1" hidden="1">
      <c r="A53" s="598"/>
      <c r="B53" s="599" t="s">
        <v>1086</v>
      </c>
      <c r="C53" s="589" t="s">
        <v>1087</v>
      </c>
      <c r="D53" s="590">
        <f>SUM(6D!E297)</f>
        <v>0</v>
      </c>
      <c r="E53" s="590">
        <f>SUM(6D!F297)</f>
        <v>0</v>
      </c>
      <c r="F53" s="575" t="e">
        <f>E53/D53*100</f>
        <v>#DIV/0!</v>
      </c>
      <c r="G53" s="585">
        <f>D53</f>
        <v>0</v>
      </c>
      <c r="H53" s="585">
        <f>E53</f>
        <v>0</v>
      </c>
      <c r="I53" s="591" t="e">
        <f>H53/G53*100</f>
        <v>#DIV/0!</v>
      </c>
      <c r="J53" s="578">
        <f t="shared" si="2"/>
        <v>0</v>
      </c>
    </row>
    <row r="54" spans="1:10" s="559" customFormat="1" ht="21.75" customHeight="1" thickBot="1">
      <c r="A54" s="1412" t="s">
        <v>1163</v>
      </c>
      <c r="B54" s="1413"/>
      <c r="C54" s="1413"/>
      <c r="D54" s="614">
        <f>SUM(D8,D10,D12,D14,D18,D21,D24,D27,D30,D33,D45,D48,D52)</f>
        <v>14307574.629999999</v>
      </c>
      <c r="E54" s="614">
        <f>SUM(E8,E10,E12,E14,E18,E21,E24,E27,E30,E33,E45,E48,E52)</f>
        <v>7986235.63</v>
      </c>
      <c r="F54" s="615">
        <f>E54/D54*100</f>
        <v>55.818235001581115</v>
      </c>
      <c r="G54" s="614">
        <f>SUM(G8,G10,G12,G14,G18,G21,G24,G27,G30,G33,G45,G48,G52)</f>
        <v>14307574.629999999</v>
      </c>
      <c r="H54" s="614">
        <f>SUM(H8,H10,H12,H14,H18,H21,H24,H27,H30,H33,H45,H48,H52)</f>
        <v>7116225.0600000005</v>
      </c>
      <c r="I54" s="616">
        <f t="shared" si="4"/>
        <v>49.737465950928964</v>
      </c>
      <c r="J54" s="578">
        <f t="shared" si="2"/>
        <v>7191349.569999998</v>
      </c>
    </row>
    <row r="55" spans="1:10" s="618" customFormat="1" ht="15" customHeight="1">
      <c r="A55" s="1410" t="s">
        <v>219</v>
      </c>
      <c r="B55" s="1410"/>
      <c r="C55" s="1410"/>
      <c r="D55" s="1410"/>
      <c r="E55" s="1410"/>
      <c r="F55" s="1410"/>
      <c r="G55" s="1410"/>
      <c r="H55" s="1410"/>
      <c r="I55" s="1410"/>
      <c r="J55" s="617"/>
    </row>
    <row r="56" spans="4:9" ht="12.75">
      <c r="D56" s="619"/>
      <c r="E56" s="619"/>
      <c r="F56" s="620"/>
      <c r="G56" s="578"/>
      <c r="H56" s="619"/>
      <c r="I56" s="621"/>
    </row>
    <row r="57" spans="4:9" ht="12.75">
      <c r="D57" s="619"/>
      <c r="E57" s="619"/>
      <c r="F57" s="619"/>
      <c r="G57" s="619"/>
      <c r="H57" s="619"/>
      <c r="I57" s="622"/>
    </row>
    <row r="58" spans="4:9" ht="12.75">
      <c r="D58" s="623"/>
      <c r="E58" s="623"/>
      <c r="F58" s="620"/>
      <c r="G58" s="622"/>
      <c r="H58" s="623"/>
      <c r="I58" s="621"/>
    </row>
    <row r="59" spans="4:9" ht="12.75">
      <c r="D59" s="623"/>
      <c r="E59" s="623"/>
      <c r="F59" s="620"/>
      <c r="G59" s="622"/>
      <c r="H59" s="623"/>
      <c r="I59" s="621"/>
    </row>
    <row r="60" spans="4:9" ht="12.75">
      <c r="D60" s="623"/>
      <c r="E60" s="623"/>
      <c r="F60" s="620"/>
      <c r="G60" s="622"/>
      <c r="H60" s="623"/>
      <c r="I60" s="621"/>
    </row>
    <row r="61" spans="4:9" ht="12.75">
      <c r="D61" s="623"/>
      <c r="E61" s="623"/>
      <c r="F61" s="620"/>
      <c r="G61" s="622"/>
      <c r="H61" s="623"/>
      <c r="I61" s="621"/>
    </row>
    <row r="62" spans="4:9" ht="12.75">
      <c r="D62" s="623"/>
      <c r="E62" s="623"/>
      <c r="F62" s="620"/>
      <c r="G62" s="622"/>
      <c r="H62" s="623"/>
      <c r="I62" s="621"/>
    </row>
    <row r="63" spans="4:9" ht="12.75">
      <c r="D63" s="623"/>
      <c r="E63" s="624"/>
      <c r="F63" s="620"/>
      <c r="G63" s="622"/>
      <c r="H63" s="623"/>
      <c r="I63" s="621"/>
    </row>
    <row r="64" spans="4:9" ht="12.75">
      <c r="D64" s="623"/>
      <c r="E64" s="624"/>
      <c r="F64" s="620"/>
      <c r="G64" s="622"/>
      <c r="H64" s="623"/>
      <c r="I64" s="621"/>
    </row>
    <row r="65" spans="4:9" ht="12.75">
      <c r="D65" s="623"/>
      <c r="E65" s="623"/>
      <c r="F65" s="620"/>
      <c r="G65" s="622"/>
      <c r="H65" s="623"/>
      <c r="I65" s="621"/>
    </row>
    <row r="66" spans="4:9" ht="12.75">
      <c r="D66" s="623"/>
      <c r="E66" s="623"/>
      <c r="F66" s="620"/>
      <c r="G66" s="622"/>
      <c r="H66" s="623"/>
      <c r="I66" s="621"/>
    </row>
    <row r="67" spans="4:9" ht="12.75">
      <c r="D67" s="623"/>
      <c r="E67" s="623"/>
      <c r="F67" s="620"/>
      <c r="G67" s="622"/>
      <c r="H67" s="623"/>
      <c r="I67" s="621"/>
    </row>
    <row r="68" spans="4:9" ht="12.75">
      <c r="D68" s="623"/>
      <c r="E68" s="623"/>
      <c r="F68" s="620"/>
      <c r="G68" s="622"/>
      <c r="H68" s="623"/>
      <c r="I68" s="621"/>
    </row>
    <row r="69" spans="4:9" ht="12.75">
      <c r="D69" s="623"/>
      <c r="E69" s="623"/>
      <c r="F69" s="620"/>
      <c r="G69" s="622"/>
      <c r="H69" s="623"/>
      <c r="I69" s="621"/>
    </row>
    <row r="70" spans="4:9" ht="12.75">
      <c r="D70" s="623"/>
      <c r="E70" s="623"/>
      <c r="F70" s="620"/>
      <c r="G70" s="622"/>
      <c r="H70" s="623"/>
      <c r="I70" s="621"/>
    </row>
    <row r="71" spans="4:9" ht="12.75">
      <c r="D71" s="623"/>
      <c r="E71" s="623"/>
      <c r="F71" s="620"/>
      <c r="G71" s="622"/>
      <c r="H71" s="623"/>
      <c r="I71" s="621"/>
    </row>
    <row r="72" spans="4:9" ht="12.75">
      <c r="D72" s="623"/>
      <c r="E72" s="623"/>
      <c r="F72" s="620"/>
      <c r="G72" s="622"/>
      <c r="H72" s="623"/>
      <c r="I72" s="621"/>
    </row>
    <row r="73" spans="4:9" ht="12.75">
      <c r="D73" s="623"/>
      <c r="E73" s="623"/>
      <c r="F73" s="620"/>
      <c r="G73" s="622"/>
      <c r="H73" s="623"/>
      <c r="I73" s="621"/>
    </row>
    <row r="74" spans="4:9" ht="12.75">
      <c r="D74" s="623"/>
      <c r="E74" s="623"/>
      <c r="F74" s="620"/>
      <c r="G74" s="622"/>
      <c r="H74" s="623"/>
      <c r="I74" s="621"/>
    </row>
    <row r="75" spans="4:9" ht="12.75">
      <c r="D75" s="623"/>
      <c r="E75" s="623"/>
      <c r="F75" s="620"/>
      <c r="G75" s="622"/>
      <c r="H75" s="623"/>
      <c r="I75" s="621"/>
    </row>
    <row r="76" spans="4:9" ht="12.75">
      <c r="D76" s="623"/>
      <c r="E76" s="623"/>
      <c r="F76" s="620"/>
      <c r="G76" s="622"/>
      <c r="H76" s="623"/>
      <c r="I76" s="621"/>
    </row>
    <row r="77" spans="4:9" ht="12.75">
      <c r="D77" s="623"/>
      <c r="E77" s="623"/>
      <c r="F77" s="620"/>
      <c r="G77" s="622"/>
      <c r="H77" s="623"/>
      <c r="I77" s="621"/>
    </row>
    <row r="78" spans="4:9" ht="12.75">
      <c r="D78" s="623"/>
      <c r="E78" s="623"/>
      <c r="F78" s="620"/>
      <c r="G78" s="622"/>
      <c r="H78" s="623"/>
      <c r="I78" s="621"/>
    </row>
    <row r="79" ht="12.75">
      <c r="I79" s="621"/>
    </row>
    <row r="80" ht="12.75">
      <c r="I80" s="621"/>
    </row>
    <row r="81" ht="12.75">
      <c r="I81" s="621"/>
    </row>
    <row r="82" ht="12.75">
      <c r="I82" s="621"/>
    </row>
    <row r="83" ht="12.75">
      <c r="I83" s="621"/>
    </row>
    <row r="84" ht="12.75">
      <c r="I84" s="621"/>
    </row>
    <row r="85" ht="12.75">
      <c r="I85" s="621"/>
    </row>
    <row r="86" ht="12.75">
      <c r="I86" s="621"/>
    </row>
    <row r="87" ht="12.75">
      <c r="I87" s="621"/>
    </row>
    <row r="88" ht="12.75">
      <c r="I88" s="621"/>
    </row>
    <row r="89" ht="12.75">
      <c r="I89" s="621"/>
    </row>
    <row r="90" ht="12.75">
      <c r="I90" s="621"/>
    </row>
    <row r="91" ht="12.75">
      <c r="I91" s="621"/>
    </row>
    <row r="92" ht="12.75">
      <c r="I92" s="621"/>
    </row>
    <row r="93" ht="12.75">
      <c r="I93" s="621"/>
    </row>
    <row r="94" ht="12.75">
      <c r="I94" s="621"/>
    </row>
    <row r="95" ht="12.75">
      <c r="I95" s="621"/>
    </row>
    <row r="96" ht="12.75">
      <c r="I96" s="621"/>
    </row>
    <row r="97" ht="12.75">
      <c r="I97" s="621"/>
    </row>
    <row r="98" ht="12.75">
      <c r="I98" s="621"/>
    </row>
    <row r="99" ht="12.75">
      <c r="I99" s="621"/>
    </row>
    <row r="100" ht="12.75">
      <c r="I100" s="621"/>
    </row>
    <row r="101" ht="12.75">
      <c r="I101" s="621"/>
    </row>
    <row r="102" ht="12.75">
      <c r="I102" s="621"/>
    </row>
    <row r="103" ht="12.75">
      <c r="I103" s="621"/>
    </row>
    <row r="104" ht="12.75">
      <c r="I104" s="621"/>
    </row>
    <row r="105" ht="12.75">
      <c r="I105" s="621"/>
    </row>
    <row r="106" ht="12.75">
      <c r="I106" s="621"/>
    </row>
    <row r="107" ht="12.75">
      <c r="I107" s="621"/>
    </row>
    <row r="108" ht="12.75">
      <c r="I108" s="621"/>
    </row>
    <row r="109" ht="12.75">
      <c r="I109" s="621"/>
    </row>
    <row r="110" ht="12.75">
      <c r="I110" s="621"/>
    </row>
    <row r="111" ht="12.75">
      <c r="I111" s="621"/>
    </row>
    <row r="112" ht="12.75">
      <c r="I112" s="621"/>
    </row>
    <row r="113" ht="12.75">
      <c r="I113" s="621"/>
    </row>
    <row r="114" ht="12.75">
      <c r="I114" s="621"/>
    </row>
    <row r="115" ht="12.75">
      <c r="I115" s="621"/>
    </row>
    <row r="116" ht="12.75">
      <c r="I116" s="621"/>
    </row>
    <row r="117" ht="12.75">
      <c r="I117" s="621"/>
    </row>
    <row r="118" ht="12.75">
      <c r="I118" s="621"/>
    </row>
    <row r="119" ht="12.75">
      <c r="I119" s="621"/>
    </row>
    <row r="120" ht="12.75">
      <c r="I120" s="621"/>
    </row>
    <row r="121" ht="12.75">
      <c r="I121" s="621"/>
    </row>
    <row r="122" ht="12.75">
      <c r="I122" s="621"/>
    </row>
    <row r="123" ht="12.75">
      <c r="I123" s="621"/>
    </row>
    <row r="124" ht="12.75">
      <c r="I124" s="621"/>
    </row>
    <row r="125" ht="12.75">
      <c r="I125" s="621"/>
    </row>
    <row r="126" ht="12.75">
      <c r="I126" s="621"/>
    </row>
    <row r="127" ht="12.75">
      <c r="I127" s="621"/>
    </row>
    <row r="128" ht="12.75">
      <c r="I128" s="621"/>
    </row>
    <row r="129" ht="12.75">
      <c r="I129" s="621"/>
    </row>
    <row r="130" ht="12.75">
      <c r="I130" s="621"/>
    </row>
    <row r="131" ht="12.75">
      <c r="I131" s="621"/>
    </row>
    <row r="132" ht="12.75">
      <c r="I132" s="621"/>
    </row>
    <row r="133" ht="12.75">
      <c r="I133" s="621"/>
    </row>
    <row r="134" ht="12.75">
      <c r="I134" s="621"/>
    </row>
    <row r="135" ht="12.75">
      <c r="I135" s="621"/>
    </row>
    <row r="136" ht="12.75">
      <c r="I136" s="621"/>
    </row>
    <row r="137" ht="12.75">
      <c r="I137" s="621"/>
    </row>
    <row r="138" ht="12.75">
      <c r="I138" s="621"/>
    </row>
    <row r="139" ht="12.75">
      <c r="I139" s="621"/>
    </row>
    <row r="140" ht="12.75">
      <c r="I140" s="621"/>
    </row>
    <row r="141" ht="12.75">
      <c r="I141" s="621"/>
    </row>
    <row r="142" ht="12.75">
      <c r="I142" s="621"/>
    </row>
    <row r="143" ht="12.75">
      <c r="I143" s="621"/>
    </row>
    <row r="144" ht="12.75">
      <c r="I144" s="621"/>
    </row>
    <row r="145" ht="12.75">
      <c r="I145" s="621"/>
    </row>
    <row r="146" ht="12.75">
      <c r="I146" s="621"/>
    </row>
    <row r="147" ht="12.75">
      <c r="I147" s="621"/>
    </row>
    <row r="148" ht="12.75">
      <c r="I148" s="621"/>
    </row>
    <row r="149" ht="12.75">
      <c r="I149" s="621"/>
    </row>
    <row r="150" ht="12.75">
      <c r="I150" s="621"/>
    </row>
    <row r="151" ht="12.75">
      <c r="I151" s="621"/>
    </row>
    <row r="152" ht="12.75">
      <c r="I152" s="621"/>
    </row>
    <row r="153" ht="12.75">
      <c r="I153" s="621"/>
    </row>
    <row r="154" ht="12.75">
      <c r="I154" s="621"/>
    </row>
    <row r="155" ht="12.75">
      <c r="I155" s="621"/>
    </row>
    <row r="156" ht="12.75">
      <c r="I156" s="621"/>
    </row>
    <row r="157" ht="12.75">
      <c r="I157" s="621"/>
    </row>
    <row r="158" ht="12.75">
      <c r="I158" s="621"/>
    </row>
    <row r="159" ht="12.75">
      <c r="I159" s="621"/>
    </row>
    <row r="160" ht="12.75">
      <c r="I160" s="621"/>
    </row>
    <row r="161" ht="12.75">
      <c r="I161" s="621"/>
    </row>
    <row r="162" ht="12.75">
      <c r="I162" s="621"/>
    </row>
    <row r="163" ht="12.75">
      <c r="I163" s="621"/>
    </row>
    <row r="164" ht="12.75">
      <c r="I164" s="621"/>
    </row>
    <row r="165" ht="12.75">
      <c r="I165" s="621"/>
    </row>
    <row r="166" ht="12.75">
      <c r="I166" s="621"/>
    </row>
    <row r="167" ht="12.75">
      <c r="I167" s="621"/>
    </row>
    <row r="168" ht="12.75">
      <c r="I168" s="621"/>
    </row>
    <row r="169" ht="12.75">
      <c r="I169" s="621"/>
    </row>
    <row r="170" ht="12.75">
      <c r="I170" s="621"/>
    </row>
  </sheetData>
  <sheetProtection password="CF93" sheet="1"/>
  <mergeCells count="10">
    <mergeCell ref="A55:I55"/>
    <mergeCell ref="H1:I1"/>
    <mergeCell ref="A54:C54"/>
    <mergeCell ref="H4:I4"/>
    <mergeCell ref="D5:F5"/>
    <mergeCell ref="G5:I5"/>
    <mergeCell ref="A5:A6"/>
    <mergeCell ref="B5:B6"/>
    <mergeCell ref="C5:C6"/>
    <mergeCell ref="A3:I3"/>
  </mergeCells>
  <printOptions/>
  <pageMargins left="0.5905511811023623" right="0.3937007874015748" top="0.98425196850393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1:L62"/>
  <sheetViews>
    <sheetView defaultGridColor="0" view="pageBreakPreview" zoomScaleSheetLayoutView="100" zoomScalePageLayoutView="0" colorId="8" workbookViewId="0" topLeftCell="A1">
      <pane ySplit="9" topLeftCell="A50" activePane="bottomLeft" state="frozen"/>
      <selection pane="topLeft" activeCell="A1" sqref="A1"/>
      <selection pane="bottomLeft" activeCell="A61" sqref="A61:IV62"/>
    </sheetView>
  </sheetViews>
  <sheetFormatPr defaultColWidth="9.00390625" defaultRowHeight="12.75"/>
  <cols>
    <col min="1" max="1" width="12.25390625" style="278" customWidth="1"/>
    <col min="2" max="2" width="9.625" style="278" customWidth="1"/>
    <col min="3" max="3" width="12.125" style="271" customWidth="1"/>
    <col min="4" max="4" width="13.125" style="271" customWidth="1"/>
    <col min="5" max="5" width="13.125" style="6" customWidth="1"/>
    <col min="6" max="6" width="13.75390625" style="6" customWidth="1"/>
    <col min="7" max="7" width="12.125" style="6" customWidth="1"/>
    <col min="8" max="8" width="11.125" style="6" customWidth="1"/>
    <col min="9" max="9" width="11.00390625" style="6" customWidth="1"/>
    <col min="10" max="10" width="12.25390625" style="6" customWidth="1"/>
    <col min="11" max="11" width="11.00390625" style="6" customWidth="1"/>
    <col min="12" max="16384" width="9.125" style="6" customWidth="1"/>
  </cols>
  <sheetData>
    <row r="1" spans="1:12" s="271" customFormat="1" ht="12.75">
      <c r="A1" s="628"/>
      <c r="B1" s="628"/>
      <c r="C1" s="629"/>
      <c r="D1" s="629"/>
      <c r="E1" s="629"/>
      <c r="F1" s="629"/>
      <c r="G1" s="629"/>
      <c r="H1" s="629"/>
      <c r="I1" s="629"/>
      <c r="J1" s="629"/>
      <c r="K1" s="630" t="s">
        <v>629</v>
      </c>
      <c r="L1" s="484"/>
    </row>
    <row r="2" spans="1:11" s="271" customFormat="1" ht="21" customHeight="1">
      <c r="A2" s="628"/>
      <c r="B2" s="628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271" customFormat="1" ht="25.5" customHeight="1">
      <c r="A3" s="1436" t="s">
        <v>1164</v>
      </c>
      <c r="B3" s="1436"/>
      <c r="C3" s="1436"/>
      <c r="D3" s="1436"/>
      <c r="E3" s="1436"/>
      <c r="F3" s="1436"/>
      <c r="G3" s="1436"/>
      <c r="H3" s="1436"/>
      <c r="I3" s="1436"/>
      <c r="J3" s="1436"/>
      <c r="K3" s="1436"/>
    </row>
    <row r="4" spans="1:11" s="271" customFormat="1" ht="12" customHeight="1" thickBot="1">
      <c r="A4" s="628"/>
      <c r="B4" s="628"/>
      <c r="C4" s="629"/>
      <c r="D4" s="629"/>
      <c r="E4" s="629"/>
      <c r="F4" s="629"/>
      <c r="G4" s="629"/>
      <c r="H4" s="629"/>
      <c r="I4" s="629"/>
      <c r="J4" s="629"/>
      <c r="K4" s="631" t="s">
        <v>818</v>
      </c>
    </row>
    <row r="5" spans="1:11" s="278" customFormat="1" ht="17.25" customHeight="1">
      <c r="A5" s="1437" t="s">
        <v>820</v>
      </c>
      <c r="B5" s="1442" t="s">
        <v>819</v>
      </c>
      <c r="C5" s="1440" t="s">
        <v>588</v>
      </c>
      <c r="D5" s="1440" t="s">
        <v>1024</v>
      </c>
      <c r="E5" s="1440" t="s">
        <v>1185</v>
      </c>
      <c r="F5" s="1440"/>
      <c r="G5" s="1440"/>
      <c r="H5" s="1440"/>
      <c r="I5" s="1440"/>
      <c r="J5" s="1444"/>
      <c r="K5" s="1445"/>
    </row>
    <row r="6" spans="1:11" s="278" customFormat="1" ht="17.25" customHeight="1">
      <c r="A6" s="1438"/>
      <c r="B6" s="1443"/>
      <c r="C6" s="1435"/>
      <c r="D6" s="1435"/>
      <c r="E6" s="1434" t="s">
        <v>511</v>
      </c>
      <c r="F6" s="1425" t="s">
        <v>24</v>
      </c>
      <c r="G6" s="1426"/>
      <c r="H6" s="1426"/>
      <c r="I6" s="1426"/>
      <c r="J6" s="1427"/>
      <c r="K6" s="1429" t="s">
        <v>589</v>
      </c>
    </row>
    <row r="7" spans="1:11" s="278" customFormat="1" ht="26.25" customHeight="1">
      <c r="A7" s="1439"/>
      <c r="B7" s="1441"/>
      <c r="C7" s="1441"/>
      <c r="D7" s="1428"/>
      <c r="E7" s="1446"/>
      <c r="F7" s="1428" t="s">
        <v>1023</v>
      </c>
      <c r="G7" s="1428"/>
      <c r="H7" s="1428" t="s">
        <v>1020</v>
      </c>
      <c r="I7" s="1432" t="s">
        <v>1021</v>
      </c>
      <c r="J7" s="1434" t="s">
        <v>1022</v>
      </c>
      <c r="K7" s="1430"/>
    </row>
    <row r="8" spans="1:11" s="278" customFormat="1" ht="63" customHeight="1">
      <c r="A8" s="1439"/>
      <c r="B8" s="1441"/>
      <c r="C8" s="1441"/>
      <c r="D8" s="1428"/>
      <c r="E8" s="1435"/>
      <c r="F8" s="632" t="s">
        <v>1018</v>
      </c>
      <c r="G8" s="632" t="s">
        <v>1019</v>
      </c>
      <c r="H8" s="1428"/>
      <c r="I8" s="1433"/>
      <c r="J8" s="1435"/>
      <c r="K8" s="1431"/>
    </row>
    <row r="9" spans="1:11" s="271" customFormat="1" ht="14.25" customHeight="1">
      <c r="A9" s="265">
        <v>1</v>
      </c>
      <c r="B9" s="267">
        <v>2</v>
      </c>
      <c r="C9" s="267">
        <v>3</v>
      </c>
      <c r="D9" s="267">
        <v>4</v>
      </c>
      <c r="E9" s="267">
        <v>5</v>
      </c>
      <c r="F9" s="267">
        <v>6</v>
      </c>
      <c r="G9" s="267">
        <v>7</v>
      </c>
      <c r="H9" s="267">
        <v>8</v>
      </c>
      <c r="I9" s="267">
        <v>9</v>
      </c>
      <c r="J9" s="267">
        <v>10</v>
      </c>
      <c r="K9" s="267">
        <v>11</v>
      </c>
    </row>
    <row r="10" spans="1:11" s="64" customFormat="1" ht="19.5" customHeight="1">
      <c r="A10" s="548" t="s">
        <v>821</v>
      </c>
      <c r="B10" s="549" t="s">
        <v>170</v>
      </c>
      <c r="C10" s="708">
        <f aca="true" t="shared" si="0" ref="C10:K10">SUM(C12,C14,C16,C18,C20,C22,C24,C26,C28,C30,C32)</f>
        <v>6327281.63</v>
      </c>
      <c r="D10" s="708">
        <f t="shared" si="0"/>
        <v>6327281.63</v>
      </c>
      <c r="E10" s="708">
        <f t="shared" si="0"/>
        <v>6327281.63</v>
      </c>
      <c r="F10" s="708">
        <f t="shared" si="0"/>
        <v>707275</v>
      </c>
      <c r="G10" s="708">
        <f t="shared" si="0"/>
        <v>71424.63</v>
      </c>
      <c r="H10" s="708">
        <f t="shared" si="0"/>
        <v>137000</v>
      </c>
      <c r="I10" s="708">
        <f t="shared" si="0"/>
        <v>5411582</v>
      </c>
      <c r="J10" s="708">
        <f t="shared" si="0"/>
        <v>0</v>
      </c>
      <c r="K10" s="708">
        <f t="shared" si="0"/>
        <v>0</v>
      </c>
    </row>
    <row r="11" spans="1:11" ht="19.5" customHeight="1">
      <c r="A11" s="716" t="s">
        <v>822</v>
      </c>
      <c r="B11" s="709" t="s">
        <v>170</v>
      </c>
      <c r="C11" s="493">
        <f aca="true" t="shared" si="1" ref="C11:K11">SUM(C13,C15,C17,C19,C21,C23,C25,C27,C29,C31,C33)</f>
        <v>3270492.63</v>
      </c>
      <c r="D11" s="493">
        <f t="shared" si="1"/>
        <v>3095123.82</v>
      </c>
      <c r="E11" s="493">
        <f t="shared" si="1"/>
        <v>3095123.82</v>
      </c>
      <c r="F11" s="493">
        <f t="shared" si="1"/>
        <v>263975.11</v>
      </c>
      <c r="G11" s="493">
        <f t="shared" si="1"/>
        <v>40795.37</v>
      </c>
      <c r="H11" s="493">
        <f t="shared" si="1"/>
        <v>69631</v>
      </c>
      <c r="I11" s="493">
        <f t="shared" si="1"/>
        <v>2720722.34</v>
      </c>
      <c r="J11" s="493">
        <f t="shared" si="1"/>
        <v>0</v>
      </c>
      <c r="K11" s="493">
        <f t="shared" si="1"/>
        <v>0</v>
      </c>
    </row>
    <row r="12" spans="1:11" s="64" customFormat="1" ht="19.5" customHeight="1">
      <c r="A12" s="717" t="s">
        <v>821</v>
      </c>
      <c r="B12" s="710" t="s">
        <v>320</v>
      </c>
      <c r="C12" s="711">
        <f>SUM(6D!E10)</f>
        <v>19106.63</v>
      </c>
      <c r="D12" s="711">
        <f aca="true" t="shared" si="2" ref="D12:D29">SUM(E12,K12)</f>
        <v>19106.63</v>
      </c>
      <c r="E12" s="711">
        <f>SUM(F12,G12,H12,I12,J12)</f>
        <v>19106.63</v>
      </c>
      <c r="F12" s="711">
        <v>0</v>
      </c>
      <c r="G12" s="711">
        <v>19106.63</v>
      </c>
      <c r="H12" s="711">
        <v>0</v>
      </c>
      <c r="I12" s="711">
        <v>0</v>
      </c>
      <c r="J12" s="731">
        <v>0</v>
      </c>
      <c r="K12" s="732">
        <v>0</v>
      </c>
    </row>
    <row r="13" spans="1:11" s="271" customFormat="1" ht="19.5" customHeight="1">
      <c r="A13" s="265" t="s">
        <v>822</v>
      </c>
      <c r="B13" s="543" t="s">
        <v>320</v>
      </c>
      <c r="C13" s="495">
        <f>SUM(6D!F10)</f>
        <v>19106.63</v>
      </c>
      <c r="D13" s="495">
        <f t="shared" si="2"/>
        <v>19106.63</v>
      </c>
      <c r="E13" s="507">
        <f>SUM(F13,G13,H13,I13,J13)</f>
        <v>19106.63</v>
      </c>
      <c r="F13" s="495">
        <v>0</v>
      </c>
      <c r="G13" s="495">
        <v>19106.63</v>
      </c>
      <c r="H13" s="495">
        <v>0</v>
      </c>
      <c r="I13" s="495">
        <v>0</v>
      </c>
      <c r="J13" s="534">
        <v>0</v>
      </c>
      <c r="K13" s="733">
        <v>0</v>
      </c>
    </row>
    <row r="14" spans="1:11" s="734" customFormat="1" ht="19.5" customHeight="1">
      <c r="A14" s="717" t="s">
        <v>821</v>
      </c>
      <c r="B14" s="712">
        <v>75011</v>
      </c>
      <c r="C14" s="711">
        <f>SUM(6D!E80)</f>
        <v>369700</v>
      </c>
      <c r="D14" s="711">
        <f t="shared" si="2"/>
        <v>369700</v>
      </c>
      <c r="E14" s="711">
        <f>SUM(F14,G14,H14,I14,J14)</f>
        <v>369700</v>
      </c>
      <c r="F14" s="711">
        <v>363125</v>
      </c>
      <c r="G14" s="711">
        <v>6575</v>
      </c>
      <c r="H14" s="711">
        <v>0</v>
      </c>
      <c r="I14" s="711">
        <v>0</v>
      </c>
      <c r="J14" s="731">
        <v>0</v>
      </c>
      <c r="K14" s="732">
        <v>0</v>
      </c>
    </row>
    <row r="15" spans="1:11" s="271" customFormat="1" ht="19.5" customHeight="1">
      <c r="A15" s="265" t="s">
        <v>822</v>
      </c>
      <c r="B15" s="267">
        <v>75011</v>
      </c>
      <c r="C15" s="495">
        <f>SUM(6D!F80)</f>
        <v>199770</v>
      </c>
      <c r="D15" s="495">
        <f t="shared" si="2"/>
        <v>199770</v>
      </c>
      <c r="E15" s="507">
        <f>SUM(F15,G15,H15,I15,J15)</f>
        <v>199770</v>
      </c>
      <c r="F15" s="495">
        <v>193195</v>
      </c>
      <c r="G15" s="495">
        <v>6575</v>
      </c>
      <c r="H15" s="495">
        <v>0</v>
      </c>
      <c r="I15" s="495">
        <v>0</v>
      </c>
      <c r="J15" s="534">
        <v>0</v>
      </c>
      <c r="K15" s="733">
        <v>0</v>
      </c>
    </row>
    <row r="16" spans="1:11" s="734" customFormat="1" ht="19.5" customHeight="1">
      <c r="A16" s="717" t="s">
        <v>821</v>
      </c>
      <c r="B16" s="712">
        <v>75101</v>
      </c>
      <c r="C16" s="711">
        <f>SUM(6D!E103)</f>
        <v>6960</v>
      </c>
      <c r="D16" s="711">
        <f t="shared" si="2"/>
        <v>6960</v>
      </c>
      <c r="E16" s="711">
        <f aca="true" t="shared" si="3" ref="E16:E33">SUM(F16,G16,H16,I16,J16)</f>
        <v>6960</v>
      </c>
      <c r="F16" s="711">
        <v>6960</v>
      </c>
      <c r="G16" s="711">
        <v>0</v>
      </c>
      <c r="H16" s="711">
        <v>0</v>
      </c>
      <c r="I16" s="711">
        <v>0</v>
      </c>
      <c r="J16" s="731">
        <v>0</v>
      </c>
      <c r="K16" s="732">
        <v>0</v>
      </c>
    </row>
    <row r="17" spans="1:11" s="738" customFormat="1" ht="19.5" customHeight="1">
      <c r="A17" s="265" t="s">
        <v>822</v>
      </c>
      <c r="B17" s="713">
        <v>75101</v>
      </c>
      <c r="C17" s="507">
        <f>SUM(6D!F103)</f>
        <v>3480</v>
      </c>
      <c r="D17" s="735">
        <f t="shared" si="2"/>
        <v>0</v>
      </c>
      <c r="E17" s="507">
        <f t="shared" si="3"/>
        <v>0</v>
      </c>
      <c r="F17" s="735">
        <v>0</v>
      </c>
      <c r="G17" s="735">
        <v>0</v>
      </c>
      <c r="H17" s="735">
        <v>0</v>
      </c>
      <c r="I17" s="735">
        <v>0</v>
      </c>
      <c r="J17" s="736">
        <v>0</v>
      </c>
      <c r="K17" s="737">
        <v>0</v>
      </c>
    </row>
    <row r="18" spans="1:11" s="64" customFormat="1" ht="19.5" customHeight="1">
      <c r="A18" s="717" t="s">
        <v>821</v>
      </c>
      <c r="B18" s="712">
        <v>75107</v>
      </c>
      <c r="C18" s="711">
        <f>SUM(6D!E105)</f>
        <v>92515</v>
      </c>
      <c r="D18" s="711">
        <f>SUM(E18,K18)</f>
        <v>92515</v>
      </c>
      <c r="E18" s="711">
        <f t="shared" si="3"/>
        <v>92515</v>
      </c>
      <c r="F18" s="711">
        <v>34715</v>
      </c>
      <c r="G18" s="711">
        <v>8300</v>
      </c>
      <c r="H18" s="711">
        <v>0</v>
      </c>
      <c r="I18" s="711">
        <v>49500</v>
      </c>
      <c r="J18" s="731">
        <v>0</v>
      </c>
      <c r="K18" s="732">
        <v>0</v>
      </c>
    </row>
    <row r="19" spans="1:11" s="67" customFormat="1" ht="19.5" customHeight="1">
      <c r="A19" s="265" t="s">
        <v>822</v>
      </c>
      <c r="B19" s="713">
        <v>75107</v>
      </c>
      <c r="C19" s="507">
        <f>SUM(6D!F105)</f>
        <v>92515</v>
      </c>
      <c r="D19" s="735">
        <f>SUM(E19,K19)</f>
        <v>31969.22</v>
      </c>
      <c r="E19" s="507">
        <f t="shared" si="3"/>
        <v>31969.22</v>
      </c>
      <c r="F19" s="735">
        <v>6598.15</v>
      </c>
      <c r="G19" s="735">
        <v>891.07</v>
      </c>
      <c r="H19" s="735">
        <v>0</v>
      </c>
      <c r="I19" s="735">
        <v>24480</v>
      </c>
      <c r="J19" s="736">
        <v>0</v>
      </c>
      <c r="K19" s="737">
        <v>0</v>
      </c>
    </row>
    <row r="20" spans="1:11" s="734" customFormat="1" ht="19.5" customHeight="1">
      <c r="A20" s="717" t="s">
        <v>821</v>
      </c>
      <c r="B20" s="712">
        <v>75414</v>
      </c>
      <c r="C20" s="711">
        <f>SUM(6D!E110)</f>
        <v>10000</v>
      </c>
      <c r="D20" s="711">
        <f t="shared" si="2"/>
        <v>10000</v>
      </c>
      <c r="E20" s="711">
        <f t="shared" si="3"/>
        <v>10000</v>
      </c>
      <c r="F20" s="711">
        <v>0</v>
      </c>
      <c r="G20" s="711">
        <v>10000</v>
      </c>
      <c r="H20" s="711">
        <v>0</v>
      </c>
      <c r="I20" s="711">
        <v>0</v>
      </c>
      <c r="J20" s="731">
        <v>0</v>
      </c>
      <c r="K20" s="732">
        <v>0</v>
      </c>
    </row>
    <row r="21" spans="1:11" s="472" customFormat="1" ht="19.5" customHeight="1">
      <c r="A21" s="265" t="s">
        <v>822</v>
      </c>
      <c r="B21" s="515">
        <v>75414</v>
      </c>
      <c r="C21" s="507">
        <f>SUM(6D!F110)</f>
        <v>4998</v>
      </c>
      <c r="D21" s="507">
        <f t="shared" si="2"/>
        <v>2535.11</v>
      </c>
      <c r="E21" s="507">
        <f t="shared" si="3"/>
        <v>2535.11</v>
      </c>
      <c r="F21" s="507">
        <v>0</v>
      </c>
      <c r="G21" s="507">
        <v>2535.11</v>
      </c>
      <c r="H21" s="507">
        <v>0</v>
      </c>
      <c r="I21" s="507">
        <v>0</v>
      </c>
      <c r="J21" s="553">
        <v>0</v>
      </c>
      <c r="K21" s="739">
        <v>0</v>
      </c>
    </row>
    <row r="22" spans="1:11" s="734" customFormat="1" ht="19.5" customHeight="1">
      <c r="A22" s="718" t="s">
        <v>821</v>
      </c>
      <c r="B22" s="714">
        <v>85195</v>
      </c>
      <c r="C22" s="715">
        <f>SUM(6D!E200)</f>
        <v>14000</v>
      </c>
      <c r="D22" s="715">
        <f>SUM(E22,K22)</f>
        <v>14000</v>
      </c>
      <c r="E22" s="711">
        <f t="shared" si="3"/>
        <v>14000</v>
      </c>
      <c r="F22" s="715">
        <v>11118</v>
      </c>
      <c r="G22" s="715">
        <v>2882</v>
      </c>
      <c r="H22" s="715">
        <v>0</v>
      </c>
      <c r="I22" s="715">
        <v>0</v>
      </c>
      <c r="J22" s="740">
        <v>0</v>
      </c>
      <c r="K22" s="741">
        <v>0</v>
      </c>
    </row>
    <row r="23" spans="1:11" s="271" customFormat="1" ht="19.5" customHeight="1">
      <c r="A23" s="265" t="s">
        <v>822</v>
      </c>
      <c r="B23" s="267">
        <v>85195</v>
      </c>
      <c r="C23" s="495">
        <f>6D!F200</f>
        <v>6996</v>
      </c>
      <c r="D23" s="495">
        <f>SUM(E23,K23)</f>
        <v>1727.09</v>
      </c>
      <c r="E23" s="507">
        <f t="shared" si="3"/>
        <v>1727.09</v>
      </c>
      <c r="F23" s="495">
        <v>1727.09</v>
      </c>
      <c r="G23" s="495">
        <v>0</v>
      </c>
      <c r="H23" s="495">
        <v>0</v>
      </c>
      <c r="I23" s="495">
        <v>0</v>
      </c>
      <c r="J23" s="534">
        <v>0</v>
      </c>
      <c r="K23" s="733">
        <v>0</v>
      </c>
    </row>
    <row r="24" spans="1:11" s="734" customFormat="1" ht="19.5" customHeight="1">
      <c r="A24" s="718" t="s">
        <v>821</v>
      </c>
      <c r="B24" s="714">
        <v>85203</v>
      </c>
      <c r="C24" s="715">
        <f>SUM(6D!E211)</f>
        <v>137000</v>
      </c>
      <c r="D24" s="715">
        <f t="shared" si="2"/>
        <v>137000</v>
      </c>
      <c r="E24" s="711">
        <f t="shared" si="3"/>
        <v>137000</v>
      </c>
      <c r="F24" s="715">
        <v>0</v>
      </c>
      <c r="G24" s="715">
        <v>0</v>
      </c>
      <c r="H24" s="715">
        <v>137000</v>
      </c>
      <c r="I24" s="715">
        <v>0</v>
      </c>
      <c r="J24" s="740">
        <v>0</v>
      </c>
      <c r="K24" s="741">
        <v>0</v>
      </c>
    </row>
    <row r="25" spans="1:11" s="271" customFormat="1" ht="19.5" customHeight="1">
      <c r="A25" s="265" t="s">
        <v>822</v>
      </c>
      <c r="B25" s="267">
        <v>85203</v>
      </c>
      <c r="C25" s="495">
        <f>SUM(6D!F211)</f>
        <v>69631</v>
      </c>
      <c r="D25" s="495">
        <f t="shared" si="2"/>
        <v>69631</v>
      </c>
      <c r="E25" s="507">
        <f t="shared" si="3"/>
        <v>69631</v>
      </c>
      <c r="F25" s="495">
        <v>0</v>
      </c>
      <c r="G25" s="495">
        <v>0</v>
      </c>
      <c r="H25" s="495">
        <v>69631</v>
      </c>
      <c r="I25" s="495">
        <v>0</v>
      </c>
      <c r="J25" s="534">
        <v>0</v>
      </c>
      <c r="K25" s="733">
        <v>0</v>
      </c>
    </row>
    <row r="26" spans="1:11" s="734" customFormat="1" ht="19.5" customHeight="1">
      <c r="A26" s="717" t="s">
        <v>821</v>
      </c>
      <c r="B26" s="712">
        <v>85212</v>
      </c>
      <c r="C26" s="711">
        <f>SUM(6D!E218)</f>
        <v>5580000</v>
      </c>
      <c r="D26" s="711">
        <f t="shared" si="2"/>
        <v>5580000</v>
      </c>
      <c r="E26" s="711">
        <f t="shared" si="3"/>
        <v>5580000</v>
      </c>
      <c r="F26" s="711">
        <v>200766</v>
      </c>
      <c r="G26" s="711">
        <v>18034</v>
      </c>
      <c r="H26" s="711">
        <v>0</v>
      </c>
      <c r="I26" s="711">
        <v>5361200</v>
      </c>
      <c r="J26" s="731">
        <v>0</v>
      </c>
      <c r="K26" s="732">
        <v>0</v>
      </c>
    </row>
    <row r="27" spans="1:11" s="271" customFormat="1" ht="19.5" customHeight="1">
      <c r="A27" s="265" t="s">
        <v>822</v>
      </c>
      <c r="B27" s="267">
        <v>85212</v>
      </c>
      <c r="C27" s="495">
        <f>SUM(6D!F218)</f>
        <v>2825000</v>
      </c>
      <c r="D27" s="495">
        <f t="shared" si="2"/>
        <v>2729996.65</v>
      </c>
      <c r="E27" s="507">
        <f t="shared" si="3"/>
        <v>2729996.65</v>
      </c>
      <c r="F27" s="495">
        <v>25727.92</v>
      </c>
      <c r="G27" s="495">
        <v>8773.44</v>
      </c>
      <c r="H27" s="495">
        <v>0</v>
      </c>
      <c r="I27" s="495">
        <v>2695495.29</v>
      </c>
      <c r="J27" s="534">
        <v>0</v>
      </c>
      <c r="K27" s="733">
        <v>0</v>
      </c>
    </row>
    <row r="28" spans="1:11" s="734" customFormat="1" ht="19.5" customHeight="1">
      <c r="A28" s="717" t="s">
        <v>821</v>
      </c>
      <c r="B28" s="712">
        <v>85213</v>
      </c>
      <c r="C28" s="711">
        <f>SUM(6D!E222)</f>
        <v>13000</v>
      </c>
      <c r="D28" s="711">
        <f t="shared" si="2"/>
        <v>13000</v>
      </c>
      <c r="E28" s="711">
        <f t="shared" si="3"/>
        <v>13000</v>
      </c>
      <c r="F28" s="711">
        <v>13000</v>
      </c>
      <c r="G28" s="711">
        <v>0</v>
      </c>
      <c r="H28" s="711">
        <v>0</v>
      </c>
      <c r="I28" s="711">
        <v>0</v>
      </c>
      <c r="J28" s="731">
        <v>0</v>
      </c>
      <c r="K28" s="732">
        <v>0</v>
      </c>
    </row>
    <row r="29" spans="1:11" s="271" customFormat="1" ht="19.5" customHeight="1">
      <c r="A29" s="265" t="s">
        <v>822</v>
      </c>
      <c r="B29" s="267">
        <v>85213</v>
      </c>
      <c r="C29" s="495">
        <f>SUM(6D!F222)</f>
        <v>6498</v>
      </c>
      <c r="D29" s="495">
        <f t="shared" si="2"/>
        <v>6498</v>
      </c>
      <c r="E29" s="507">
        <f t="shared" si="3"/>
        <v>6498</v>
      </c>
      <c r="F29" s="495">
        <v>6498</v>
      </c>
      <c r="G29" s="495">
        <v>0</v>
      </c>
      <c r="H29" s="495">
        <v>0</v>
      </c>
      <c r="I29" s="495">
        <v>0</v>
      </c>
      <c r="J29" s="534">
        <v>0</v>
      </c>
      <c r="K29" s="733">
        <v>0</v>
      </c>
    </row>
    <row r="30" spans="1:11" s="64" customFormat="1" ht="19.5" customHeight="1" hidden="1">
      <c r="A30" s="717" t="s">
        <v>821</v>
      </c>
      <c r="B30" s="712">
        <v>85214</v>
      </c>
      <c r="C30" s="711">
        <f>SUM(6D!E227)</f>
        <v>0</v>
      </c>
      <c r="D30" s="711">
        <f>SUM(E30,K30)</f>
        <v>0</v>
      </c>
      <c r="E30" s="711">
        <f t="shared" si="3"/>
        <v>0</v>
      </c>
      <c r="F30" s="65">
        <v>0</v>
      </c>
      <c r="G30" s="65">
        <v>0</v>
      </c>
      <c r="H30" s="65"/>
      <c r="I30" s="65"/>
      <c r="J30" s="727"/>
      <c r="K30" s="66">
        <v>0</v>
      </c>
    </row>
    <row r="31" spans="1:11" ht="19.5" customHeight="1" hidden="1">
      <c r="A31" s="265" t="s">
        <v>822</v>
      </c>
      <c r="B31" s="267">
        <v>85214</v>
      </c>
      <c r="C31" s="495">
        <f>SUM(6D!F227)</f>
        <v>0</v>
      </c>
      <c r="D31" s="495">
        <f>SUM(E31,K31)</f>
        <v>0</v>
      </c>
      <c r="E31" s="711">
        <f t="shared" si="3"/>
        <v>0</v>
      </c>
      <c r="F31" s="139">
        <v>0</v>
      </c>
      <c r="G31" s="139">
        <v>0</v>
      </c>
      <c r="H31" s="139"/>
      <c r="I31" s="139"/>
      <c r="J31" s="728"/>
      <c r="K31" s="150">
        <v>0</v>
      </c>
    </row>
    <row r="32" spans="1:11" s="734" customFormat="1" ht="19.5" customHeight="1">
      <c r="A32" s="717" t="s">
        <v>821</v>
      </c>
      <c r="B32" s="712">
        <v>85228</v>
      </c>
      <c r="C32" s="711">
        <f>SUM(6D!E241)</f>
        <v>85000</v>
      </c>
      <c r="D32" s="711">
        <f>SUM(E32,K32)</f>
        <v>85000</v>
      </c>
      <c r="E32" s="711">
        <f t="shared" si="3"/>
        <v>85000</v>
      </c>
      <c r="F32" s="711">
        <v>77591</v>
      </c>
      <c r="G32" s="711">
        <v>6527</v>
      </c>
      <c r="H32" s="711">
        <v>0</v>
      </c>
      <c r="I32" s="711">
        <v>882</v>
      </c>
      <c r="J32" s="731">
        <v>0</v>
      </c>
      <c r="K32" s="732">
        <v>0</v>
      </c>
    </row>
    <row r="33" spans="1:11" s="271" customFormat="1" ht="19.5" customHeight="1">
      <c r="A33" s="265" t="s">
        <v>822</v>
      </c>
      <c r="B33" s="267">
        <v>85228</v>
      </c>
      <c r="C33" s="495">
        <f>SUM(6D!F241)</f>
        <v>42498</v>
      </c>
      <c r="D33" s="495">
        <f>SUM(E33,K33)</f>
        <v>33890.12</v>
      </c>
      <c r="E33" s="507">
        <f t="shared" si="3"/>
        <v>33890.12</v>
      </c>
      <c r="F33" s="495">
        <v>30228.95</v>
      </c>
      <c r="G33" s="495">
        <v>2914.12</v>
      </c>
      <c r="H33" s="495">
        <v>0</v>
      </c>
      <c r="I33" s="495">
        <v>747.05</v>
      </c>
      <c r="J33" s="534">
        <v>0</v>
      </c>
      <c r="K33" s="733">
        <v>0</v>
      </c>
    </row>
    <row r="34" spans="1:11" s="734" customFormat="1" ht="19.5" customHeight="1">
      <c r="A34" s="548" t="s">
        <v>821</v>
      </c>
      <c r="B34" s="549" t="s">
        <v>171</v>
      </c>
      <c r="C34" s="708">
        <f>SUM(C36,C38,C40,C42,C44,C46,C48,C50,C52,C54,C56)</f>
        <v>5534267</v>
      </c>
      <c r="D34" s="708">
        <f aca="true" t="shared" si="4" ref="D34:K34">SUM(D36,D38,D40,D42,D44,D46,D48,D50,D52,D54,D56)</f>
        <v>5534267</v>
      </c>
      <c r="E34" s="708">
        <f t="shared" si="4"/>
        <v>5534145</v>
      </c>
      <c r="F34" s="708">
        <f t="shared" si="4"/>
        <v>4632270</v>
      </c>
      <c r="G34" s="708">
        <f t="shared" si="4"/>
        <v>685875</v>
      </c>
      <c r="H34" s="708">
        <f t="shared" si="4"/>
        <v>36000</v>
      </c>
      <c r="I34" s="708">
        <f t="shared" si="4"/>
        <v>180000</v>
      </c>
      <c r="J34" s="708">
        <f t="shared" si="4"/>
        <v>0</v>
      </c>
      <c r="K34" s="729">
        <f t="shared" si="4"/>
        <v>122</v>
      </c>
    </row>
    <row r="35" spans="1:11" s="271" customFormat="1" ht="19.5" customHeight="1">
      <c r="A35" s="716" t="s">
        <v>822</v>
      </c>
      <c r="B35" s="709" t="s">
        <v>171</v>
      </c>
      <c r="C35" s="493">
        <f>SUM(C37,C39,C41,C43,C45,C47,C49,C51,C53,C55,C57)</f>
        <v>3331837</v>
      </c>
      <c r="D35" s="493">
        <f aca="true" t="shared" si="5" ref="D35:K35">SUM(D37,D39,D41,D43,D45,D47,D49,D51,D53,D55,D57)</f>
        <v>2847823.44</v>
      </c>
      <c r="E35" s="493">
        <f t="shared" si="5"/>
        <v>2847701.44</v>
      </c>
      <c r="F35" s="493">
        <f t="shared" si="5"/>
        <v>2310608.69</v>
      </c>
      <c r="G35" s="493">
        <f t="shared" si="5"/>
        <v>404134.5</v>
      </c>
      <c r="H35" s="493">
        <f t="shared" si="5"/>
        <v>18000</v>
      </c>
      <c r="I35" s="493">
        <f t="shared" si="5"/>
        <v>114958.25</v>
      </c>
      <c r="J35" s="493">
        <f t="shared" si="5"/>
        <v>0</v>
      </c>
      <c r="K35" s="730">
        <f t="shared" si="5"/>
        <v>122</v>
      </c>
    </row>
    <row r="36" spans="1:11" s="734" customFormat="1" ht="19.5" customHeight="1">
      <c r="A36" s="718" t="s">
        <v>821</v>
      </c>
      <c r="B36" s="719" t="s">
        <v>911</v>
      </c>
      <c r="C36" s="715">
        <f>SUM(6D!E325,6D!E326)</f>
        <v>44000</v>
      </c>
      <c r="D36" s="711">
        <f aca="true" t="shared" si="6" ref="D36:D54">SUM(E36,K36)</f>
        <v>44000</v>
      </c>
      <c r="E36" s="715">
        <f>SUM(F36,G36,H36,I36,J36)</f>
        <v>43878</v>
      </c>
      <c r="F36" s="715">
        <v>0</v>
      </c>
      <c r="G36" s="715">
        <v>43878</v>
      </c>
      <c r="H36" s="715">
        <v>0</v>
      </c>
      <c r="I36" s="715">
        <v>0</v>
      </c>
      <c r="J36" s="740">
        <v>0</v>
      </c>
      <c r="K36" s="741">
        <v>122</v>
      </c>
    </row>
    <row r="37" spans="1:11" s="271" customFormat="1" ht="19.5" customHeight="1">
      <c r="A37" s="265" t="s">
        <v>822</v>
      </c>
      <c r="B37" s="543" t="s">
        <v>911</v>
      </c>
      <c r="C37" s="495">
        <f>SUM(6D!F325,6D!F326)</f>
        <v>23122</v>
      </c>
      <c r="D37" s="507">
        <f>SUM(E37,K37)</f>
        <v>14497.39</v>
      </c>
      <c r="E37" s="514">
        <f aca="true" t="shared" si="7" ref="E37:E55">SUM(F37,G37,H37,I37,J37)</f>
        <v>14375.39</v>
      </c>
      <c r="F37" s="495">
        <v>0</v>
      </c>
      <c r="G37" s="495">
        <v>14375.39</v>
      </c>
      <c r="H37" s="495">
        <v>0</v>
      </c>
      <c r="I37" s="495">
        <v>0</v>
      </c>
      <c r="J37" s="534">
        <v>0</v>
      </c>
      <c r="K37" s="733">
        <v>122</v>
      </c>
    </row>
    <row r="38" spans="1:11" s="734" customFormat="1" ht="19.5" customHeight="1">
      <c r="A38" s="717" t="s">
        <v>821</v>
      </c>
      <c r="B38" s="710" t="s">
        <v>915</v>
      </c>
      <c r="C38" s="711">
        <f>SUM(6D!E329)</f>
        <v>46000</v>
      </c>
      <c r="D38" s="711">
        <f t="shared" si="6"/>
        <v>46000</v>
      </c>
      <c r="E38" s="715">
        <f t="shared" si="7"/>
        <v>46000</v>
      </c>
      <c r="F38" s="711">
        <v>0</v>
      </c>
      <c r="G38" s="711">
        <v>46000</v>
      </c>
      <c r="H38" s="711">
        <v>0</v>
      </c>
      <c r="I38" s="711">
        <v>0</v>
      </c>
      <c r="J38" s="731">
        <v>0</v>
      </c>
      <c r="K38" s="732">
        <v>0</v>
      </c>
    </row>
    <row r="39" spans="1:11" s="271" customFormat="1" ht="19.5" customHeight="1">
      <c r="A39" s="265" t="s">
        <v>822</v>
      </c>
      <c r="B39" s="543" t="s">
        <v>915</v>
      </c>
      <c r="C39" s="495">
        <f>SUM(6D!F329)</f>
        <v>46000</v>
      </c>
      <c r="D39" s="507">
        <f t="shared" si="6"/>
        <v>0</v>
      </c>
      <c r="E39" s="514">
        <f t="shared" si="7"/>
        <v>0</v>
      </c>
      <c r="F39" s="495">
        <v>0</v>
      </c>
      <c r="G39" s="495">
        <v>0</v>
      </c>
      <c r="H39" s="495">
        <v>0</v>
      </c>
      <c r="I39" s="495">
        <v>0</v>
      </c>
      <c r="J39" s="534">
        <v>0</v>
      </c>
      <c r="K39" s="733">
        <v>0</v>
      </c>
    </row>
    <row r="40" spans="1:11" s="734" customFormat="1" ht="19.5" customHeight="1">
      <c r="A40" s="718" t="s">
        <v>821</v>
      </c>
      <c r="B40" s="719" t="s">
        <v>916</v>
      </c>
      <c r="C40" s="715">
        <f>SUM(6D!E332)</f>
        <v>11000</v>
      </c>
      <c r="D40" s="715">
        <f t="shared" si="6"/>
        <v>11000</v>
      </c>
      <c r="E40" s="715">
        <f t="shared" si="7"/>
        <v>11000</v>
      </c>
      <c r="F40" s="715">
        <v>0</v>
      </c>
      <c r="G40" s="715">
        <v>11000</v>
      </c>
      <c r="H40" s="715">
        <v>0</v>
      </c>
      <c r="I40" s="715">
        <v>0</v>
      </c>
      <c r="J40" s="740">
        <v>0</v>
      </c>
      <c r="K40" s="741">
        <v>0</v>
      </c>
    </row>
    <row r="41" spans="1:11" s="271" customFormat="1" ht="19.5" customHeight="1">
      <c r="A41" s="265" t="s">
        <v>822</v>
      </c>
      <c r="B41" s="543" t="s">
        <v>916</v>
      </c>
      <c r="C41" s="495">
        <f>SUM(6D!F332)</f>
        <v>11000</v>
      </c>
      <c r="D41" s="507">
        <f t="shared" si="6"/>
        <v>0</v>
      </c>
      <c r="E41" s="514">
        <f t="shared" si="7"/>
        <v>0</v>
      </c>
      <c r="F41" s="495">
        <v>0</v>
      </c>
      <c r="G41" s="495">
        <v>0</v>
      </c>
      <c r="H41" s="495">
        <v>0</v>
      </c>
      <c r="I41" s="495">
        <v>0</v>
      </c>
      <c r="J41" s="534">
        <v>0</v>
      </c>
      <c r="K41" s="733">
        <v>0</v>
      </c>
    </row>
    <row r="42" spans="1:11" s="734" customFormat="1" ht="19.5" customHeight="1">
      <c r="A42" s="717" t="s">
        <v>821</v>
      </c>
      <c r="B42" s="710" t="s">
        <v>918</v>
      </c>
      <c r="C42" s="711">
        <f>SUM(6D!E334)</f>
        <v>356083</v>
      </c>
      <c r="D42" s="711">
        <f t="shared" si="6"/>
        <v>356083</v>
      </c>
      <c r="E42" s="715">
        <f t="shared" si="7"/>
        <v>356083</v>
      </c>
      <c r="F42" s="711">
        <v>323683</v>
      </c>
      <c r="G42" s="711">
        <v>32400</v>
      </c>
      <c r="H42" s="711">
        <v>0</v>
      </c>
      <c r="I42" s="711">
        <v>0</v>
      </c>
      <c r="J42" s="731">
        <v>0</v>
      </c>
      <c r="K42" s="732">
        <v>0</v>
      </c>
    </row>
    <row r="43" spans="1:11" s="271" customFormat="1" ht="19.5" customHeight="1">
      <c r="A43" s="265" t="s">
        <v>822</v>
      </c>
      <c r="B43" s="543" t="s">
        <v>918</v>
      </c>
      <c r="C43" s="495">
        <f>SUM(6D!F334)</f>
        <v>186433</v>
      </c>
      <c r="D43" s="507">
        <f t="shared" si="6"/>
        <v>175352.21</v>
      </c>
      <c r="E43" s="514">
        <f t="shared" si="7"/>
        <v>175352.21</v>
      </c>
      <c r="F43" s="495">
        <v>158381.93</v>
      </c>
      <c r="G43" s="495">
        <v>16970.28</v>
      </c>
      <c r="H43" s="495">
        <v>0</v>
      </c>
      <c r="I43" s="495">
        <v>0</v>
      </c>
      <c r="J43" s="534">
        <v>0</v>
      </c>
      <c r="K43" s="733">
        <v>0</v>
      </c>
    </row>
    <row r="44" spans="1:11" s="734" customFormat="1" ht="19.5" customHeight="1">
      <c r="A44" s="717" t="s">
        <v>821</v>
      </c>
      <c r="B44" s="710" t="s">
        <v>927</v>
      </c>
      <c r="C44" s="711">
        <f>SUM(6D!E337)</f>
        <v>82100</v>
      </c>
      <c r="D44" s="711">
        <f t="shared" si="6"/>
        <v>82100</v>
      </c>
      <c r="E44" s="715">
        <f t="shared" si="7"/>
        <v>82100</v>
      </c>
      <c r="F44" s="711">
        <v>80240</v>
      </c>
      <c r="G44" s="711">
        <v>1860</v>
      </c>
      <c r="H44" s="711">
        <v>0</v>
      </c>
      <c r="I44" s="711">
        <v>0</v>
      </c>
      <c r="J44" s="731">
        <v>0</v>
      </c>
      <c r="K44" s="732">
        <v>0</v>
      </c>
    </row>
    <row r="45" spans="1:11" s="271" customFormat="1" ht="19.5" customHeight="1">
      <c r="A45" s="265" t="s">
        <v>822</v>
      </c>
      <c r="B45" s="543" t="s">
        <v>927</v>
      </c>
      <c r="C45" s="495">
        <f>SUM(6D!F337)</f>
        <v>44361</v>
      </c>
      <c r="D45" s="507">
        <f t="shared" si="6"/>
        <v>34335</v>
      </c>
      <c r="E45" s="514">
        <f t="shared" si="7"/>
        <v>34335</v>
      </c>
      <c r="F45" s="495">
        <v>32475</v>
      </c>
      <c r="G45" s="495">
        <v>1860</v>
      </c>
      <c r="H45" s="495">
        <v>0</v>
      </c>
      <c r="I45" s="495">
        <v>0</v>
      </c>
      <c r="J45" s="534">
        <v>0</v>
      </c>
      <c r="K45" s="733">
        <v>0</v>
      </c>
    </row>
    <row r="46" spans="1:11" s="734" customFormat="1" ht="19.5" customHeight="1">
      <c r="A46" s="717" t="s">
        <v>821</v>
      </c>
      <c r="B46" s="710" t="s">
        <v>937</v>
      </c>
      <c r="C46" s="711">
        <f>SUM(6D!E344)</f>
        <v>19000</v>
      </c>
      <c r="D46" s="711">
        <f t="shared" si="6"/>
        <v>19000</v>
      </c>
      <c r="E46" s="715">
        <f t="shared" si="7"/>
        <v>19000</v>
      </c>
      <c r="F46" s="711">
        <v>8585</v>
      </c>
      <c r="G46" s="711">
        <v>10415</v>
      </c>
      <c r="H46" s="711">
        <v>0</v>
      </c>
      <c r="I46" s="711">
        <v>0</v>
      </c>
      <c r="J46" s="731">
        <v>0</v>
      </c>
      <c r="K46" s="732">
        <v>0</v>
      </c>
    </row>
    <row r="47" spans="1:11" s="271" customFormat="1" ht="19.5" customHeight="1">
      <c r="A47" s="265" t="s">
        <v>822</v>
      </c>
      <c r="B47" s="543" t="s">
        <v>937</v>
      </c>
      <c r="C47" s="495">
        <f>SUM(6D!F344)</f>
        <v>19000</v>
      </c>
      <c r="D47" s="507">
        <f t="shared" si="6"/>
        <v>18997.739999999998</v>
      </c>
      <c r="E47" s="514">
        <f t="shared" si="7"/>
        <v>18997.739999999998</v>
      </c>
      <c r="F47" s="495">
        <v>8584.16</v>
      </c>
      <c r="G47" s="495">
        <v>10413.58</v>
      </c>
      <c r="H47" s="495">
        <v>0</v>
      </c>
      <c r="I47" s="495">
        <v>0</v>
      </c>
      <c r="J47" s="534">
        <v>0</v>
      </c>
      <c r="K47" s="733">
        <v>0</v>
      </c>
    </row>
    <row r="48" spans="1:11" s="734" customFormat="1" ht="19.5" customHeight="1">
      <c r="A48" s="717" t="s">
        <v>821</v>
      </c>
      <c r="B48" s="710" t="s">
        <v>941</v>
      </c>
      <c r="C48" s="711">
        <f>SUM(6D!E348,6D!E349)</f>
        <v>3795084</v>
      </c>
      <c r="D48" s="711">
        <f t="shared" si="6"/>
        <v>3795084</v>
      </c>
      <c r="E48" s="715">
        <f t="shared" si="7"/>
        <v>3795084</v>
      </c>
      <c r="F48" s="711">
        <v>3178675</v>
      </c>
      <c r="G48" s="711">
        <v>436409</v>
      </c>
      <c r="H48" s="711">
        <v>0</v>
      </c>
      <c r="I48" s="711">
        <v>180000</v>
      </c>
      <c r="J48" s="731">
        <v>0</v>
      </c>
      <c r="K48" s="732">
        <v>0</v>
      </c>
    </row>
    <row r="49" spans="1:11" s="271" customFormat="1" ht="19.5" customHeight="1">
      <c r="A49" s="265" t="s">
        <v>822</v>
      </c>
      <c r="B49" s="543" t="s">
        <v>941</v>
      </c>
      <c r="C49" s="495">
        <f>SUM(6D!F348,6D!F349)</f>
        <v>2345634</v>
      </c>
      <c r="D49" s="507">
        <f t="shared" si="6"/>
        <v>1981462.19</v>
      </c>
      <c r="E49" s="514">
        <f t="shared" si="7"/>
        <v>1981462.19</v>
      </c>
      <c r="F49" s="495">
        <v>1549717.07</v>
      </c>
      <c r="G49" s="495">
        <v>316786.87</v>
      </c>
      <c r="H49" s="495">
        <v>0</v>
      </c>
      <c r="I49" s="495">
        <v>114958.25</v>
      </c>
      <c r="J49" s="534">
        <v>0</v>
      </c>
      <c r="K49" s="733">
        <v>0</v>
      </c>
    </row>
    <row r="50" spans="1:11" s="734" customFormat="1" ht="19.5" customHeight="1">
      <c r="A50" s="717" t="s">
        <v>821</v>
      </c>
      <c r="B50" s="710" t="s">
        <v>1153</v>
      </c>
      <c r="C50" s="711">
        <f>SUM(6D!E378)</f>
        <v>827000</v>
      </c>
      <c r="D50" s="711">
        <f t="shared" si="6"/>
        <v>827000</v>
      </c>
      <c r="E50" s="715">
        <f t="shared" si="7"/>
        <v>827000</v>
      </c>
      <c r="F50" s="711">
        <v>827000</v>
      </c>
      <c r="G50" s="711">
        <v>0</v>
      </c>
      <c r="H50" s="711">
        <v>0</v>
      </c>
      <c r="I50" s="711">
        <v>0</v>
      </c>
      <c r="J50" s="731">
        <v>0</v>
      </c>
      <c r="K50" s="732">
        <v>0</v>
      </c>
    </row>
    <row r="51" spans="1:11" s="271" customFormat="1" ht="19.5" customHeight="1">
      <c r="A51" s="265" t="s">
        <v>822</v>
      </c>
      <c r="B51" s="543" t="s">
        <v>1153</v>
      </c>
      <c r="C51" s="495">
        <f>SUM(6D!F378)</f>
        <v>470287</v>
      </c>
      <c r="D51" s="507">
        <f t="shared" si="6"/>
        <v>455052.69</v>
      </c>
      <c r="E51" s="514">
        <f t="shared" si="7"/>
        <v>455052.69</v>
      </c>
      <c r="F51" s="495">
        <v>455052.69</v>
      </c>
      <c r="G51" s="495">
        <v>0</v>
      </c>
      <c r="H51" s="495">
        <v>0</v>
      </c>
      <c r="I51" s="495">
        <v>0</v>
      </c>
      <c r="J51" s="534">
        <v>0</v>
      </c>
      <c r="K51" s="733">
        <v>0</v>
      </c>
    </row>
    <row r="52" spans="1:11" s="734" customFormat="1" ht="19.5" customHeight="1">
      <c r="A52" s="718" t="s">
        <v>821</v>
      </c>
      <c r="B52" s="719" t="s">
        <v>83</v>
      </c>
      <c r="C52" s="715">
        <f>SUM(6D!E389)</f>
        <v>318000</v>
      </c>
      <c r="D52" s="711">
        <f t="shared" si="6"/>
        <v>318000</v>
      </c>
      <c r="E52" s="715">
        <f t="shared" si="7"/>
        <v>318000</v>
      </c>
      <c r="F52" s="715">
        <v>214087</v>
      </c>
      <c r="G52" s="715">
        <v>103913</v>
      </c>
      <c r="H52" s="715">
        <v>0</v>
      </c>
      <c r="I52" s="715">
        <v>0</v>
      </c>
      <c r="J52" s="740">
        <v>0</v>
      </c>
      <c r="K52" s="741">
        <v>0</v>
      </c>
    </row>
    <row r="53" spans="1:11" s="271" customFormat="1" ht="19.5" customHeight="1">
      <c r="A53" s="265" t="s">
        <v>822</v>
      </c>
      <c r="B53" s="543" t="s">
        <v>83</v>
      </c>
      <c r="C53" s="495">
        <f>SUM(6D!F389)</f>
        <v>168000</v>
      </c>
      <c r="D53" s="507">
        <f t="shared" si="6"/>
        <v>150126.22</v>
      </c>
      <c r="E53" s="514">
        <f t="shared" si="7"/>
        <v>150126.22</v>
      </c>
      <c r="F53" s="495">
        <v>106397.84</v>
      </c>
      <c r="G53" s="495">
        <v>43728.38</v>
      </c>
      <c r="H53" s="495">
        <v>0</v>
      </c>
      <c r="I53" s="495">
        <v>0</v>
      </c>
      <c r="J53" s="534">
        <v>0</v>
      </c>
      <c r="K53" s="733">
        <v>0</v>
      </c>
    </row>
    <row r="54" spans="1:11" s="734" customFormat="1" ht="19.5" customHeight="1">
      <c r="A54" s="717" t="s">
        <v>821</v>
      </c>
      <c r="B54" s="710" t="s">
        <v>968</v>
      </c>
      <c r="C54" s="711">
        <f>SUM(6D!E398)</f>
        <v>36000</v>
      </c>
      <c r="D54" s="711">
        <f t="shared" si="6"/>
        <v>36000</v>
      </c>
      <c r="E54" s="715">
        <f t="shared" si="7"/>
        <v>36000</v>
      </c>
      <c r="F54" s="711">
        <v>0</v>
      </c>
      <c r="G54" s="711">
        <v>0</v>
      </c>
      <c r="H54" s="711">
        <v>36000</v>
      </c>
      <c r="I54" s="711">
        <v>0</v>
      </c>
      <c r="J54" s="731">
        <v>0</v>
      </c>
      <c r="K54" s="732">
        <v>0</v>
      </c>
    </row>
    <row r="55" spans="1:11" s="271" customFormat="1" ht="19.5" customHeight="1">
      <c r="A55" s="265" t="s">
        <v>822</v>
      </c>
      <c r="B55" s="543" t="s">
        <v>968</v>
      </c>
      <c r="C55" s="495">
        <f>SUM(6D!F398)</f>
        <v>18000</v>
      </c>
      <c r="D55" s="507">
        <f>SUM(E55,K55)</f>
        <v>18000</v>
      </c>
      <c r="E55" s="514">
        <f t="shared" si="7"/>
        <v>18000</v>
      </c>
      <c r="F55" s="495">
        <v>0</v>
      </c>
      <c r="G55" s="495">
        <v>0</v>
      </c>
      <c r="H55" s="495">
        <v>18000</v>
      </c>
      <c r="I55" s="495">
        <v>0</v>
      </c>
      <c r="J55" s="534">
        <v>0</v>
      </c>
      <c r="K55" s="733">
        <v>0</v>
      </c>
    </row>
    <row r="56" spans="1:11" s="734" customFormat="1" ht="19.5" customHeight="1" hidden="1">
      <c r="A56" s="718" t="s">
        <v>821</v>
      </c>
      <c r="B56" s="719" t="s">
        <v>188</v>
      </c>
      <c r="C56" s="715">
        <f>SUM(6D!E404)</f>
        <v>0</v>
      </c>
      <c r="D56" s="715">
        <f>SUM(E56,K56)</f>
        <v>0</v>
      </c>
      <c r="E56" s="715"/>
      <c r="F56" s="715">
        <v>0</v>
      </c>
      <c r="G56" s="715">
        <v>0</v>
      </c>
      <c r="H56" s="715"/>
      <c r="I56" s="715">
        <v>0</v>
      </c>
      <c r="J56" s="740"/>
      <c r="K56" s="741">
        <v>0</v>
      </c>
    </row>
    <row r="57" spans="1:11" s="271" customFormat="1" ht="19.5" customHeight="1" hidden="1" thickBot="1">
      <c r="A57" s="499" t="s">
        <v>822</v>
      </c>
      <c r="B57" s="720" t="s">
        <v>188</v>
      </c>
      <c r="C57" s="502">
        <f>SUM(6D!F404)</f>
        <v>0</v>
      </c>
      <c r="D57" s="521">
        <f>SUM(E57,K57)</f>
        <v>0</v>
      </c>
      <c r="E57" s="502"/>
      <c r="F57" s="502">
        <v>0</v>
      </c>
      <c r="G57" s="502">
        <v>0</v>
      </c>
      <c r="H57" s="502"/>
      <c r="I57" s="502">
        <v>0</v>
      </c>
      <c r="J57" s="742"/>
      <c r="K57" s="743">
        <v>0</v>
      </c>
    </row>
    <row r="58" spans="1:11" s="745" customFormat="1" ht="19.5" customHeight="1">
      <c r="A58" s="721" t="s">
        <v>168</v>
      </c>
      <c r="B58" s="722" t="s">
        <v>167</v>
      </c>
      <c r="C58" s="723">
        <f aca="true" t="shared" si="8" ref="C58:K58">SUM(C10,C34)</f>
        <v>11861548.629999999</v>
      </c>
      <c r="D58" s="723">
        <f t="shared" si="8"/>
        <v>11861548.629999999</v>
      </c>
      <c r="E58" s="723">
        <f t="shared" si="8"/>
        <v>11861426.629999999</v>
      </c>
      <c r="F58" s="723">
        <f t="shared" si="8"/>
        <v>5339545</v>
      </c>
      <c r="G58" s="723">
        <f t="shared" si="8"/>
        <v>757299.63</v>
      </c>
      <c r="H58" s="723">
        <f t="shared" si="8"/>
        <v>173000</v>
      </c>
      <c r="I58" s="723">
        <f t="shared" si="8"/>
        <v>5591582</v>
      </c>
      <c r="J58" s="723">
        <f t="shared" si="8"/>
        <v>0</v>
      </c>
      <c r="K58" s="744">
        <f t="shared" si="8"/>
        <v>122</v>
      </c>
    </row>
    <row r="59" spans="1:11" s="477" customFormat="1" ht="19.5" customHeight="1" thickBot="1">
      <c r="A59" s="724" t="s">
        <v>169</v>
      </c>
      <c r="B59" s="725" t="s">
        <v>167</v>
      </c>
      <c r="C59" s="726">
        <f aca="true" t="shared" si="9" ref="C59:K59">SUM(C11,C35)</f>
        <v>6602329.63</v>
      </c>
      <c r="D59" s="726">
        <f t="shared" si="9"/>
        <v>5942947.26</v>
      </c>
      <c r="E59" s="726">
        <f t="shared" si="9"/>
        <v>5942825.26</v>
      </c>
      <c r="F59" s="726">
        <f t="shared" si="9"/>
        <v>2574583.8</v>
      </c>
      <c r="G59" s="726">
        <f t="shared" si="9"/>
        <v>444929.87</v>
      </c>
      <c r="H59" s="726">
        <f t="shared" si="9"/>
        <v>87631</v>
      </c>
      <c r="I59" s="726">
        <f t="shared" si="9"/>
        <v>2835680.59</v>
      </c>
      <c r="J59" s="726">
        <f t="shared" si="9"/>
        <v>0</v>
      </c>
      <c r="K59" s="746">
        <f t="shared" si="9"/>
        <v>122</v>
      </c>
    </row>
    <row r="60" spans="1:2" s="271" customFormat="1" ht="12.75">
      <c r="A60" s="278"/>
      <c r="B60" s="278"/>
    </row>
    <row r="61" spans="1:11" s="271" customFormat="1" ht="23.25" customHeight="1" hidden="1">
      <c r="A61" s="278" t="s">
        <v>692</v>
      </c>
      <c r="B61" s="278" t="s">
        <v>691</v>
      </c>
      <c r="C61" s="270">
        <v>6602329.63</v>
      </c>
      <c r="D61" s="270">
        <v>5942947.26</v>
      </c>
      <c r="E61" s="270">
        <f>SUM(F61,G61,H61,I61,J61)</f>
        <v>5942825.26</v>
      </c>
      <c r="F61" s="270">
        <v>2113033.11</v>
      </c>
      <c r="G61" s="270">
        <v>906480.56</v>
      </c>
      <c r="H61" s="270">
        <v>87631</v>
      </c>
      <c r="I61" s="270">
        <v>2835680.59</v>
      </c>
      <c r="J61" s="270">
        <v>0</v>
      </c>
      <c r="K61" s="270">
        <v>122</v>
      </c>
    </row>
    <row r="62" spans="1:11" s="477" customFormat="1" ht="12.75" hidden="1">
      <c r="A62" s="281"/>
      <c r="B62" s="281" t="s">
        <v>785</v>
      </c>
      <c r="C62" s="537">
        <f>C59-C61</f>
        <v>0</v>
      </c>
      <c r="D62" s="537">
        <f aca="true" t="shared" si="10" ref="D62:K62">D59-D61</f>
        <v>0</v>
      </c>
      <c r="E62" s="537">
        <f t="shared" si="10"/>
        <v>0</v>
      </c>
      <c r="F62" s="537">
        <f t="shared" si="10"/>
        <v>461550.68999999994</v>
      </c>
      <c r="G62" s="537">
        <f t="shared" si="10"/>
        <v>-461550.69000000006</v>
      </c>
      <c r="H62" s="537">
        <f t="shared" si="10"/>
        <v>0</v>
      </c>
      <c r="I62" s="537">
        <f t="shared" si="10"/>
        <v>0</v>
      </c>
      <c r="J62" s="537">
        <f t="shared" si="10"/>
        <v>0</v>
      </c>
      <c r="K62" s="537">
        <f t="shared" si="10"/>
        <v>0</v>
      </c>
    </row>
  </sheetData>
  <sheetProtection password="CF93" sheet="1"/>
  <mergeCells count="13">
    <mergeCell ref="A3:K3"/>
    <mergeCell ref="A5:A8"/>
    <mergeCell ref="C5:C8"/>
    <mergeCell ref="D5:D8"/>
    <mergeCell ref="B5:B8"/>
    <mergeCell ref="E5:K5"/>
    <mergeCell ref="E6:E8"/>
    <mergeCell ref="F6:J6"/>
    <mergeCell ref="F7:G7"/>
    <mergeCell ref="K6:K8"/>
    <mergeCell ref="H7:H8"/>
    <mergeCell ref="I7:I8"/>
    <mergeCell ref="J7:J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L28"/>
  <sheetViews>
    <sheetView defaultGridColor="0" view="pageBreakPreview" zoomScaleSheetLayoutView="100" zoomScalePageLayoutView="0" colorId="8" workbookViewId="0" topLeftCell="A1">
      <pane ySplit="9" topLeftCell="A19" activePane="bottomLeft" state="frozen"/>
      <selection pane="topLeft" activeCell="A1" sqref="A1"/>
      <selection pane="bottomLeft" activeCell="A27" sqref="A27:IV28"/>
    </sheetView>
  </sheetViews>
  <sheetFormatPr defaultColWidth="9.00390625" defaultRowHeight="12.75"/>
  <cols>
    <col min="1" max="1" width="12.25390625" style="61" customWidth="1"/>
    <col min="2" max="2" width="9.625" style="61" customWidth="1"/>
    <col min="3" max="4" width="12.125" style="6" customWidth="1"/>
    <col min="5" max="5" width="13.625" style="6" customWidth="1"/>
    <col min="6" max="6" width="13.75390625" style="6" customWidth="1"/>
    <col min="7" max="7" width="12.125" style="6" customWidth="1"/>
    <col min="8" max="8" width="11.125" style="6" customWidth="1"/>
    <col min="9" max="9" width="11.00390625" style="6" customWidth="1"/>
    <col min="10" max="10" width="12.25390625" style="6" customWidth="1"/>
    <col min="11" max="11" width="11.625" style="6" customWidth="1"/>
    <col min="12" max="16384" width="9.125" style="6" customWidth="1"/>
  </cols>
  <sheetData>
    <row r="1" spans="1:12" s="271" customFormat="1" ht="12.75">
      <c r="A1" s="628"/>
      <c r="B1" s="628"/>
      <c r="C1" s="629"/>
      <c r="D1" s="629"/>
      <c r="E1" s="629"/>
      <c r="F1" s="629"/>
      <c r="G1" s="629"/>
      <c r="H1" s="629"/>
      <c r="I1" s="629"/>
      <c r="J1" s="629"/>
      <c r="K1" s="630" t="s">
        <v>278</v>
      </c>
      <c r="L1" s="484"/>
    </row>
    <row r="2" spans="1:11" s="271" customFormat="1" ht="16.5" customHeight="1">
      <c r="A2" s="628"/>
      <c r="B2" s="628"/>
      <c r="C2" s="629"/>
      <c r="D2" s="629"/>
      <c r="E2" s="629"/>
      <c r="F2" s="629"/>
      <c r="G2" s="629"/>
      <c r="H2" s="629"/>
      <c r="I2" s="629"/>
      <c r="J2" s="629"/>
      <c r="K2" s="629"/>
    </row>
    <row r="3" spans="1:11" s="271" customFormat="1" ht="25.5" customHeight="1">
      <c r="A3" s="1436" t="s">
        <v>1165</v>
      </c>
      <c r="B3" s="1436"/>
      <c r="C3" s="1436"/>
      <c r="D3" s="1436"/>
      <c r="E3" s="1436"/>
      <c r="F3" s="1436"/>
      <c r="G3" s="1436"/>
      <c r="H3" s="1436"/>
      <c r="I3" s="1436"/>
      <c r="J3" s="1436"/>
      <c r="K3" s="1436"/>
    </row>
    <row r="4" spans="1:11" s="271" customFormat="1" ht="12" customHeight="1" thickBot="1">
      <c r="A4" s="628"/>
      <c r="B4" s="628"/>
      <c r="C4" s="629"/>
      <c r="D4" s="629"/>
      <c r="E4" s="629"/>
      <c r="F4" s="629"/>
      <c r="G4" s="629"/>
      <c r="H4" s="629"/>
      <c r="I4" s="629"/>
      <c r="J4" s="629"/>
      <c r="K4" s="631" t="s">
        <v>818</v>
      </c>
    </row>
    <row r="5" spans="1:11" s="278" customFormat="1" ht="14.25" customHeight="1">
      <c r="A5" s="1437" t="s">
        <v>820</v>
      </c>
      <c r="B5" s="1442" t="s">
        <v>819</v>
      </c>
      <c r="C5" s="1440" t="s">
        <v>588</v>
      </c>
      <c r="D5" s="1440" t="s">
        <v>1024</v>
      </c>
      <c r="E5" s="1440" t="s">
        <v>1185</v>
      </c>
      <c r="F5" s="1440"/>
      <c r="G5" s="1440"/>
      <c r="H5" s="1440"/>
      <c r="I5" s="1440"/>
      <c r="J5" s="1444"/>
      <c r="K5" s="1445"/>
    </row>
    <row r="6" spans="1:11" s="278" customFormat="1" ht="15.75" customHeight="1">
      <c r="A6" s="1438"/>
      <c r="B6" s="1443"/>
      <c r="C6" s="1435"/>
      <c r="D6" s="1435"/>
      <c r="E6" s="1434" t="s">
        <v>511</v>
      </c>
      <c r="F6" s="1425" t="s">
        <v>24</v>
      </c>
      <c r="G6" s="1426"/>
      <c r="H6" s="1426"/>
      <c r="I6" s="1426"/>
      <c r="J6" s="1427"/>
      <c r="K6" s="1429" t="s">
        <v>589</v>
      </c>
    </row>
    <row r="7" spans="1:11" s="278" customFormat="1" ht="24.75" customHeight="1">
      <c r="A7" s="1439"/>
      <c r="B7" s="1441"/>
      <c r="C7" s="1441"/>
      <c r="D7" s="1428"/>
      <c r="E7" s="1446"/>
      <c r="F7" s="1428" t="s">
        <v>1023</v>
      </c>
      <c r="G7" s="1428"/>
      <c r="H7" s="1428" t="s">
        <v>1020</v>
      </c>
      <c r="I7" s="1432" t="s">
        <v>1021</v>
      </c>
      <c r="J7" s="1434" t="s">
        <v>1022</v>
      </c>
      <c r="K7" s="1430"/>
    </row>
    <row r="8" spans="1:11" s="278" customFormat="1" ht="63" customHeight="1">
      <c r="A8" s="1439"/>
      <c r="B8" s="1441"/>
      <c r="C8" s="1441"/>
      <c r="D8" s="1428"/>
      <c r="E8" s="1435"/>
      <c r="F8" s="632" t="s">
        <v>1018</v>
      </c>
      <c r="G8" s="632" t="s">
        <v>1019</v>
      </c>
      <c r="H8" s="1428"/>
      <c r="I8" s="1433"/>
      <c r="J8" s="1435"/>
      <c r="K8" s="1431"/>
    </row>
    <row r="9" spans="1:11" s="271" customFormat="1" ht="14.25" customHeight="1">
      <c r="A9" s="265">
        <v>1</v>
      </c>
      <c r="B9" s="267">
        <v>2</v>
      </c>
      <c r="C9" s="267">
        <v>3</v>
      </c>
      <c r="D9" s="267">
        <v>4</v>
      </c>
      <c r="E9" s="267">
        <v>5</v>
      </c>
      <c r="F9" s="267">
        <v>6</v>
      </c>
      <c r="G9" s="267">
        <v>7</v>
      </c>
      <c r="H9" s="267">
        <v>8</v>
      </c>
      <c r="I9" s="267">
        <v>9</v>
      </c>
      <c r="J9" s="267">
        <v>10</v>
      </c>
      <c r="K9" s="749">
        <v>11</v>
      </c>
    </row>
    <row r="10" spans="1:11" s="734" customFormat="1" ht="19.5" customHeight="1">
      <c r="A10" s="548" t="s">
        <v>821</v>
      </c>
      <c r="B10" s="549" t="s">
        <v>170</v>
      </c>
      <c r="C10" s="708">
        <f>SUM(C12,C14)</f>
        <v>41000</v>
      </c>
      <c r="D10" s="708">
        <f aca="true" t="shared" si="0" ref="D10:K10">SUM(D12,D14)</f>
        <v>41000</v>
      </c>
      <c r="E10" s="708">
        <f t="shared" si="0"/>
        <v>41000</v>
      </c>
      <c r="F10" s="708">
        <f t="shared" si="0"/>
        <v>3950</v>
      </c>
      <c r="G10" s="708">
        <f t="shared" si="0"/>
        <v>37050</v>
      </c>
      <c r="H10" s="708">
        <f t="shared" si="0"/>
        <v>0</v>
      </c>
      <c r="I10" s="708">
        <f t="shared" si="0"/>
        <v>0</v>
      </c>
      <c r="J10" s="708">
        <f t="shared" si="0"/>
        <v>0</v>
      </c>
      <c r="K10" s="729">
        <f t="shared" si="0"/>
        <v>0</v>
      </c>
    </row>
    <row r="11" spans="1:11" s="271" customFormat="1" ht="19.5" customHeight="1">
      <c r="A11" s="716" t="s">
        <v>822</v>
      </c>
      <c r="B11" s="709" t="s">
        <v>170</v>
      </c>
      <c r="C11" s="493">
        <f>SUM(C13,C15)</f>
        <v>35000</v>
      </c>
      <c r="D11" s="493">
        <f aca="true" t="shared" si="1" ref="D11:K11">SUM(D13,D15)</f>
        <v>0</v>
      </c>
      <c r="E11" s="493">
        <f t="shared" si="1"/>
        <v>0</v>
      </c>
      <c r="F11" s="493">
        <f t="shared" si="1"/>
        <v>0</v>
      </c>
      <c r="G11" s="493">
        <f t="shared" si="1"/>
        <v>0</v>
      </c>
      <c r="H11" s="493">
        <f t="shared" si="1"/>
        <v>0</v>
      </c>
      <c r="I11" s="493">
        <f t="shared" si="1"/>
        <v>0</v>
      </c>
      <c r="J11" s="493">
        <f t="shared" si="1"/>
        <v>0</v>
      </c>
      <c r="K11" s="730">
        <f t="shared" si="1"/>
        <v>0</v>
      </c>
    </row>
    <row r="12" spans="1:11" s="734" customFormat="1" ht="19.5" customHeight="1">
      <c r="A12" s="717" t="s">
        <v>821</v>
      </c>
      <c r="B12" s="712">
        <v>70005</v>
      </c>
      <c r="C12" s="748">
        <f>SUM(6D!E65)</f>
        <v>35000</v>
      </c>
      <c r="D12" s="711">
        <f>SUM(E12,K12)</f>
        <v>35000</v>
      </c>
      <c r="E12" s="711">
        <f>SUM(F12,G12,H12,I12,J12)</f>
        <v>35000</v>
      </c>
      <c r="F12" s="711">
        <v>0</v>
      </c>
      <c r="G12" s="711">
        <v>35000</v>
      </c>
      <c r="H12" s="711">
        <v>0</v>
      </c>
      <c r="I12" s="711">
        <v>0</v>
      </c>
      <c r="J12" s="731">
        <v>0</v>
      </c>
      <c r="K12" s="732">
        <v>0</v>
      </c>
    </row>
    <row r="13" spans="1:11" s="271" customFormat="1" ht="19.5" customHeight="1">
      <c r="A13" s="265" t="s">
        <v>822</v>
      </c>
      <c r="B13" s="267">
        <v>70005</v>
      </c>
      <c r="C13" s="268">
        <f>SUM(6D!F65)</f>
        <v>35000</v>
      </c>
      <c r="D13" s="507">
        <f>SUM(E13,K13)</f>
        <v>0</v>
      </c>
      <c r="E13" s="507">
        <f>SUM(F13,G13,H13,I13,J13)</f>
        <v>0</v>
      </c>
      <c r="F13" s="495">
        <v>0</v>
      </c>
      <c r="G13" s="495">
        <v>0</v>
      </c>
      <c r="H13" s="495">
        <v>0</v>
      </c>
      <c r="I13" s="495">
        <v>0</v>
      </c>
      <c r="J13" s="534">
        <v>0</v>
      </c>
      <c r="K13" s="733">
        <v>0</v>
      </c>
    </row>
    <row r="14" spans="1:11" s="734" customFormat="1" ht="19.5" customHeight="1">
      <c r="A14" s="717" t="s">
        <v>821</v>
      </c>
      <c r="B14" s="712">
        <v>85295</v>
      </c>
      <c r="C14" s="711">
        <f>SUM(6D!E244)</f>
        <v>6000</v>
      </c>
      <c r="D14" s="711">
        <f>SUM(E14,K14)</f>
        <v>6000</v>
      </c>
      <c r="E14" s="711">
        <f>SUM(F14,G14,H14,I14,J14)</f>
        <v>6000</v>
      </c>
      <c r="F14" s="711">
        <v>3950</v>
      </c>
      <c r="G14" s="711">
        <v>2050</v>
      </c>
      <c r="H14" s="711">
        <v>0</v>
      </c>
      <c r="I14" s="711">
        <v>0</v>
      </c>
      <c r="J14" s="731">
        <v>0</v>
      </c>
      <c r="K14" s="732">
        <v>0</v>
      </c>
    </row>
    <row r="15" spans="1:11" s="738" customFormat="1" ht="19.5" customHeight="1">
      <c r="A15" s="265" t="s">
        <v>822</v>
      </c>
      <c r="B15" s="515">
        <v>85295</v>
      </c>
      <c r="C15" s="507">
        <f>SUM(6D!F244)</f>
        <v>0</v>
      </c>
      <c r="D15" s="507">
        <f>SUM(E15,K15)</f>
        <v>0</v>
      </c>
      <c r="E15" s="507">
        <f>SUM(F15,G15,H15,I15,J15)</f>
        <v>0</v>
      </c>
      <c r="F15" s="735">
        <v>0</v>
      </c>
      <c r="G15" s="735">
        <v>0</v>
      </c>
      <c r="H15" s="735">
        <v>0</v>
      </c>
      <c r="I15" s="735">
        <v>0</v>
      </c>
      <c r="J15" s="736">
        <v>0</v>
      </c>
      <c r="K15" s="737">
        <v>0</v>
      </c>
    </row>
    <row r="16" spans="1:11" s="734" customFormat="1" ht="19.5" customHeight="1">
      <c r="A16" s="548" t="s">
        <v>821</v>
      </c>
      <c r="B16" s="549" t="s">
        <v>171</v>
      </c>
      <c r="C16" s="708">
        <f>SUM(C18,C20)</f>
        <v>39400</v>
      </c>
      <c r="D16" s="708">
        <f aca="true" t="shared" si="2" ref="D16:K16">SUM(D18,D20)</f>
        <v>39400</v>
      </c>
      <c r="E16" s="708">
        <f t="shared" si="2"/>
        <v>39400</v>
      </c>
      <c r="F16" s="708">
        <f t="shared" si="2"/>
        <v>6000</v>
      </c>
      <c r="G16" s="708">
        <f t="shared" si="2"/>
        <v>33400</v>
      </c>
      <c r="H16" s="708">
        <f t="shared" si="2"/>
        <v>0</v>
      </c>
      <c r="I16" s="708">
        <f t="shared" si="2"/>
        <v>0</v>
      </c>
      <c r="J16" s="708">
        <f t="shared" si="2"/>
        <v>0</v>
      </c>
      <c r="K16" s="729">
        <f t="shared" si="2"/>
        <v>0</v>
      </c>
    </row>
    <row r="17" spans="1:11" s="271" customFormat="1" ht="19.5" customHeight="1">
      <c r="A17" s="716" t="s">
        <v>822</v>
      </c>
      <c r="B17" s="709" t="s">
        <v>171</v>
      </c>
      <c r="C17" s="493">
        <f>SUM(C19,C21)</f>
        <v>1750</v>
      </c>
      <c r="D17" s="493">
        <f aca="true" t="shared" si="3" ref="D17:K17">SUM(D19,D21)</f>
        <v>1750</v>
      </c>
      <c r="E17" s="493">
        <f t="shared" si="3"/>
        <v>1750</v>
      </c>
      <c r="F17" s="493">
        <f t="shared" si="3"/>
        <v>0</v>
      </c>
      <c r="G17" s="493">
        <f t="shared" si="3"/>
        <v>1750</v>
      </c>
      <c r="H17" s="493">
        <f t="shared" si="3"/>
        <v>0</v>
      </c>
      <c r="I17" s="493">
        <f t="shared" si="3"/>
        <v>0</v>
      </c>
      <c r="J17" s="493">
        <f t="shared" si="3"/>
        <v>0</v>
      </c>
      <c r="K17" s="730">
        <f t="shared" si="3"/>
        <v>0</v>
      </c>
    </row>
    <row r="18" spans="1:11" s="734" customFormat="1" ht="19.5" customHeight="1">
      <c r="A18" s="717" t="s">
        <v>821</v>
      </c>
      <c r="B18" s="712">
        <v>75045</v>
      </c>
      <c r="C18" s="711">
        <f>SUM(6D!E345)</f>
        <v>3000</v>
      </c>
      <c r="D18" s="715">
        <f aca="true" t="shared" si="4" ref="D18:D23">SUM(E18,K18)</f>
        <v>3000</v>
      </c>
      <c r="E18" s="711">
        <f>SUM(F18,G18,H18,I18,J18)</f>
        <v>3000</v>
      </c>
      <c r="F18" s="715">
        <v>0</v>
      </c>
      <c r="G18" s="715">
        <v>3000</v>
      </c>
      <c r="H18" s="715">
        <v>0</v>
      </c>
      <c r="I18" s="715">
        <v>0</v>
      </c>
      <c r="J18" s="740">
        <v>0</v>
      </c>
      <c r="K18" s="741">
        <v>0</v>
      </c>
    </row>
    <row r="19" spans="1:11" s="271" customFormat="1" ht="19.5" customHeight="1">
      <c r="A19" s="265" t="s">
        <v>822</v>
      </c>
      <c r="B19" s="267">
        <v>75045</v>
      </c>
      <c r="C19" s="735">
        <f>SUM(6D!F345)</f>
        <v>1750</v>
      </c>
      <c r="D19" s="495">
        <f t="shared" si="4"/>
        <v>1750</v>
      </c>
      <c r="E19" s="507">
        <f>SUM(F19,G19,H19,I19,J19)</f>
        <v>1750</v>
      </c>
      <c r="F19" s="495">
        <v>0</v>
      </c>
      <c r="G19" s="495">
        <v>1750</v>
      </c>
      <c r="H19" s="495">
        <v>0</v>
      </c>
      <c r="I19" s="495">
        <v>0</v>
      </c>
      <c r="J19" s="534">
        <v>0</v>
      </c>
      <c r="K19" s="733">
        <v>0</v>
      </c>
    </row>
    <row r="20" spans="1:11" s="734" customFormat="1" ht="19.5" customHeight="1">
      <c r="A20" s="718" t="s">
        <v>821</v>
      </c>
      <c r="B20" s="719" t="s">
        <v>120</v>
      </c>
      <c r="C20" s="715">
        <f>SUM(6D!E395)</f>
        <v>36400</v>
      </c>
      <c r="D20" s="715">
        <f t="shared" si="4"/>
        <v>36400</v>
      </c>
      <c r="E20" s="711">
        <f>SUM(F20,G20,H20,I20,J20)</f>
        <v>36400</v>
      </c>
      <c r="F20" s="715">
        <v>6000</v>
      </c>
      <c r="G20" s="715">
        <v>30400</v>
      </c>
      <c r="H20" s="715">
        <v>0</v>
      </c>
      <c r="I20" s="715">
        <v>0</v>
      </c>
      <c r="J20" s="740">
        <v>0</v>
      </c>
      <c r="K20" s="741">
        <v>0</v>
      </c>
    </row>
    <row r="21" spans="1:11" s="271" customFormat="1" ht="19.5" customHeight="1" thickBot="1">
      <c r="A21" s="499" t="s">
        <v>822</v>
      </c>
      <c r="B21" s="720" t="s">
        <v>120</v>
      </c>
      <c r="C21" s="502">
        <f>SUM(6D!F395)</f>
        <v>0</v>
      </c>
      <c r="D21" s="502">
        <f t="shared" si="4"/>
        <v>0</v>
      </c>
      <c r="E21" s="521">
        <f>SUM(F21,G21,H21,I21,J21)</f>
        <v>0</v>
      </c>
      <c r="F21" s="502">
        <v>0</v>
      </c>
      <c r="G21" s="502">
        <v>0</v>
      </c>
      <c r="H21" s="502">
        <v>0</v>
      </c>
      <c r="I21" s="502">
        <v>0</v>
      </c>
      <c r="J21" s="742">
        <v>0</v>
      </c>
      <c r="K21" s="743">
        <v>0</v>
      </c>
    </row>
    <row r="22" spans="1:11" s="734" customFormat="1" ht="19.5" customHeight="1" hidden="1">
      <c r="A22" s="718" t="s">
        <v>821</v>
      </c>
      <c r="B22" s="719" t="s">
        <v>188</v>
      </c>
      <c r="C22" s="715">
        <f>SUM(6D!E404)</f>
        <v>0</v>
      </c>
      <c r="D22" s="715">
        <f t="shared" si="4"/>
        <v>0</v>
      </c>
      <c r="E22" s="715"/>
      <c r="F22" s="715">
        <v>0</v>
      </c>
      <c r="G22" s="715">
        <v>0</v>
      </c>
      <c r="H22" s="715"/>
      <c r="I22" s="715">
        <v>0</v>
      </c>
      <c r="J22" s="740"/>
      <c r="K22" s="741">
        <v>0</v>
      </c>
    </row>
    <row r="23" spans="1:11" s="271" customFormat="1" ht="19.5" customHeight="1" hidden="1" thickBot="1">
      <c r="A23" s="499" t="s">
        <v>822</v>
      </c>
      <c r="B23" s="720" t="s">
        <v>188</v>
      </c>
      <c r="C23" s="502">
        <f>SUM(6D!F404)</f>
        <v>0</v>
      </c>
      <c r="D23" s="521">
        <f t="shared" si="4"/>
        <v>0</v>
      </c>
      <c r="E23" s="502"/>
      <c r="F23" s="502">
        <v>0</v>
      </c>
      <c r="G23" s="502">
        <v>0</v>
      </c>
      <c r="H23" s="502"/>
      <c r="I23" s="502">
        <v>0</v>
      </c>
      <c r="J23" s="742"/>
      <c r="K23" s="743">
        <v>0</v>
      </c>
    </row>
    <row r="24" spans="1:11" s="745" customFormat="1" ht="19.5" customHeight="1" thickTop="1">
      <c r="A24" s="721" t="s">
        <v>168</v>
      </c>
      <c r="B24" s="722" t="s">
        <v>167</v>
      </c>
      <c r="C24" s="723">
        <f aca="true" t="shared" si="5" ref="C24:K24">SUM(C10,C16)</f>
        <v>80400</v>
      </c>
      <c r="D24" s="723">
        <f t="shared" si="5"/>
        <v>80400</v>
      </c>
      <c r="E24" s="723">
        <f t="shared" si="5"/>
        <v>80400</v>
      </c>
      <c r="F24" s="723">
        <f t="shared" si="5"/>
        <v>9950</v>
      </c>
      <c r="G24" s="723">
        <f t="shared" si="5"/>
        <v>70450</v>
      </c>
      <c r="H24" s="723">
        <f t="shared" si="5"/>
        <v>0</v>
      </c>
      <c r="I24" s="723">
        <f t="shared" si="5"/>
        <v>0</v>
      </c>
      <c r="J24" s="723">
        <f t="shared" si="5"/>
        <v>0</v>
      </c>
      <c r="K24" s="744">
        <f t="shared" si="5"/>
        <v>0</v>
      </c>
    </row>
    <row r="25" spans="1:11" s="477" customFormat="1" ht="19.5" customHeight="1" thickBot="1">
      <c r="A25" s="724" t="s">
        <v>169</v>
      </c>
      <c r="B25" s="725" t="s">
        <v>167</v>
      </c>
      <c r="C25" s="726">
        <f aca="true" t="shared" si="6" ref="C25:K25">SUM(C11,C17)</f>
        <v>36750</v>
      </c>
      <c r="D25" s="726">
        <f t="shared" si="6"/>
        <v>1750</v>
      </c>
      <c r="E25" s="726">
        <f t="shared" si="6"/>
        <v>1750</v>
      </c>
      <c r="F25" s="726">
        <f t="shared" si="6"/>
        <v>0</v>
      </c>
      <c r="G25" s="726">
        <f t="shared" si="6"/>
        <v>1750</v>
      </c>
      <c r="H25" s="726">
        <f t="shared" si="6"/>
        <v>0</v>
      </c>
      <c r="I25" s="726">
        <f t="shared" si="6"/>
        <v>0</v>
      </c>
      <c r="J25" s="726">
        <f t="shared" si="6"/>
        <v>0</v>
      </c>
      <c r="K25" s="746">
        <f t="shared" si="6"/>
        <v>0</v>
      </c>
    </row>
    <row r="26" spans="1:2" s="271" customFormat="1" ht="12.75">
      <c r="A26" s="278"/>
      <c r="B26" s="278"/>
    </row>
    <row r="27" spans="1:11" s="271" customFormat="1" ht="23.25" customHeight="1" hidden="1">
      <c r="A27" s="278" t="s">
        <v>692</v>
      </c>
      <c r="B27" s="278" t="s">
        <v>512</v>
      </c>
      <c r="C27" s="270">
        <v>36750</v>
      </c>
      <c r="D27" s="270">
        <v>1750</v>
      </c>
      <c r="E27" s="270">
        <v>1750</v>
      </c>
      <c r="F27" s="270">
        <v>0</v>
      </c>
      <c r="G27" s="270">
        <v>1750</v>
      </c>
      <c r="H27" s="270">
        <v>0</v>
      </c>
      <c r="I27" s="270">
        <v>0</v>
      </c>
      <c r="J27" s="270">
        <v>0</v>
      </c>
      <c r="K27" s="270">
        <v>0</v>
      </c>
    </row>
    <row r="28" spans="1:11" s="477" customFormat="1" ht="12.75" hidden="1">
      <c r="A28" s="281"/>
      <c r="B28" s="281" t="s">
        <v>785</v>
      </c>
      <c r="C28" s="537">
        <f aca="true" t="shared" si="7" ref="C28:K28">C25-C27</f>
        <v>0</v>
      </c>
      <c r="D28" s="537">
        <f t="shared" si="7"/>
        <v>0</v>
      </c>
      <c r="E28" s="537">
        <f t="shared" si="7"/>
        <v>0</v>
      </c>
      <c r="F28" s="537">
        <f t="shared" si="7"/>
        <v>0</v>
      </c>
      <c r="G28" s="537">
        <f t="shared" si="7"/>
        <v>0</v>
      </c>
      <c r="H28" s="537">
        <f t="shared" si="7"/>
        <v>0</v>
      </c>
      <c r="I28" s="537">
        <f t="shared" si="7"/>
        <v>0</v>
      </c>
      <c r="J28" s="537">
        <f t="shared" si="7"/>
        <v>0</v>
      </c>
      <c r="K28" s="537">
        <f t="shared" si="7"/>
        <v>0</v>
      </c>
    </row>
  </sheetData>
  <sheetProtection password="CF93" sheet="1"/>
  <mergeCells count="13">
    <mergeCell ref="H7:H8"/>
    <mergeCell ref="I7:I8"/>
    <mergeCell ref="J7:J8"/>
    <mergeCell ref="A3:K3"/>
    <mergeCell ref="A5:A8"/>
    <mergeCell ref="C5:C8"/>
    <mergeCell ref="D5:D8"/>
    <mergeCell ref="B5:B8"/>
    <mergeCell ref="E5:K5"/>
    <mergeCell ref="E6:E8"/>
    <mergeCell ref="F6:J6"/>
    <mergeCell ref="F7:G7"/>
    <mergeCell ref="K6:K8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</sheetPr>
  <dimension ref="A1:K18"/>
  <sheetViews>
    <sheetView defaultGridColor="0" view="pageBreakPreview" zoomScaleSheetLayoutView="100" zoomScalePageLayoutView="0" colorId="8" workbookViewId="0" topLeftCell="A1">
      <selection activeCell="H20" sqref="H20"/>
    </sheetView>
  </sheetViews>
  <sheetFormatPr defaultColWidth="9.00390625" defaultRowHeight="12.75"/>
  <cols>
    <col min="1" max="1" width="13.00390625" style="278" customWidth="1"/>
    <col min="2" max="2" width="11.25390625" style="278" customWidth="1"/>
    <col min="3" max="3" width="11.125" style="271" customWidth="1"/>
    <col min="4" max="4" width="12.625" style="271" customWidth="1"/>
    <col min="5" max="5" width="12.00390625" style="271" customWidth="1"/>
    <col min="6" max="6" width="13.75390625" style="271" customWidth="1"/>
    <col min="7" max="7" width="12.625" style="271" customWidth="1"/>
    <col min="8" max="8" width="11.25390625" style="271" customWidth="1"/>
    <col min="9" max="9" width="11.875" style="271" customWidth="1"/>
    <col min="10" max="10" width="10.125" style="271" customWidth="1"/>
    <col min="11" max="11" width="10.75390625" style="271" customWidth="1"/>
    <col min="12" max="16384" width="9.125" style="271" customWidth="1"/>
  </cols>
  <sheetData>
    <row r="1" spans="1:11" ht="12.75">
      <c r="A1" s="628"/>
      <c r="B1" s="628"/>
      <c r="C1" s="629"/>
      <c r="D1" s="629"/>
      <c r="E1" s="629"/>
      <c r="F1" s="629"/>
      <c r="G1" s="629"/>
      <c r="H1" s="629"/>
      <c r="I1" s="630"/>
      <c r="J1" s="630"/>
      <c r="K1" s="630" t="s">
        <v>513</v>
      </c>
    </row>
    <row r="2" spans="1:9" ht="21" customHeight="1">
      <c r="A2" s="628"/>
      <c r="B2" s="628"/>
      <c r="C2" s="629"/>
      <c r="D2" s="629"/>
      <c r="E2" s="629"/>
      <c r="F2" s="629"/>
      <c r="G2" s="629"/>
      <c r="H2" s="629"/>
      <c r="I2" s="629"/>
    </row>
    <row r="3" spans="1:11" ht="25.5" customHeight="1">
      <c r="A3" s="1436" t="s">
        <v>1166</v>
      </c>
      <c r="B3" s="1436"/>
      <c r="C3" s="1436"/>
      <c r="D3" s="1436"/>
      <c r="E3" s="1436"/>
      <c r="F3" s="1436"/>
      <c r="G3" s="1436"/>
      <c r="H3" s="1436"/>
      <c r="I3" s="1436"/>
      <c r="J3" s="1436"/>
      <c r="K3" s="1436"/>
    </row>
    <row r="4" spans="1:11" ht="24" customHeight="1" thickBot="1">
      <c r="A4" s="628"/>
      <c r="B4" s="628"/>
      <c r="C4" s="629"/>
      <c r="D4" s="629"/>
      <c r="E4" s="629"/>
      <c r="F4" s="629"/>
      <c r="G4" s="629"/>
      <c r="H4" s="629"/>
      <c r="I4" s="631"/>
      <c r="J4" s="631"/>
      <c r="K4" s="631" t="s">
        <v>818</v>
      </c>
    </row>
    <row r="5" spans="1:11" s="278" customFormat="1" ht="17.25" customHeight="1">
      <c r="A5" s="1437" t="s">
        <v>820</v>
      </c>
      <c r="B5" s="1442" t="s">
        <v>819</v>
      </c>
      <c r="C5" s="1440" t="s">
        <v>588</v>
      </c>
      <c r="D5" s="1440" t="s">
        <v>1024</v>
      </c>
      <c r="E5" s="1440" t="s">
        <v>1185</v>
      </c>
      <c r="F5" s="1440"/>
      <c r="G5" s="1440"/>
      <c r="H5" s="1440"/>
      <c r="I5" s="1440"/>
      <c r="J5" s="1444"/>
      <c r="K5" s="1445"/>
    </row>
    <row r="6" spans="1:11" s="278" customFormat="1" ht="17.25" customHeight="1">
      <c r="A6" s="1438"/>
      <c r="B6" s="1443"/>
      <c r="C6" s="1435"/>
      <c r="D6" s="1435"/>
      <c r="E6" s="1434" t="s">
        <v>511</v>
      </c>
      <c r="F6" s="1425" t="s">
        <v>24</v>
      </c>
      <c r="G6" s="1426"/>
      <c r="H6" s="1426"/>
      <c r="I6" s="1426"/>
      <c r="J6" s="1427"/>
      <c r="K6" s="1429" t="s">
        <v>589</v>
      </c>
    </row>
    <row r="7" spans="1:11" s="278" customFormat="1" ht="16.5" customHeight="1">
      <c r="A7" s="1439"/>
      <c r="B7" s="1441"/>
      <c r="C7" s="1441"/>
      <c r="D7" s="1428"/>
      <c r="E7" s="1446"/>
      <c r="F7" s="1428" t="s">
        <v>1023</v>
      </c>
      <c r="G7" s="1428"/>
      <c r="H7" s="1428" t="s">
        <v>1020</v>
      </c>
      <c r="I7" s="1432" t="s">
        <v>1021</v>
      </c>
      <c r="J7" s="1434" t="s">
        <v>1022</v>
      </c>
      <c r="K7" s="1430"/>
    </row>
    <row r="8" spans="1:11" s="278" customFormat="1" ht="72" customHeight="1">
      <c r="A8" s="1439"/>
      <c r="B8" s="1441"/>
      <c r="C8" s="1441"/>
      <c r="D8" s="1428"/>
      <c r="E8" s="1435"/>
      <c r="F8" s="632" t="s">
        <v>1018</v>
      </c>
      <c r="G8" s="632" t="s">
        <v>1019</v>
      </c>
      <c r="H8" s="1428"/>
      <c r="I8" s="1433"/>
      <c r="J8" s="1435"/>
      <c r="K8" s="1431"/>
    </row>
    <row r="9" spans="1:11" ht="14.25" customHeight="1">
      <c r="A9" s="265">
        <v>1</v>
      </c>
      <c r="B9" s="267">
        <v>2</v>
      </c>
      <c r="C9" s="267">
        <v>3</v>
      </c>
      <c r="D9" s="267">
        <v>4</v>
      </c>
      <c r="E9" s="267">
        <v>5</v>
      </c>
      <c r="F9" s="267">
        <v>6</v>
      </c>
      <c r="G9" s="267">
        <v>7</v>
      </c>
      <c r="H9" s="267">
        <v>8</v>
      </c>
      <c r="I9" s="267">
        <v>9</v>
      </c>
      <c r="J9" s="267">
        <v>10</v>
      </c>
      <c r="K9" s="749">
        <v>11</v>
      </c>
    </row>
    <row r="10" spans="1:11" s="472" customFormat="1" ht="19.5" customHeight="1">
      <c r="A10" s="1447" t="s">
        <v>780</v>
      </c>
      <c r="B10" s="1448"/>
      <c r="C10" s="1448"/>
      <c r="D10" s="1448"/>
      <c r="E10" s="1448"/>
      <c r="F10" s="1448"/>
      <c r="G10" s="1448"/>
      <c r="H10" s="1448"/>
      <c r="I10" s="1448"/>
      <c r="J10" s="516"/>
      <c r="K10" s="750"/>
    </row>
    <row r="11" spans="1:11" s="734" customFormat="1" ht="19.5" customHeight="1">
      <c r="A11" s="717" t="s">
        <v>821</v>
      </c>
      <c r="B11" s="712">
        <v>85204</v>
      </c>
      <c r="C11" s="711">
        <f>SUM(6D!E387)</f>
        <v>74637</v>
      </c>
      <c r="D11" s="711">
        <f>SUM(E11,K11)</f>
        <v>74637</v>
      </c>
      <c r="E11" s="711">
        <f>SUM(F11,G11,H11,I11,J11)</f>
        <v>74637</v>
      </c>
      <c r="F11" s="711">
        <v>0</v>
      </c>
      <c r="G11" s="711">
        <v>0</v>
      </c>
      <c r="H11" s="711">
        <v>0</v>
      </c>
      <c r="I11" s="711">
        <v>74637</v>
      </c>
      <c r="J11" s="711">
        <v>0</v>
      </c>
      <c r="K11" s="732">
        <v>0</v>
      </c>
    </row>
    <row r="12" spans="1:11" s="472" customFormat="1" ht="19.5" customHeight="1">
      <c r="A12" s="265" t="s">
        <v>822</v>
      </c>
      <c r="B12" s="515">
        <v>85204</v>
      </c>
      <c r="C12" s="507">
        <f>SUM(6D!F387)</f>
        <v>28198.06</v>
      </c>
      <c r="D12" s="507">
        <f>SUM(E12,K12)</f>
        <v>28329.77</v>
      </c>
      <c r="E12" s="507">
        <f>SUM(F12,G12,H12,I12,J12)</f>
        <v>28329.77</v>
      </c>
      <c r="F12" s="507">
        <v>0</v>
      </c>
      <c r="G12" s="507">
        <v>0</v>
      </c>
      <c r="H12" s="507">
        <v>0</v>
      </c>
      <c r="I12" s="507">
        <v>28329.77</v>
      </c>
      <c r="J12" s="507">
        <v>0</v>
      </c>
      <c r="K12" s="739">
        <v>0</v>
      </c>
    </row>
    <row r="13" spans="1:11" s="745" customFormat="1" ht="19.5" customHeight="1">
      <c r="A13" s="548" t="s">
        <v>168</v>
      </c>
      <c r="B13" s="632" t="s">
        <v>167</v>
      </c>
      <c r="C13" s="708">
        <f>SUM(C11)</f>
        <v>74637</v>
      </c>
      <c r="D13" s="708">
        <f>SUM(E13,K13)</f>
        <v>74637</v>
      </c>
      <c r="E13" s="708">
        <f>SUM(F13,G13,H13,I13,J13)</f>
        <v>74637</v>
      </c>
      <c r="F13" s="708">
        <f aca="true" t="shared" si="0" ref="F13:K13">SUM(F11)</f>
        <v>0</v>
      </c>
      <c r="G13" s="708">
        <f t="shared" si="0"/>
        <v>0</v>
      </c>
      <c r="H13" s="708">
        <f t="shared" si="0"/>
        <v>0</v>
      </c>
      <c r="I13" s="708">
        <f t="shared" si="0"/>
        <v>74637</v>
      </c>
      <c r="J13" s="708">
        <f t="shared" si="0"/>
        <v>0</v>
      </c>
      <c r="K13" s="729">
        <f t="shared" si="0"/>
        <v>0</v>
      </c>
    </row>
    <row r="14" spans="1:11" s="477" customFormat="1" ht="19.5" customHeight="1" thickBot="1">
      <c r="A14" s="724" t="s">
        <v>169</v>
      </c>
      <c r="B14" s="725" t="s">
        <v>167</v>
      </c>
      <c r="C14" s="726">
        <f>SUM(C12)</f>
        <v>28198.06</v>
      </c>
      <c r="D14" s="751">
        <f>SUM(E14,K14)</f>
        <v>28329.77</v>
      </c>
      <c r="E14" s="751">
        <f>SUM(F14,G14,H14,I14,J14)</f>
        <v>28329.77</v>
      </c>
      <c r="F14" s="726">
        <f aca="true" t="shared" si="1" ref="F14:K14">SUM(F12)</f>
        <v>0</v>
      </c>
      <c r="G14" s="726">
        <f t="shared" si="1"/>
        <v>0</v>
      </c>
      <c r="H14" s="726">
        <f t="shared" si="1"/>
        <v>0</v>
      </c>
      <c r="I14" s="726">
        <f t="shared" si="1"/>
        <v>28329.77</v>
      </c>
      <c r="J14" s="726">
        <f t="shared" si="1"/>
        <v>0</v>
      </c>
      <c r="K14" s="746">
        <f t="shared" si="1"/>
        <v>0</v>
      </c>
    </row>
    <row r="16" spans="3:4" ht="12.75">
      <c r="C16" s="270">
        <f>C14</f>
        <v>28198.06</v>
      </c>
      <c r="D16" s="271" t="s">
        <v>515</v>
      </c>
    </row>
    <row r="17" spans="3:4" ht="12.75">
      <c r="C17" s="270">
        <f>D14</f>
        <v>28329.77</v>
      </c>
      <c r="D17" s="271" t="s">
        <v>516</v>
      </c>
    </row>
    <row r="18" spans="1:6" s="477" customFormat="1" ht="12.75">
      <c r="A18" s="1351" t="s">
        <v>814</v>
      </c>
      <c r="B18" s="1351"/>
      <c r="C18" s="537">
        <f>C16-C17</f>
        <v>-131.70999999999913</v>
      </c>
      <c r="D18" s="477" t="s">
        <v>815</v>
      </c>
      <c r="F18" s="477" t="s">
        <v>514</v>
      </c>
    </row>
  </sheetData>
  <sheetProtection password="CF93" sheet="1"/>
  <mergeCells count="15">
    <mergeCell ref="A18:B18"/>
    <mergeCell ref="E5:K5"/>
    <mergeCell ref="E6:E8"/>
    <mergeCell ref="F6:J6"/>
    <mergeCell ref="K6:K8"/>
    <mergeCell ref="F7:G7"/>
    <mergeCell ref="H7:H8"/>
    <mergeCell ref="J7:J8"/>
    <mergeCell ref="A10:I10"/>
    <mergeCell ref="I7:I8"/>
    <mergeCell ref="A5:A8"/>
    <mergeCell ref="C5:C8"/>
    <mergeCell ref="D5:D8"/>
    <mergeCell ref="B5:B8"/>
    <mergeCell ref="A3:K3"/>
  </mergeCells>
  <printOptions horizontalCentered="1"/>
  <pageMargins left="0.7874015748031497" right="0.7874015748031497" top="0.984251968503937" bottom="0.7874015748031497" header="0.511811023622047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</sheetPr>
  <dimension ref="A1:M57"/>
  <sheetViews>
    <sheetView view="pageBreakPreview" zoomScaleSheetLayoutView="100" zoomScalePageLayoutView="0" workbookViewId="0" topLeftCell="B38">
      <selection activeCell="E49" sqref="E49:E52"/>
    </sheetView>
  </sheetViews>
  <sheetFormatPr defaultColWidth="9.00390625" defaultRowHeight="39" customHeight="1"/>
  <cols>
    <col min="1" max="1" width="3.125" style="773" customWidth="1"/>
    <col min="2" max="2" width="5.125" style="773" customWidth="1"/>
    <col min="3" max="3" width="5.75390625" style="773" customWidth="1"/>
    <col min="4" max="4" width="27.75390625" style="753" customWidth="1"/>
    <col min="5" max="5" width="21.125" style="753" customWidth="1"/>
    <col min="6" max="6" width="10.75390625" style="753" customWidth="1"/>
    <col min="7" max="7" width="7.875" style="753" customWidth="1"/>
    <col min="8" max="8" width="8.625" style="753" customWidth="1"/>
    <col min="9" max="9" width="12.875" style="753" customWidth="1"/>
    <col min="10" max="10" width="12.00390625" style="753" customWidth="1"/>
    <col min="11" max="11" width="11.25390625" style="753" customWidth="1"/>
    <col min="12" max="12" width="10.125" style="753" customWidth="1"/>
    <col min="13" max="13" width="11.125" style="753" bestFit="1" customWidth="1"/>
    <col min="14" max="16384" width="9.125" style="753" customWidth="1"/>
  </cols>
  <sheetData>
    <row r="1" spans="11:12" ht="23.25" customHeight="1">
      <c r="K1" s="1478" t="s">
        <v>403</v>
      </c>
      <c r="L1" s="1478"/>
    </row>
    <row r="2" spans="1:12" ht="39" customHeight="1">
      <c r="A2" s="1479" t="s">
        <v>449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</row>
    <row r="3" spans="1:12" ht="12" customHeight="1" thickBot="1">
      <c r="A3" s="752"/>
      <c r="B3" s="752"/>
      <c r="C3" s="752"/>
      <c r="D3" s="752"/>
      <c r="E3" s="752"/>
      <c r="F3" s="752"/>
      <c r="G3" s="752"/>
      <c r="H3" s="752"/>
      <c r="I3" s="752"/>
      <c r="J3" s="752"/>
      <c r="K3" s="752"/>
      <c r="L3" s="754" t="s">
        <v>818</v>
      </c>
    </row>
    <row r="4" spans="1:12" ht="55.5" customHeight="1">
      <c r="A4" s="779" t="s">
        <v>1167</v>
      </c>
      <c r="B4" s="780" t="s">
        <v>1090</v>
      </c>
      <c r="C4" s="780" t="s">
        <v>381</v>
      </c>
      <c r="D4" s="781" t="s">
        <v>382</v>
      </c>
      <c r="E4" s="781" t="s">
        <v>383</v>
      </c>
      <c r="F4" s="781" t="s">
        <v>1111</v>
      </c>
      <c r="G4" s="781" t="s">
        <v>384</v>
      </c>
      <c r="H4" s="781" t="s">
        <v>1069</v>
      </c>
      <c r="I4" s="781" t="s">
        <v>742</v>
      </c>
      <c r="J4" s="781" t="s">
        <v>626</v>
      </c>
      <c r="K4" s="782" t="s">
        <v>821</v>
      </c>
      <c r="L4" s="783" t="s">
        <v>822</v>
      </c>
    </row>
    <row r="5" spans="1:12" ht="11.25" customHeight="1">
      <c r="A5" s="784">
        <v>1</v>
      </c>
      <c r="B5" s="755">
        <v>2</v>
      </c>
      <c r="C5" s="755">
        <v>3</v>
      </c>
      <c r="D5" s="755">
        <v>4</v>
      </c>
      <c r="E5" s="755">
        <v>5</v>
      </c>
      <c r="F5" s="755">
        <v>6</v>
      </c>
      <c r="G5" s="755">
        <v>7</v>
      </c>
      <c r="H5" s="755">
        <v>8</v>
      </c>
      <c r="I5" s="755">
        <v>9</v>
      </c>
      <c r="J5" s="755">
        <v>10</v>
      </c>
      <c r="K5" s="755">
        <v>11</v>
      </c>
      <c r="L5" s="785">
        <v>12</v>
      </c>
    </row>
    <row r="6" spans="1:12" s="757" customFormat="1" ht="20.25" customHeight="1">
      <c r="A6" s="1483" t="s">
        <v>444</v>
      </c>
      <c r="B6" s="1484"/>
      <c r="C6" s="1484"/>
      <c r="D6" s="1484"/>
      <c r="E6" s="1484"/>
      <c r="F6" s="1484"/>
      <c r="G6" s="1484"/>
      <c r="H6" s="1484"/>
      <c r="I6" s="1484"/>
      <c r="J6" s="1485"/>
      <c r="K6" s="756">
        <f>SUM(K7,K10,K14,K17,K20,K24,K27)</f>
        <v>4184639</v>
      </c>
      <c r="L6" s="786">
        <f>SUM(L7,L10,L14,L17,L20,L24,L27)</f>
        <v>1444892.73</v>
      </c>
    </row>
    <row r="7" spans="1:13" ht="21" customHeight="1">
      <c r="A7" s="1470" t="s">
        <v>1170</v>
      </c>
      <c r="B7" s="1473" t="s">
        <v>829</v>
      </c>
      <c r="C7" s="1473" t="s">
        <v>830</v>
      </c>
      <c r="D7" s="1467" t="s">
        <v>1224</v>
      </c>
      <c r="E7" s="1467" t="s">
        <v>335</v>
      </c>
      <c r="F7" s="1467" t="s">
        <v>445</v>
      </c>
      <c r="G7" s="1467" t="s">
        <v>1065</v>
      </c>
      <c r="H7" s="1449">
        <v>993648</v>
      </c>
      <c r="I7" s="1449">
        <v>993648</v>
      </c>
      <c r="J7" s="758" t="s">
        <v>442</v>
      </c>
      <c r="K7" s="759">
        <f>SUM(K8,K9)</f>
        <v>432000</v>
      </c>
      <c r="L7" s="787">
        <f>SUM(L8,L9)</f>
        <v>51478.12</v>
      </c>
      <c r="M7" s="760"/>
    </row>
    <row r="8" spans="1:12" ht="21" customHeight="1">
      <c r="A8" s="1471"/>
      <c r="B8" s="1474"/>
      <c r="C8" s="1474"/>
      <c r="D8" s="1468"/>
      <c r="E8" s="1468"/>
      <c r="F8" s="1468"/>
      <c r="G8" s="1468"/>
      <c r="H8" s="1450"/>
      <c r="I8" s="1450"/>
      <c r="J8" s="761" t="s">
        <v>385</v>
      </c>
      <c r="K8" s="762">
        <v>367500</v>
      </c>
      <c r="L8" s="788">
        <v>43756.4</v>
      </c>
    </row>
    <row r="9" spans="1:12" ht="21" customHeight="1">
      <c r="A9" s="1471"/>
      <c r="B9" s="1474"/>
      <c r="C9" s="1474"/>
      <c r="D9" s="1468"/>
      <c r="E9" s="1468"/>
      <c r="F9" s="1468"/>
      <c r="G9" s="1468"/>
      <c r="H9" s="1450"/>
      <c r="I9" s="1450"/>
      <c r="J9" s="763" t="s">
        <v>25</v>
      </c>
      <c r="K9" s="764">
        <v>64500</v>
      </c>
      <c r="L9" s="789">
        <v>7721.72</v>
      </c>
    </row>
    <row r="10" spans="1:12" ht="21" customHeight="1">
      <c r="A10" s="1470" t="s">
        <v>1171</v>
      </c>
      <c r="B10" s="1476" t="s">
        <v>925</v>
      </c>
      <c r="C10" s="1473" t="s">
        <v>252</v>
      </c>
      <c r="D10" s="1467" t="s">
        <v>263</v>
      </c>
      <c r="E10" s="1467" t="s">
        <v>129</v>
      </c>
      <c r="F10" s="1467" t="s">
        <v>1068</v>
      </c>
      <c r="G10" s="1467" t="s">
        <v>1065</v>
      </c>
      <c r="H10" s="1449">
        <v>1678145.34</v>
      </c>
      <c r="I10" s="1449">
        <v>1678145.34</v>
      </c>
      <c r="J10" s="758" t="s">
        <v>442</v>
      </c>
      <c r="K10" s="759">
        <f>SUM(K11,K12,K13)</f>
        <v>799398</v>
      </c>
      <c r="L10" s="787">
        <f>SUM(L11,L12,L13)</f>
        <v>159188.93</v>
      </c>
    </row>
    <row r="11" spans="1:12" ht="21" customHeight="1">
      <c r="A11" s="1471"/>
      <c r="B11" s="1477"/>
      <c r="C11" s="1474"/>
      <c r="D11" s="1468"/>
      <c r="E11" s="1468"/>
      <c r="F11" s="1468"/>
      <c r="G11" s="1468"/>
      <c r="H11" s="1450"/>
      <c r="I11" s="1450"/>
      <c r="J11" s="761" t="s">
        <v>385</v>
      </c>
      <c r="K11" s="762">
        <v>674450</v>
      </c>
      <c r="L11" s="788">
        <v>132048.12</v>
      </c>
    </row>
    <row r="12" spans="1:12" ht="21" customHeight="1">
      <c r="A12" s="1471"/>
      <c r="B12" s="1477"/>
      <c r="C12" s="1474"/>
      <c r="D12" s="1468"/>
      <c r="E12" s="1468"/>
      <c r="F12" s="1468"/>
      <c r="G12" s="1468"/>
      <c r="H12" s="1450"/>
      <c r="I12" s="1450"/>
      <c r="J12" s="761" t="s">
        <v>611</v>
      </c>
      <c r="K12" s="762">
        <v>119021</v>
      </c>
      <c r="L12" s="788">
        <v>23302.68</v>
      </c>
    </row>
    <row r="13" spans="1:12" ht="21" customHeight="1">
      <c r="A13" s="1471"/>
      <c r="B13" s="1477"/>
      <c r="C13" s="1474"/>
      <c r="D13" s="1468"/>
      <c r="E13" s="1468"/>
      <c r="F13" s="1468"/>
      <c r="G13" s="1468"/>
      <c r="H13" s="1450"/>
      <c r="I13" s="1450"/>
      <c r="J13" s="763" t="s">
        <v>26</v>
      </c>
      <c r="K13" s="764">
        <v>5927</v>
      </c>
      <c r="L13" s="789">
        <v>3838.13</v>
      </c>
    </row>
    <row r="14" spans="1:12" ht="21" customHeight="1">
      <c r="A14" s="1470" t="s">
        <v>1255</v>
      </c>
      <c r="B14" s="1473" t="s">
        <v>947</v>
      </c>
      <c r="C14" s="1473" t="s">
        <v>954</v>
      </c>
      <c r="D14" s="1467" t="s">
        <v>831</v>
      </c>
      <c r="E14" s="1467" t="s">
        <v>27</v>
      </c>
      <c r="F14" s="1467" t="s">
        <v>832</v>
      </c>
      <c r="G14" s="1467" t="s">
        <v>888</v>
      </c>
      <c r="H14" s="1449">
        <v>1202237.35</v>
      </c>
      <c r="I14" s="1449">
        <v>1024056</v>
      </c>
      <c r="J14" s="758" t="s">
        <v>442</v>
      </c>
      <c r="K14" s="759">
        <f>SUM(K15,K16)</f>
        <v>473650</v>
      </c>
      <c r="L14" s="787">
        <f>SUM(L15,L16)</f>
        <v>478062.01</v>
      </c>
    </row>
    <row r="15" spans="1:12" ht="21" customHeight="1">
      <c r="A15" s="1471"/>
      <c r="B15" s="1474"/>
      <c r="C15" s="1474"/>
      <c r="D15" s="1468"/>
      <c r="E15" s="1468"/>
      <c r="F15" s="1468"/>
      <c r="G15" s="1468"/>
      <c r="H15" s="1450"/>
      <c r="I15" s="1450"/>
      <c r="J15" s="761" t="s">
        <v>385</v>
      </c>
      <c r="K15" s="762">
        <v>236825</v>
      </c>
      <c r="L15" s="788">
        <v>253531</v>
      </c>
    </row>
    <row r="16" spans="1:12" ht="21" customHeight="1">
      <c r="A16" s="1472"/>
      <c r="B16" s="1475"/>
      <c r="C16" s="1475"/>
      <c r="D16" s="1469"/>
      <c r="E16" s="1469"/>
      <c r="F16" s="1469"/>
      <c r="G16" s="1469"/>
      <c r="H16" s="1451"/>
      <c r="I16" s="1451"/>
      <c r="J16" s="763" t="s">
        <v>1357</v>
      </c>
      <c r="K16" s="764">
        <v>236825</v>
      </c>
      <c r="L16" s="789">
        <v>224531.01</v>
      </c>
    </row>
    <row r="17" spans="1:12" ht="21" customHeight="1">
      <c r="A17" s="1470" t="s">
        <v>1262</v>
      </c>
      <c r="B17" s="1473" t="s">
        <v>947</v>
      </c>
      <c r="C17" s="1473" t="s">
        <v>954</v>
      </c>
      <c r="D17" s="1467" t="s">
        <v>831</v>
      </c>
      <c r="E17" s="1467" t="s">
        <v>28</v>
      </c>
      <c r="F17" s="1467" t="s">
        <v>788</v>
      </c>
      <c r="G17" s="1467" t="s">
        <v>891</v>
      </c>
      <c r="H17" s="1449">
        <v>1452672</v>
      </c>
      <c r="I17" s="1449">
        <v>1452672</v>
      </c>
      <c r="J17" s="758" t="s">
        <v>442</v>
      </c>
      <c r="K17" s="759">
        <f>SUM(K18,K19)</f>
        <v>1256336</v>
      </c>
      <c r="L17" s="787">
        <f>SUM(L18,L19)</f>
        <v>0</v>
      </c>
    </row>
    <row r="18" spans="1:12" ht="21" customHeight="1">
      <c r="A18" s="1471"/>
      <c r="B18" s="1474"/>
      <c r="C18" s="1474"/>
      <c r="D18" s="1468"/>
      <c r="E18" s="1468"/>
      <c r="F18" s="1468"/>
      <c r="G18" s="1468"/>
      <c r="H18" s="1450"/>
      <c r="I18" s="1450"/>
      <c r="J18" s="761" t="s">
        <v>385</v>
      </c>
      <c r="K18" s="762">
        <v>726336</v>
      </c>
      <c r="L18" s="788">
        <v>0</v>
      </c>
    </row>
    <row r="19" spans="1:12" ht="21" customHeight="1">
      <c r="A19" s="1472"/>
      <c r="B19" s="1475"/>
      <c r="C19" s="1475"/>
      <c r="D19" s="1469"/>
      <c r="E19" s="1469"/>
      <c r="F19" s="1469"/>
      <c r="G19" s="1469"/>
      <c r="H19" s="1451"/>
      <c r="I19" s="1451"/>
      <c r="J19" s="763" t="s">
        <v>1357</v>
      </c>
      <c r="K19" s="764">
        <v>530000</v>
      </c>
      <c r="L19" s="789">
        <v>0</v>
      </c>
    </row>
    <row r="20" spans="1:12" ht="21" customHeight="1">
      <c r="A20" s="1470" t="s">
        <v>1263</v>
      </c>
      <c r="B20" s="1473" t="s">
        <v>29</v>
      </c>
      <c r="C20" s="1473" t="s">
        <v>30</v>
      </c>
      <c r="D20" s="1467" t="s">
        <v>263</v>
      </c>
      <c r="E20" s="1467" t="s">
        <v>264</v>
      </c>
      <c r="F20" s="1467" t="s">
        <v>1066</v>
      </c>
      <c r="G20" s="1467" t="s">
        <v>1336</v>
      </c>
      <c r="H20" s="1449">
        <v>831090</v>
      </c>
      <c r="I20" s="1449">
        <v>747980</v>
      </c>
      <c r="J20" s="758" t="s">
        <v>442</v>
      </c>
      <c r="K20" s="759">
        <f>SUM(K21,K22,K23)</f>
        <v>338695</v>
      </c>
      <c r="L20" s="787">
        <f>SUM(L21,L22,L23)</f>
        <v>29422.41</v>
      </c>
    </row>
    <row r="21" spans="1:12" ht="21" customHeight="1">
      <c r="A21" s="1471"/>
      <c r="B21" s="1474"/>
      <c r="C21" s="1474"/>
      <c r="D21" s="1468"/>
      <c r="E21" s="1468"/>
      <c r="F21" s="1468"/>
      <c r="G21" s="1468"/>
      <c r="H21" s="1450"/>
      <c r="I21" s="1450"/>
      <c r="J21" s="761" t="s">
        <v>385</v>
      </c>
      <c r="K21" s="762">
        <v>287877</v>
      </c>
      <c r="L21" s="788">
        <v>27786.57</v>
      </c>
    </row>
    <row r="22" spans="1:12" ht="21" customHeight="1">
      <c r="A22" s="1471"/>
      <c r="B22" s="1474"/>
      <c r="C22" s="1474"/>
      <c r="D22" s="1468"/>
      <c r="E22" s="1468"/>
      <c r="F22" s="1468"/>
      <c r="G22" s="1468"/>
      <c r="H22" s="1450"/>
      <c r="I22" s="1450"/>
      <c r="J22" s="761" t="s">
        <v>386</v>
      </c>
      <c r="K22" s="762">
        <v>16948</v>
      </c>
      <c r="L22" s="788">
        <v>1635.84</v>
      </c>
    </row>
    <row r="23" spans="1:12" ht="21" customHeight="1">
      <c r="A23" s="1471"/>
      <c r="B23" s="1474"/>
      <c r="C23" s="1474"/>
      <c r="D23" s="1468"/>
      <c r="E23" s="1468"/>
      <c r="F23" s="1468"/>
      <c r="G23" s="1468"/>
      <c r="H23" s="1450"/>
      <c r="I23" s="1450"/>
      <c r="J23" s="763" t="s">
        <v>1357</v>
      </c>
      <c r="K23" s="764">
        <v>33870</v>
      </c>
      <c r="L23" s="789">
        <v>0</v>
      </c>
    </row>
    <row r="24" spans="1:12" ht="21" customHeight="1">
      <c r="A24" s="1470" t="s">
        <v>1264</v>
      </c>
      <c r="B24" s="1476" t="s">
        <v>960</v>
      </c>
      <c r="C24" s="1476" t="s">
        <v>424</v>
      </c>
      <c r="D24" s="1467" t="s">
        <v>263</v>
      </c>
      <c r="E24" s="1467" t="s">
        <v>265</v>
      </c>
      <c r="F24" s="1467" t="s">
        <v>1067</v>
      </c>
      <c r="G24" s="1467" t="s">
        <v>1336</v>
      </c>
      <c r="H24" s="1449">
        <f>239157+39985</f>
        <v>279142</v>
      </c>
      <c r="I24" s="1449">
        <v>279142</v>
      </c>
      <c r="J24" s="758" t="s">
        <v>442</v>
      </c>
      <c r="K24" s="759">
        <f>SUM(K25,K26)</f>
        <v>94115</v>
      </c>
      <c r="L24" s="787">
        <f>SUM(L25,L26)</f>
        <v>40501.48</v>
      </c>
    </row>
    <row r="25" spans="1:12" ht="21" customHeight="1">
      <c r="A25" s="1471"/>
      <c r="B25" s="1477"/>
      <c r="C25" s="1477"/>
      <c r="D25" s="1468"/>
      <c r="E25" s="1468"/>
      <c r="F25" s="1468"/>
      <c r="G25" s="1468"/>
      <c r="H25" s="1450"/>
      <c r="I25" s="1450"/>
      <c r="J25" s="763" t="s">
        <v>385</v>
      </c>
      <c r="K25" s="764">
        <v>86787</v>
      </c>
      <c r="L25" s="789">
        <v>36038.48</v>
      </c>
    </row>
    <row r="26" spans="1:12" ht="21" customHeight="1">
      <c r="A26" s="1471"/>
      <c r="B26" s="1477"/>
      <c r="C26" s="1477"/>
      <c r="D26" s="1468"/>
      <c r="E26" s="1468"/>
      <c r="F26" s="1468"/>
      <c r="G26" s="1468"/>
      <c r="H26" s="1450"/>
      <c r="I26" s="1450"/>
      <c r="J26" s="763" t="s">
        <v>268</v>
      </c>
      <c r="K26" s="765">
        <v>7328</v>
      </c>
      <c r="L26" s="790">
        <v>4463</v>
      </c>
    </row>
    <row r="27" spans="1:12" ht="21" customHeight="1">
      <c r="A27" s="1470" t="s">
        <v>1351</v>
      </c>
      <c r="B27" s="1476" t="s">
        <v>960</v>
      </c>
      <c r="C27" s="1476" t="s">
        <v>424</v>
      </c>
      <c r="D27" s="1467" t="s">
        <v>263</v>
      </c>
      <c r="E27" s="1467" t="s">
        <v>889</v>
      </c>
      <c r="F27" s="1467" t="s">
        <v>890</v>
      </c>
      <c r="G27" s="1467" t="s">
        <v>891</v>
      </c>
      <c r="H27" s="1449">
        <v>990445</v>
      </c>
      <c r="I27" s="1449">
        <v>990445</v>
      </c>
      <c r="J27" s="758" t="s">
        <v>442</v>
      </c>
      <c r="K27" s="759">
        <f>SUM(K28,K29)</f>
        <v>790445</v>
      </c>
      <c r="L27" s="787">
        <f>SUM(L28,L29)</f>
        <v>686239.78</v>
      </c>
    </row>
    <row r="28" spans="1:12" ht="21" customHeight="1">
      <c r="A28" s="1471"/>
      <c r="B28" s="1477"/>
      <c r="C28" s="1477"/>
      <c r="D28" s="1468"/>
      <c r="E28" s="1468"/>
      <c r="F28" s="1468"/>
      <c r="G28" s="1468"/>
      <c r="H28" s="1450"/>
      <c r="I28" s="1450"/>
      <c r="J28" s="761" t="s">
        <v>385</v>
      </c>
      <c r="K28" s="762">
        <v>671880</v>
      </c>
      <c r="L28" s="788">
        <v>583304.9</v>
      </c>
    </row>
    <row r="29" spans="1:12" ht="21" customHeight="1">
      <c r="A29" s="1472"/>
      <c r="B29" s="1497"/>
      <c r="C29" s="1497"/>
      <c r="D29" s="1469"/>
      <c r="E29" s="1469"/>
      <c r="F29" s="1469"/>
      <c r="G29" s="1469"/>
      <c r="H29" s="1451"/>
      <c r="I29" s="1451"/>
      <c r="J29" s="763" t="s">
        <v>611</v>
      </c>
      <c r="K29" s="764">
        <v>118565</v>
      </c>
      <c r="L29" s="789">
        <v>102934.88</v>
      </c>
    </row>
    <row r="30" spans="1:13" s="777" customFormat="1" ht="22.5" customHeight="1">
      <c r="A30" s="1486" t="s">
        <v>441</v>
      </c>
      <c r="B30" s="1487"/>
      <c r="C30" s="1487"/>
      <c r="D30" s="1487"/>
      <c r="E30" s="1487"/>
      <c r="F30" s="1487"/>
      <c r="G30" s="1487"/>
      <c r="H30" s="1487"/>
      <c r="I30" s="1487"/>
      <c r="J30" s="1488"/>
      <c r="K30" s="775">
        <f>SUM(K31,K35,K39,K45,K49,K53)</f>
        <v>21744000</v>
      </c>
      <c r="L30" s="791">
        <f>SUM(L31,L35,L39,L45,L49,L53)</f>
        <v>1082302.27</v>
      </c>
      <c r="M30" s="776"/>
    </row>
    <row r="31" spans="1:12" s="767" customFormat="1" ht="21" customHeight="1">
      <c r="A31" s="1452" t="s">
        <v>1352</v>
      </c>
      <c r="B31" s="1455" t="s">
        <v>902</v>
      </c>
      <c r="C31" s="1455" t="s">
        <v>904</v>
      </c>
      <c r="D31" s="1458" t="s">
        <v>446</v>
      </c>
      <c r="E31" s="1458" t="s">
        <v>1037</v>
      </c>
      <c r="F31" s="1458" t="s">
        <v>893</v>
      </c>
      <c r="G31" s="1458" t="s">
        <v>894</v>
      </c>
      <c r="H31" s="1464">
        <v>18069000</v>
      </c>
      <c r="I31" s="1464">
        <v>18000000</v>
      </c>
      <c r="J31" s="758" t="s">
        <v>442</v>
      </c>
      <c r="K31" s="766">
        <f>SUM(K32,K33,K34)</f>
        <v>6164000</v>
      </c>
      <c r="L31" s="792">
        <f>SUM(L34)</f>
        <v>61129.15</v>
      </c>
    </row>
    <row r="32" spans="1:12" s="767" customFormat="1" ht="21" customHeight="1">
      <c r="A32" s="1453"/>
      <c r="B32" s="1456"/>
      <c r="C32" s="1456"/>
      <c r="D32" s="1459"/>
      <c r="E32" s="1459"/>
      <c r="F32" s="1459"/>
      <c r="G32" s="1459"/>
      <c r="H32" s="1465"/>
      <c r="I32" s="1465"/>
      <c r="J32" s="761" t="s">
        <v>385</v>
      </c>
      <c r="K32" s="766">
        <v>2005000</v>
      </c>
      <c r="L32" s="792">
        <v>363585.23</v>
      </c>
    </row>
    <row r="33" spans="1:12" s="767" customFormat="1" ht="21" customHeight="1">
      <c r="A33" s="1453"/>
      <c r="B33" s="1456"/>
      <c r="C33" s="1456"/>
      <c r="D33" s="1459"/>
      <c r="E33" s="1459"/>
      <c r="F33" s="1459"/>
      <c r="G33" s="1459"/>
      <c r="H33" s="1465"/>
      <c r="I33" s="1465"/>
      <c r="J33" s="761" t="s">
        <v>895</v>
      </c>
      <c r="K33" s="766">
        <v>3940000</v>
      </c>
      <c r="L33" s="792">
        <v>848365.53</v>
      </c>
    </row>
    <row r="34" spans="1:12" s="767" customFormat="1" ht="21" customHeight="1">
      <c r="A34" s="1453"/>
      <c r="B34" s="1456"/>
      <c r="C34" s="1456"/>
      <c r="D34" s="1459"/>
      <c r="E34" s="1459"/>
      <c r="F34" s="1459"/>
      <c r="G34" s="1459"/>
      <c r="H34" s="1465"/>
      <c r="I34" s="1465"/>
      <c r="J34" s="763" t="s">
        <v>896</v>
      </c>
      <c r="K34" s="764">
        <v>219000</v>
      </c>
      <c r="L34" s="789">
        <v>61129.15</v>
      </c>
    </row>
    <row r="35" spans="1:12" s="767" customFormat="1" ht="18.75" customHeight="1">
      <c r="A35" s="1452" t="s">
        <v>1265</v>
      </c>
      <c r="B35" s="1455" t="s">
        <v>902</v>
      </c>
      <c r="C35" s="1455" t="s">
        <v>905</v>
      </c>
      <c r="D35" s="1458" t="s">
        <v>897</v>
      </c>
      <c r="E35" s="1458" t="s">
        <v>898</v>
      </c>
      <c r="F35" s="1458" t="s">
        <v>893</v>
      </c>
      <c r="G35" s="1458" t="s">
        <v>899</v>
      </c>
      <c r="H35" s="1464">
        <v>5510000</v>
      </c>
      <c r="I35" s="1464">
        <v>5500000</v>
      </c>
      <c r="J35" s="758" t="s">
        <v>442</v>
      </c>
      <c r="K35" s="759">
        <f>SUM(K36,K37,K38)</f>
        <v>3300000</v>
      </c>
      <c r="L35" s="787">
        <f>SUM(L38)</f>
        <v>3197.56</v>
      </c>
    </row>
    <row r="36" spans="1:12" s="767" customFormat="1" ht="19.5" customHeight="1">
      <c r="A36" s="1453"/>
      <c r="B36" s="1456"/>
      <c r="C36" s="1456"/>
      <c r="D36" s="1459"/>
      <c r="E36" s="1459"/>
      <c r="F36" s="1459"/>
      <c r="G36" s="1459"/>
      <c r="H36" s="1465"/>
      <c r="I36" s="1465"/>
      <c r="J36" s="761" t="s">
        <v>385</v>
      </c>
      <c r="K36" s="759">
        <v>2805000</v>
      </c>
      <c r="L36" s="787">
        <v>20211.13</v>
      </c>
    </row>
    <row r="37" spans="1:12" s="767" customFormat="1" ht="24.75" customHeight="1">
      <c r="A37" s="1453"/>
      <c r="B37" s="1456"/>
      <c r="C37" s="1456"/>
      <c r="D37" s="1459"/>
      <c r="E37" s="1459"/>
      <c r="F37" s="1459"/>
      <c r="G37" s="1459"/>
      <c r="H37" s="1465"/>
      <c r="I37" s="1465"/>
      <c r="J37" s="761" t="s">
        <v>895</v>
      </c>
      <c r="K37" s="759">
        <v>485000</v>
      </c>
      <c r="L37" s="787">
        <v>3566.67</v>
      </c>
    </row>
    <row r="38" spans="1:12" s="767" customFormat="1" ht="25.5" customHeight="1">
      <c r="A38" s="1454"/>
      <c r="B38" s="1457"/>
      <c r="C38" s="1457"/>
      <c r="D38" s="1460"/>
      <c r="E38" s="1460"/>
      <c r="F38" s="1460"/>
      <c r="G38" s="1460"/>
      <c r="H38" s="1466"/>
      <c r="I38" s="1466"/>
      <c r="J38" s="763" t="s">
        <v>896</v>
      </c>
      <c r="K38" s="764">
        <v>10000</v>
      </c>
      <c r="L38" s="789">
        <v>3197.56</v>
      </c>
    </row>
    <row r="39" spans="1:12" s="767" customFormat="1" ht="21" customHeight="1">
      <c r="A39" s="1452">
        <v>10</v>
      </c>
      <c r="B39" s="1455" t="s">
        <v>907</v>
      </c>
      <c r="C39" s="1455" t="s">
        <v>337</v>
      </c>
      <c r="D39" s="1458" t="s">
        <v>446</v>
      </c>
      <c r="E39" s="1458" t="s">
        <v>681</v>
      </c>
      <c r="F39" s="1458" t="s">
        <v>893</v>
      </c>
      <c r="G39" s="1458" t="s">
        <v>894</v>
      </c>
      <c r="H39" s="1495">
        <v>19690000</v>
      </c>
      <c r="I39" s="1493" t="s">
        <v>447</v>
      </c>
      <c r="J39" s="758" t="s">
        <v>442</v>
      </c>
      <c r="K39" s="766">
        <f>SUM(K42,K43,K44)</f>
        <v>5150000</v>
      </c>
      <c r="L39" s="792">
        <f>SUM(L40,L41,L44)</f>
        <v>828.89</v>
      </c>
    </row>
    <row r="40" spans="1:12" s="767" customFormat="1" ht="21" customHeight="1" hidden="1">
      <c r="A40" s="1453"/>
      <c r="B40" s="1456"/>
      <c r="C40" s="1456"/>
      <c r="D40" s="1459"/>
      <c r="E40" s="1459"/>
      <c r="F40" s="1459"/>
      <c r="G40" s="1459"/>
      <c r="H40" s="1496"/>
      <c r="I40" s="1494"/>
      <c r="J40" s="768" t="s">
        <v>385</v>
      </c>
      <c r="K40" s="762">
        <v>0</v>
      </c>
      <c r="L40" s="788">
        <v>0</v>
      </c>
    </row>
    <row r="41" spans="1:12" s="767" customFormat="1" ht="21" customHeight="1" hidden="1">
      <c r="A41" s="1453"/>
      <c r="B41" s="1456"/>
      <c r="C41" s="1456"/>
      <c r="D41" s="1459"/>
      <c r="E41" s="1459"/>
      <c r="F41" s="1459"/>
      <c r="G41" s="1459"/>
      <c r="H41" s="1496"/>
      <c r="I41" s="1494" t="s">
        <v>448</v>
      </c>
      <c r="J41" s="768" t="s">
        <v>895</v>
      </c>
      <c r="K41" s="764">
        <v>0</v>
      </c>
      <c r="L41" s="789">
        <v>0</v>
      </c>
    </row>
    <row r="42" spans="1:12" s="767" customFormat="1" ht="21" customHeight="1">
      <c r="A42" s="1453"/>
      <c r="B42" s="1456"/>
      <c r="C42" s="1456"/>
      <c r="D42" s="1459"/>
      <c r="E42" s="1459"/>
      <c r="F42" s="1459"/>
      <c r="G42" s="1459"/>
      <c r="H42" s="1496"/>
      <c r="I42" s="1494"/>
      <c r="J42" s="761" t="s">
        <v>385</v>
      </c>
      <c r="K42" s="765">
        <v>2000000</v>
      </c>
      <c r="L42" s="790">
        <v>12960.96</v>
      </c>
    </row>
    <row r="43" spans="1:12" s="767" customFormat="1" ht="21" customHeight="1">
      <c r="A43" s="1453"/>
      <c r="B43" s="1456"/>
      <c r="C43" s="1456"/>
      <c r="D43" s="1459"/>
      <c r="E43" s="1459"/>
      <c r="F43" s="1459"/>
      <c r="G43" s="1459"/>
      <c r="H43" s="1496"/>
      <c r="I43" s="1494"/>
      <c r="J43" s="761" t="s">
        <v>895</v>
      </c>
      <c r="K43" s="765">
        <v>2950000</v>
      </c>
      <c r="L43" s="790">
        <v>19441.44</v>
      </c>
    </row>
    <row r="44" spans="1:12" s="767" customFormat="1" ht="21" customHeight="1">
      <c r="A44" s="1453"/>
      <c r="B44" s="1456"/>
      <c r="C44" s="1456"/>
      <c r="D44" s="1459"/>
      <c r="E44" s="1459"/>
      <c r="F44" s="1459"/>
      <c r="G44" s="1459"/>
      <c r="H44" s="1496"/>
      <c r="I44" s="1494"/>
      <c r="J44" s="763" t="s">
        <v>896</v>
      </c>
      <c r="K44" s="765">
        <v>200000</v>
      </c>
      <c r="L44" s="790">
        <v>828.89</v>
      </c>
    </row>
    <row r="45" spans="1:12" s="767" customFormat="1" ht="21" customHeight="1">
      <c r="A45" s="1452">
        <v>11</v>
      </c>
      <c r="B45" s="1455" t="s">
        <v>1049</v>
      </c>
      <c r="C45" s="1455" t="s">
        <v>455</v>
      </c>
      <c r="D45" s="1458" t="s">
        <v>892</v>
      </c>
      <c r="E45" s="1458" t="s">
        <v>900</v>
      </c>
      <c r="F45" s="1458" t="s">
        <v>893</v>
      </c>
      <c r="G45" s="1458" t="s">
        <v>899</v>
      </c>
      <c r="H45" s="1464">
        <v>7881306</v>
      </c>
      <c r="I45" s="1464">
        <v>7811306</v>
      </c>
      <c r="J45" s="758" t="s">
        <v>442</v>
      </c>
      <c r="K45" s="759">
        <f>SUM(K46,K47,K48)</f>
        <v>5400000</v>
      </c>
      <c r="L45" s="787">
        <f>SUM(L46,L47,L48)</f>
        <v>1017146.67</v>
      </c>
    </row>
    <row r="46" spans="1:12" s="767" customFormat="1" ht="21" customHeight="1">
      <c r="A46" s="1453"/>
      <c r="B46" s="1456"/>
      <c r="C46" s="1456"/>
      <c r="D46" s="1459"/>
      <c r="E46" s="1459"/>
      <c r="F46" s="1459"/>
      <c r="G46" s="1459"/>
      <c r="H46" s="1465"/>
      <c r="I46" s="1465"/>
      <c r="J46" s="761" t="s">
        <v>385</v>
      </c>
      <c r="K46" s="762">
        <v>2650000</v>
      </c>
      <c r="L46" s="788">
        <v>503298.64</v>
      </c>
    </row>
    <row r="47" spans="1:12" s="767" customFormat="1" ht="21" customHeight="1">
      <c r="A47" s="1453"/>
      <c r="B47" s="1456"/>
      <c r="C47" s="1456"/>
      <c r="D47" s="1459"/>
      <c r="E47" s="1459"/>
      <c r="F47" s="1459"/>
      <c r="G47" s="1459"/>
      <c r="H47" s="1465"/>
      <c r="I47" s="1465"/>
      <c r="J47" s="761" t="s">
        <v>895</v>
      </c>
      <c r="K47" s="764">
        <v>2650000</v>
      </c>
      <c r="L47" s="789">
        <v>503298.71</v>
      </c>
    </row>
    <row r="48" spans="1:12" s="767" customFormat="1" ht="21" customHeight="1">
      <c r="A48" s="1453"/>
      <c r="B48" s="1456"/>
      <c r="C48" s="1456"/>
      <c r="D48" s="1459"/>
      <c r="E48" s="1459"/>
      <c r="F48" s="1459"/>
      <c r="G48" s="1459"/>
      <c r="H48" s="1465"/>
      <c r="I48" s="1465"/>
      <c r="J48" s="763" t="s">
        <v>896</v>
      </c>
      <c r="K48" s="765">
        <v>100000</v>
      </c>
      <c r="L48" s="790">
        <v>10549.32</v>
      </c>
    </row>
    <row r="49" spans="1:12" s="767" customFormat="1" ht="29.25" customHeight="1">
      <c r="A49" s="1452" t="s">
        <v>1268</v>
      </c>
      <c r="B49" s="1455" t="s">
        <v>1049</v>
      </c>
      <c r="C49" s="1455" t="s">
        <v>455</v>
      </c>
      <c r="D49" s="1458" t="s">
        <v>901</v>
      </c>
      <c r="E49" s="1461" t="s">
        <v>106</v>
      </c>
      <c r="F49" s="1458" t="s">
        <v>893</v>
      </c>
      <c r="G49" s="1458" t="s">
        <v>899</v>
      </c>
      <c r="H49" s="1464">
        <v>2330000</v>
      </c>
      <c r="I49" s="1464">
        <v>2296283</v>
      </c>
      <c r="J49" s="758" t="s">
        <v>442</v>
      </c>
      <c r="K49" s="759">
        <f>SUM(K50,K51,K52)</f>
        <v>1730000</v>
      </c>
      <c r="L49" s="787">
        <f>SUM(L50,L51,L52)</f>
        <v>0</v>
      </c>
    </row>
    <row r="50" spans="1:12" s="767" customFormat="1" ht="22.5" customHeight="1">
      <c r="A50" s="1453"/>
      <c r="B50" s="1456"/>
      <c r="C50" s="1456"/>
      <c r="D50" s="1459"/>
      <c r="E50" s="1462"/>
      <c r="F50" s="1459"/>
      <c r="G50" s="1459"/>
      <c r="H50" s="1465"/>
      <c r="I50" s="1465"/>
      <c r="J50" s="768" t="s">
        <v>385</v>
      </c>
      <c r="K50" s="762">
        <v>1445000</v>
      </c>
      <c r="L50" s="788">
        <v>0</v>
      </c>
    </row>
    <row r="51" spans="1:12" s="767" customFormat="1" ht="24.75" customHeight="1">
      <c r="A51" s="1453"/>
      <c r="B51" s="1456"/>
      <c r="C51" s="1456"/>
      <c r="D51" s="1459"/>
      <c r="E51" s="1462"/>
      <c r="F51" s="1459"/>
      <c r="G51" s="1459"/>
      <c r="H51" s="1465"/>
      <c r="I51" s="1465"/>
      <c r="J51" s="768" t="s">
        <v>895</v>
      </c>
      <c r="K51" s="764">
        <v>255000</v>
      </c>
      <c r="L51" s="789">
        <v>0</v>
      </c>
    </row>
    <row r="52" spans="1:12" s="767" customFormat="1" ht="24" customHeight="1">
      <c r="A52" s="1454"/>
      <c r="B52" s="1457"/>
      <c r="C52" s="1457"/>
      <c r="D52" s="1460"/>
      <c r="E52" s="1463"/>
      <c r="F52" s="1460"/>
      <c r="G52" s="1460"/>
      <c r="H52" s="1466"/>
      <c r="I52" s="1466"/>
      <c r="J52" s="763" t="s">
        <v>896</v>
      </c>
      <c r="K52" s="764">
        <v>30000</v>
      </c>
      <c r="L52" s="789">
        <v>0</v>
      </c>
    </row>
    <row r="53" spans="1:12" s="767" customFormat="1" ht="21" customHeight="1">
      <c r="A53" s="1453" t="s">
        <v>1269</v>
      </c>
      <c r="B53" s="1456" t="s">
        <v>1080</v>
      </c>
      <c r="C53" s="1456" t="s">
        <v>470</v>
      </c>
      <c r="D53" s="1458" t="s">
        <v>892</v>
      </c>
      <c r="E53" s="1459" t="s">
        <v>31</v>
      </c>
      <c r="F53" s="1459" t="s">
        <v>756</v>
      </c>
      <c r="G53" s="1459">
        <v>2011</v>
      </c>
      <c r="H53" s="1465">
        <v>400000</v>
      </c>
      <c r="I53" s="1465">
        <v>327869</v>
      </c>
      <c r="J53" s="771" t="s">
        <v>442</v>
      </c>
      <c r="K53" s="772">
        <f>SUM(K54,K55,K56)</f>
        <v>0</v>
      </c>
      <c r="L53" s="793">
        <f>SUM(L54,L55,L56)</f>
        <v>0</v>
      </c>
    </row>
    <row r="54" spans="1:12" s="767" customFormat="1" ht="21" customHeight="1">
      <c r="A54" s="1453"/>
      <c r="B54" s="1456"/>
      <c r="C54" s="1456"/>
      <c r="D54" s="1459"/>
      <c r="E54" s="1459"/>
      <c r="F54" s="1459"/>
      <c r="G54" s="1459"/>
      <c r="H54" s="1465"/>
      <c r="I54" s="1465"/>
      <c r="J54" s="768" t="s">
        <v>385</v>
      </c>
      <c r="K54" s="762">
        <v>0</v>
      </c>
      <c r="L54" s="788">
        <v>0</v>
      </c>
    </row>
    <row r="55" spans="1:12" s="767" customFormat="1" ht="21" customHeight="1">
      <c r="A55" s="1453"/>
      <c r="B55" s="1456"/>
      <c r="C55" s="1456"/>
      <c r="D55" s="1459"/>
      <c r="E55" s="1459"/>
      <c r="F55" s="1459"/>
      <c r="G55" s="1459"/>
      <c r="H55" s="1465"/>
      <c r="I55" s="1465"/>
      <c r="J55" s="768" t="s">
        <v>895</v>
      </c>
      <c r="K55" s="764">
        <v>0</v>
      </c>
      <c r="L55" s="789">
        <v>0</v>
      </c>
    </row>
    <row r="56" spans="1:12" s="767" customFormat="1" ht="21" customHeight="1" thickBot="1">
      <c r="A56" s="1489"/>
      <c r="B56" s="1490"/>
      <c r="C56" s="1490"/>
      <c r="D56" s="1491"/>
      <c r="E56" s="1491"/>
      <c r="F56" s="1491"/>
      <c r="G56" s="1491"/>
      <c r="H56" s="1492"/>
      <c r="I56" s="1492"/>
      <c r="J56" s="769" t="s">
        <v>896</v>
      </c>
      <c r="K56" s="770">
        <v>0</v>
      </c>
      <c r="L56" s="794">
        <v>0</v>
      </c>
    </row>
    <row r="57" spans="1:12" s="778" customFormat="1" ht="28.5" customHeight="1" thickBot="1" thickTop="1">
      <c r="A57" s="1480" t="s">
        <v>443</v>
      </c>
      <c r="B57" s="1481"/>
      <c r="C57" s="1481"/>
      <c r="D57" s="1481"/>
      <c r="E57" s="1481"/>
      <c r="F57" s="1481"/>
      <c r="G57" s="1481"/>
      <c r="H57" s="1481"/>
      <c r="I57" s="1481"/>
      <c r="J57" s="1482"/>
      <c r="K57" s="795">
        <f>SUM(K6,K30)</f>
        <v>25928639</v>
      </c>
      <c r="L57" s="796">
        <f>SUM(L6,L30)</f>
        <v>2527195</v>
      </c>
    </row>
  </sheetData>
  <sheetProtection password="CF93" sheet="1"/>
  <mergeCells count="123">
    <mergeCell ref="E7:E9"/>
    <mergeCell ref="E10:E13"/>
    <mergeCell ref="C14:C16"/>
    <mergeCell ref="D14:D16"/>
    <mergeCell ref="E14:E16"/>
    <mergeCell ref="F14:F16"/>
    <mergeCell ref="F10:F13"/>
    <mergeCell ref="C10:C13"/>
    <mergeCell ref="D10:D13"/>
    <mergeCell ref="H17:H19"/>
    <mergeCell ref="E24:E26"/>
    <mergeCell ref="E20:E23"/>
    <mergeCell ref="F20:F23"/>
    <mergeCell ref="G20:G23"/>
    <mergeCell ref="F24:F26"/>
    <mergeCell ref="G24:G26"/>
    <mergeCell ref="E17:E19"/>
    <mergeCell ref="F17:F19"/>
    <mergeCell ref="G17:G19"/>
    <mergeCell ref="H14:H16"/>
    <mergeCell ref="I53:I56"/>
    <mergeCell ref="I20:I23"/>
    <mergeCell ref="H10:H13"/>
    <mergeCell ref="I10:I13"/>
    <mergeCell ref="H24:H26"/>
    <mergeCell ref="I24:I26"/>
    <mergeCell ref="I27:I29"/>
    <mergeCell ref="H20:H23"/>
    <mergeCell ref="I14:I16"/>
    <mergeCell ref="A20:A23"/>
    <mergeCell ref="B20:B23"/>
    <mergeCell ref="C20:C23"/>
    <mergeCell ref="D20:D23"/>
    <mergeCell ref="A24:A26"/>
    <mergeCell ref="B24:B26"/>
    <mergeCell ref="C24:C26"/>
    <mergeCell ref="D24:D26"/>
    <mergeCell ref="E27:E29"/>
    <mergeCell ref="F27:F29"/>
    <mergeCell ref="G27:G29"/>
    <mergeCell ref="H27:H29"/>
    <mergeCell ref="A27:A29"/>
    <mergeCell ref="B27:B29"/>
    <mergeCell ref="C27:C29"/>
    <mergeCell ref="D27:D29"/>
    <mergeCell ref="H31:H34"/>
    <mergeCell ref="I31:I34"/>
    <mergeCell ref="A31:A34"/>
    <mergeCell ref="B31:B34"/>
    <mergeCell ref="C31:C34"/>
    <mergeCell ref="D31:D34"/>
    <mergeCell ref="E31:E34"/>
    <mergeCell ref="F31:F34"/>
    <mergeCell ref="G31:G34"/>
    <mergeCell ref="I41:I44"/>
    <mergeCell ref="E35:E38"/>
    <mergeCell ref="F35:F38"/>
    <mergeCell ref="G35:G38"/>
    <mergeCell ref="H35:H38"/>
    <mergeCell ref="A35:A38"/>
    <mergeCell ref="B35:B38"/>
    <mergeCell ref="C35:C38"/>
    <mergeCell ref="D35:D38"/>
    <mergeCell ref="I45:I48"/>
    <mergeCell ref="I35:I38"/>
    <mergeCell ref="A39:A44"/>
    <mergeCell ref="B39:B44"/>
    <mergeCell ref="C39:C44"/>
    <mergeCell ref="D39:D44"/>
    <mergeCell ref="E39:E44"/>
    <mergeCell ref="F39:F44"/>
    <mergeCell ref="G39:G44"/>
    <mergeCell ref="H39:H44"/>
    <mergeCell ref="F53:F56"/>
    <mergeCell ref="I39:I40"/>
    <mergeCell ref="A45:A48"/>
    <mergeCell ref="B45:B48"/>
    <mergeCell ref="C45:C48"/>
    <mergeCell ref="D45:D48"/>
    <mergeCell ref="E45:E48"/>
    <mergeCell ref="F45:F48"/>
    <mergeCell ref="G45:G48"/>
    <mergeCell ref="H45:H48"/>
    <mergeCell ref="A57:J57"/>
    <mergeCell ref="A6:J6"/>
    <mergeCell ref="A30:J30"/>
    <mergeCell ref="A53:A56"/>
    <mergeCell ref="B53:B56"/>
    <mergeCell ref="G53:G56"/>
    <mergeCell ref="H53:H56"/>
    <mergeCell ref="C53:C56"/>
    <mergeCell ref="D53:D56"/>
    <mergeCell ref="E53:E56"/>
    <mergeCell ref="K1:L1"/>
    <mergeCell ref="F7:F9"/>
    <mergeCell ref="I7:I9"/>
    <mergeCell ref="G7:G9"/>
    <mergeCell ref="H7:H9"/>
    <mergeCell ref="A2:L2"/>
    <mergeCell ref="A7:A9"/>
    <mergeCell ref="B7:B9"/>
    <mergeCell ref="C7:C9"/>
    <mergeCell ref="D7:D9"/>
    <mergeCell ref="G10:G13"/>
    <mergeCell ref="G14:G16"/>
    <mergeCell ref="A17:A19"/>
    <mergeCell ref="B17:B19"/>
    <mergeCell ref="C17:C19"/>
    <mergeCell ref="D17:D19"/>
    <mergeCell ref="A14:A16"/>
    <mergeCell ref="B14:B16"/>
    <mergeCell ref="A10:A13"/>
    <mergeCell ref="B10:B13"/>
    <mergeCell ref="I17:I19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</mergeCells>
  <printOptions horizontalCentered="1" verticalCentered="1"/>
  <pageMargins left="0.7086614173228347" right="0.5118110236220472" top="0.9448818897637796" bottom="0.7480314960629921" header="0.31496062992125984" footer="0.31496062992125984"/>
  <pageSetup horizontalDpi="600" verticalDpi="600" orientation="landscape" paperSize="9" r:id="rId1"/>
  <rowBreaks count="1" manualBreakCount="1">
    <brk id="19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G213"/>
  <sheetViews>
    <sheetView view="pageBreakPreview" zoomScaleSheetLayoutView="100" zoomScalePageLayoutView="0" workbookViewId="0" topLeftCell="A17">
      <selection activeCell="A28" sqref="A28:C28"/>
    </sheetView>
  </sheetViews>
  <sheetFormatPr defaultColWidth="9.00390625" defaultRowHeight="12.75"/>
  <cols>
    <col min="1" max="1" width="4.00390625" style="68" customWidth="1"/>
    <col min="2" max="2" width="8.625" style="68" customWidth="1"/>
    <col min="3" max="3" width="87.875" style="68" customWidth="1"/>
    <col min="4" max="4" width="13.125" style="68" customWidth="1"/>
    <col min="5" max="5" width="12.375" style="68" customWidth="1"/>
    <col min="6" max="6" width="5.75390625" style="68" customWidth="1"/>
    <col min="7" max="7" width="10.00390625" style="69" bestFit="1" customWidth="1"/>
    <col min="8" max="16384" width="9.125" style="68" customWidth="1"/>
  </cols>
  <sheetData>
    <row r="1" spans="5:7" s="797" customFormat="1" ht="12.75">
      <c r="E1" s="1478" t="s">
        <v>630</v>
      </c>
      <c r="F1" s="1478"/>
      <c r="G1" s="798"/>
    </row>
    <row r="2" spans="6:7" s="797" customFormat="1" ht="28.5" customHeight="1">
      <c r="F2" s="774"/>
      <c r="G2" s="798"/>
    </row>
    <row r="3" spans="1:7" s="508" customFormat="1" ht="15" customHeight="1">
      <c r="A3" s="1498" t="s">
        <v>32</v>
      </c>
      <c r="B3" s="1498"/>
      <c r="C3" s="1498"/>
      <c r="D3" s="1498"/>
      <c r="E3" s="1498"/>
      <c r="F3" s="1498"/>
      <c r="G3" s="800"/>
    </row>
    <row r="4" spans="3:7" s="797" customFormat="1" ht="15" customHeight="1" thickBot="1">
      <c r="C4" s="799"/>
      <c r="F4" s="801" t="s">
        <v>818</v>
      </c>
      <c r="G4" s="798"/>
    </row>
    <row r="5" spans="1:7" s="799" customFormat="1" ht="31.5" customHeight="1">
      <c r="A5" s="802" t="s">
        <v>1167</v>
      </c>
      <c r="B5" s="285" t="s">
        <v>819</v>
      </c>
      <c r="C5" s="285" t="s">
        <v>218</v>
      </c>
      <c r="D5" s="285" t="s">
        <v>821</v>
      </c>
      <c r="E5" s="285" t="s">
        <v>822</v>
      </c>
      <c r="F5" s="286" t="s">
        <v>823</v>
      </c>
      <c r="G5" s="747"/>
    </row>
    <row r="6" spans="1:7" s="799" customFormat="1" ht="12" customHeight="1" thickBot="1">
      <c r="A6" s="803">
        <v>1</v>
      </c>
      <c r="B6" s="804">
        <v>2</v>
      </c>
      <c r="C6" s="804">
        <v>3</v>
      </c>
      <c r="D6" s="804">
        <v>4</v>
      </c>
      <c r="E6" s="804">
        <v>5</v>
      </c>
      <c r="F6" s="805">
        <v>6</v>
      </c>
      <c r="G6" s="747"/>
    </row>
    <row r="7" spans="1:7" s="809" customFormat="1" ht="27.75" customHeight="1">
      <c r="A7" s="1499" t="s">
        <v>903</v>
      </c>
      <c r="B7" s="1500"/>
      <c r="C7" s="1501"/>
      <c r="D7" s="806">
        <f>SUM(D8,D9,D10,D11,D12,D13,D14,D15,D16,D17,D18,D19,D20,D21,D22,D23)</f>
        <v>17707000</v>
      </c>
      <c r="E7" s="806">
        <f>SUM(E8,E9,E10,E11,E12,E13,E14,E15,E16,E17,E18,E19,E20,E21,E22,E23)</f>
        <v>1551704.93</v>
      </c>
      <c r="F7" s="807">
        <f aca="true" t="shared" si="0" ref="F7:F26">E7/D7*100</f>
        <v>8.763228836053539</v>
      </c>
      <c r="G7" s="808"/>
    </row>
    <row r="8" spans="1:7" s="797" customFormat="1" ht="27.75" customHeight="1">
      <c r="A8" s="816" t="s">
        <v>1170</v>
      </c>
      <c r="B8" s="820" t="s">
        <v>904</v>
      </c>
      <c r="C8" s="266" t="s">
        <v>1037</v>
      </c>
      <c r="D8" s="821">
        <v>6164000</v>
      </c>
      <c r="E8" s="821">
        <v>1273079.91</v>
      </c>
      <c r="F8" s="822">
        <f t="shared" si="0"/>
        <v>20.653470311486046</v>
      </c>
      <c r="G8" s="813"/>
    </row>
    <row r="9" spans="1:7" s="797" customFormat="1" ht="27.75" customHeight="1">
      <c r="A9" s="816" t="s">
        <v>1171</v>
      </c>
      <c r="B9" s="820" t="s">
        <v>904</v>
      </c>
      <c r="C9" s="266" t="s">
        <v>180</v>
      </c>
      <c r="D9" s="821">
        <v>1750000</v>
      </c>
      <c r="E9" s="821">
        <v>0</v>
      </c>
      <c r="F9" s="822">
        <f>E9/D9*100</f>
        <v>0</v>
      </c>
      <c r="G9" s="813"/>
    </row>
    <row r="10" spans="1:7" s="797" customFormat="1" ht="27.75" customHeight="1">
      <c r="A10" s="816" t="s">
        <v>1255</v>
      </c>
      <c r="B10" s="820" t="s">
        <v>904</v>
      </c>
      <c r="C10" s="266" t="s">
        <v>33</v>
      </c>
      <c r="D10" s="821">
        <v>100000</v>
      </c>
      <c r="E10" s="821">
        <v>0</v>
      </c>
      <c r="F10" s="822">
        <f>E10/D10*100</f>
        <v>0</v>
      </c>
      <c r="G10" s="813"/>
    </row>
    <row r="11" spans="1:7" s="797" customFormat="1" ht="27.75" customHeight="1">
      <c r="A11" s="816" t="s">
        <v>1262</v>
      </c>
      <c r="B11" s="820" t="s">
        <v>904</v>
      </c>
      <c r="C11" s="266" t="s">
        <v>690</v>
      </c>
      <c r="D11" s="821">
        <v>1710000</v>
      </c>
      <c r="E11" s="821">
        <v>0</v>
      </c>
      <c r="F11" s="822">
        <f t="shared" si="0"/>
        <v>0</v>
      </c>
      <c r="G11" s="813"/>
    </row>
    <row r="12" spans="1:7" s="797" customFormat="1" ht="30" customHeight="1">
      <c r="A12" s="816" t="s">
        <v>1263</v>
      </c>
      <c r="B12" s="820" t="s">
        <v>904</v>
      </c>
      <c r="C12" s="266" t="s">
        <v>336</v>
      </c>
      <c r="D12" s="821">
        <v>100000</v>
      </c>
      <c r="E12" s="821">
        <v>2440</v>
      </c>
      <c r="F12" s="822">
        <f>E12/D12*100</f>
        <v>2.44</v>
      </c>
      <c r="G12" s="813"/>
    </row>
    <row r="13" spans="1:7" s="797" customFormat="1" ht="27.75" customHeight="1">
      <c r="A13" s="816" t="s">
        <v>1264</v>
      </c>
      <c r="B13" s="820" t="s">
        <v>904</v>
      </c>
      <c r="C13" s="266" t="s">
        <v>34</v>
      </c>
      <c r="D13" s="821">
        <v>80000</v>
      </c>
      <c r="E13" s="821">
        <v>0</v>
      </c>
      <c r="F13" s="822">
        <f>E13/D13*100</f>
        <v>0</v>
      </c>
      <c r="G13" s="813"/>
    </row>
    <row r="14" spans="1:7" s="797" customFormat="1" ht="27.75" customHeight="1">
      <c r="A14" s="816" t="s">
        <v>1351</v>
      </c>
      <c r="B14" s="820" t="s">
        <v>904</v>
      </c>
      <c r="C14" s="266" t="s">
        <v>304</v>
      </c>
      <c r="D14" s="821">
        <v>459000</v>
      </c>
      <c r="E14" s="821">
        <v>109653.73</v>
      </c>
      <c r="F14" s="822">
        <f t="shared" si="0"/>
        <v>23.889701525054466</v>
      </c>
      <c r="G14" s="813"/>
    </row>
    <row r="15" spans="1:7" s="797" customFormat="1" ht="27.75" customHeight="1">
      <c r="A15" s="816" t="s">
        <v>1352</v>
      </c>
      <c r="B15" s="820" t="s">
        <v>905</v>
      </c>
      <c r="C15" s="266" t="s">
        <v>898</v>
      </c>
      <c r="D15" s="821">
        <v>3300000</v>
      </c>
      <c r="E15" s="821">
        <v>26975.36</v>
      </c>
      <c r="F15" s="822">
        <f t="shared" si="0"/>
        <v>0.8174351515151514</v>
      </c>
      <c r="G15" s="813"/>
    </row>
    <row r="16" spans="1:7" s="797" customFormat="1" ht="27.75" customHeight="1">
      <c r="A16" s="816" t="s">
        <v>1265</v>
      </c>
      <c r="B16" s="820" t="s">
        <v>905</v>
      </c>
      <c r="C16" s="510" t="s">
        <v>35</v>
      </c>
      <c r="D16" s="818">
        <v>100000</v>
      </c>
      <c r="E16" s="818">
        <v>0</v>
      </c>
      <c r="F16" s="819">
        <f t="shared" si="0"/>
        <v>0</v>
      </c>
      <c r="G16" s="813"/>
    </row>
    <row r="17" spans="1:7" s="797" customFormat="1" ht="27.75" customHeight="1">
      <c r="A17" s="816" t="s">
        <v>1267</v>
      </c>
      <c r="B17" s="820" t="s">
        <v>905</v>
      </c>
      <c r="C17" s="510" t="s">
        <v>36</v>
      </c>
      <c r="D17" s="818">
        <v>300000</v>
      </c>
      <c r="E17" s="818">
        <v>0</v>
      </c>
      <c r="F17" s="819">
        <f t="shared" si="0"/>
        <v>0</v>
      </c>
      <c r="G17" s="813"/>
    </row>
    <row r="18" spans="1:7" s="797" customFormat="1" ht="27.75" customHeight="1">
      <c r="A18" s="816" t="s">
        <v>1353</v>
      </c>
      <c r="B18" s="817" t="s">
        <v>905</v>
      </c>
      <c r="C18" s="510" t="s">
        <v>522</v>
      </c>
      <c r="D18" s="818">
        <v>400000</v>
      </c>
      <c r="E18" s="818">
        <v>97144.45</v>
      </c>
      <c r="F18" s="819">
        <f t="shared" si="0"/>
        <v>24.286112499999998</v>
      </c>
      <c r="G18" s="813"/>
    </row>
    <row r="19" spans="1:7" s="797" customFormat="1" ht="30" customHeight="1">
      <c r="A19" s="816" t="s">
        <v>1268</v>
      </c>
      <c r="B19" s="817" t="s">
        <v>905</v>
      </c>
      <c r="C19" s="510" t="s">
        <v>305</v>
      </c>
      <c r="D19" s="818">
        <v>170000</v>
      </c>
      <c r="E19" s="818">
        <v>38722.52</v>
      </c>
      <c r="F19" s="819">
        <f t="shared" si="0"/>
        <v>22.77795294117647</v>
      </c>
      <c r="G19" s="813"/>
    </row>
    <row r="20" spans="1:7" s="797" customFormat="1" ht="30" customHeight="1">
      <c r="A20" s="816" t="s">
        <v>1269</v>
      </c>
      <c r="B20" s="817" t="s">
        <v>905</v>
      </c>
      <c r="C20" s="510" t="s">
        <v>306</v>
      </c>
      <c r="D20" s="821">
        <v>120000</v>
      </c>
      <c r="E20" s="821">
        <v>0</v>
      </c>
      <c r="F20" s="822">
        <f t="shared" si="0"/>
        <v>0</v>
      </c>
      <c r="G20" s="813"/>
    </row>
    <row r="21" spans="1:7" s="797" customFormat="1" ht="27.75" customHeight="1">
      <c r="A21" s="816" t="s">
        <v>1354</v>
      </c>
      <c r="B21" s="820" t="s">
        <v>905</v>
      </c>
      <c r="C21" s="266" t="s">
        <v>181</v>
      </c>
      <c r="D21" s="821">
        <v>106000</v>
      </c>
      <c r="E21" s="821">
        <v>0</v>
      </c>
      <c r="F21" s="822">
        <f t="shared" si="0"/>
        <v>0</v>
      </c>
      <c r="G21" s="813"/>
    </row>
    <row r="22" spans="1:7" s="797" customFormat="1" ht="27.75" customHeight="1">
      <c r="A22" s="816" t="s">
        <v>1270</v>
      </c>
      <c r="B22" s="820" t="s">
        <v>905</v>
      </c>
      <c r="C22" s="266" t="s">
        <v>182</v>
      </c>
      <c r="D22" s="821">
        <v>1700000</v>
      </c>
      <c r="E22" s="821">
        <v>2440</v>
      </c>
      <c r="F22" s="822">
        <f t="shared" si="0"/>
        <v>0.1435294117647059</v>
      </c>
      <c r="G22" s="813"/>
    </row>
    <row r="23" spans="1:7" s="797" customFormat="1" ht="27.75" customHeight="1">
      <c r="A23" s="816" t="s">
        <v>1271</v>
      </c>
      <c r="B23" s="820" t="s">
        <v>905</v>
      </c>
      <c r="C23" s="266" t="s">
        <v>680</v>
      </c>
      <c r="D23" s="821">
        <v>1148000</v>
      </c>
      <c r="E23" s="821">
        <v>1248.96</v>
      </c>
      <c r="F23" s="822">
        <f t="shared" si="0"/>
        <v>0.10879442508710802</v>
      </c>
      <c r="G23" s="813"/>
    </row>
    <row r="24" spans="1:7" s="826" customFormat="1" ht="27.75" customHeight="1">
      <c r="A24" s="1502" t="s">
        <v>908</v>
      </c>
      <c r="B24" s="1503"/>
      <c r="C24" s="1504"/>
      <c r="D24" s="824">
        <f>SUM(D25,D26,D27)</f>
        <v>5280100</v>
      </c>
      <c r="E24" s="824">
        <f>SUM(E25,E26,E27)</f>
        <v>40551.29</v>
      </c>
      <c r="F24" s="825">
        <f t="shared" si="0"/>
        <v>0.7680023105623001</v>
      </c>
      <c r="G24" s="813"/>
    </row>
    <row r="25" spans="1:7" s="797" customFormat="1" ht="27.75" customHeight="1">
      <c r="A25" s="816" t="s">
        <v>1272</v>
      </c>
      <c r="B25" s="820" t="s">
        <v>337</v>
      </c>
      <c r="C25" s="266" t="s">
        <v>681</v>
      </c>
      <c r="D25" s="821">
        <v>5150000</v>
      </c>
      <c r="E25" s="821">
        <v>33231.29</v>
      </c>
      <c r="F25" s="822">
        <f>E25/D25*100</f>
        <v>0.6452677669902913</v>
      </c>
      <c r="G25" s="813"/>
    </row>
    <row r="26" spans="1:7" s="797" customFormat="1" ht="27.75" customHeight="1">
      <c r="A26" s="816" t="s">
        <v>1273</v>
      </c>
      <c r="B26" s="820" t="s">
        <v>337</v>
      </c>
      <c r="C26" s="266" t="s">
        <v>744</v>
      </c>
      <c r="D26" s="821">
        <v>57100</v>
      </c>
      <c r="E26" s="821">
        <v>0</v>
      </c>
      <c r="F26" s="822">
        <f t="shared" si="0"/>
        <v>0</v>
      </c>
      <c r="G26" s="813"/>
    </row>
    <row r="27" spans="1:7" s="797" customFormat="1" ht="27.75" customHeight="1">
      <c r="A27" s="816" t="s">
        <v>1276</v>
      </c>
      <c r="B27" s="820" t="s">
        <v>337</v>
      </c>
      <c r="C27" s="266" t="s">
        <v>523</v>
      </c>
      <c r="D27" s="821">
        <v>73000</v>
      </c>
      <c r="E27" s="821">
        <v>7320</v>
      </c>
      <c r="F27" s="822">
        <f aca="true" t="shared" si="1" ref="F27:F48">E27/D27*100</f>
        <v>10.027397260273972</v>
      </c>
      <c r="G27" s="813"/>
    </row>
    <row r="28" spans="1:7" s="826" customFormat="1" ht="27.75" customHeight="1">
      <c r="A28" s="1502" t="s">
        <v>910</v>
      </c>
      <c r="B28" s="1503"/>
      <c r="C28" s="1504"/>
      <c r="D28" s="824">
        <f>SUM(D29)</f>
        <v>50000</v>
      </c>
      <c r="E28" s="824">
        <f>SUM(E29)</f>
        <v>0</v>
      </c>
      <c r="F28" s="825">
        <f t="shared" si="1"/>
        <v>0</v>
      </c>
      <c r="G28" s="813"/>
    </row>
    <row r="29" spans="1:7" s="797" customFormat="1" ht="27.75" customHeight="1">
      <c r="A29" s="816" t="s">
        <v>1277</v>
      </c>
      <c r="B29" s="820" t="s">
        <v>343</v>
      </c>
      <c r="C29" s="266" t="s">
        <v>37</v>
      </c>
      <c r="D29" s="821">
        <v>50000</v>
      </c>
      <c r="E29" s="821">
        <v>0</v>
      </c>
      <c r="F29" s="822">
        <f t="shared" si="1"/>
        <v>0</v>
      </c>
      <c r="G29" s="813"/>
    </row>
    <row r="30" spans="1:7" s="826" customFormat="1" ht="27.75" customHeight="1">
      <c r="A30" s="1505" t="s">
        <v>183</v>
      </c>
      <c r="B30" s="1503"/>
      <c r="C30" s="1504"/>
      <c r="D30" s="824">
        <f>SUM(D31)</f>
        <v>562000</v>
      </c>
      <c r="E30" s="824">
        <f>SUM(E31)</f>
        <v>0</v>
      </c>
      <c r="F30" s="825">
        <f t="shared" si="1"/>
        <v>0</v>
      </c>
      <c r="G30" s="813"/>
    </row>
    <row r="31" spans="1:7" s="797" customFormat="1" ht="27.75" customHeight="1">
      <c r="A31" s="816" t="s">
        <v>1278</v>
      </c>
      <c r="B31" s="820" t="s">
        <v>923</v>
      </c>
      <c r="C31" s="266" t="s">
        <v>184</v>
      </c>
      <c r="D31" s="821">
        <v>562000</v>
      </c>
      <c r="E31" s="821">
        <v>0</v>
      </c>
      <c r="F31" s="822">
        <f t="shared" si="1"/>
        <v>0</v>
      </c>
      <c r="G31" s="813"/>
    </row>
    <row r="32" spans="1:7" s="829" customFormat="1" ht="27.75" customHeight="1">
      <c r="A32" s="827"/>
      <c r="B32" s="828"/>
      <c r="C32" s="823" t="s">
        <v>186</v>
      </c>
      <c r="D32" s="824">
        <f>D33+D34</f>
        <v>765000</v>
      </c>
      <c r="E32" s="824">
        <f>E33+E34</f>
        <v>30259.38</v>
      </c>
      <c r="F32" s="825">
        <f t="shared" si="1"/>
        <v>3.955474509803922</v>
      </c>
      <c r="G32" s="813"/>
    </row>
    <row r="33" spans="1:7" s="797" customFormat="1" ht="27.75" customHeight="1">
      <c r="A33" s="816" t="s">
        <v>1279</v>
      </c>
      <c r="B33" s="820" t="s">
        <v>938</v>
      </c>
      <c r="C33" s="266" t="s">
        <v>682</v>
      </c>
      <c r="D33" s="821">
        <v>200000</v>
      </c>
      <c r="E33" s="821">
        <v>30259.38</v>
      </c>
      <c r="F33" s="822">
        <f t="shared" si="1"/>
        <v>15.129690000000002</v>
      </c>
      <c r="G33" s="813"/>
    </row>
    <row r="34" spans="1:7" s="797" customFormat="1" ht="27.75" customHeight="1">
      <c r="A34" s="816" t="s">
        <v>1127</v>
      </c>
      <c r="B34" s="820" t="s">
        <v>938</v>
      </c>
      <c r="C34" s="266" t="s">
        <v>38</v>
      </c>
      <c r="D34" s="821">
        <v>565000</v>
      </c>
      <c r="E34" s="821">
        <v>0</v>
      </c>
      <c r="F34" s="822">
        <f t="shared" si="1"/>
        <v>0</v>
      </c>
      <c r="G34" s="813"/>
    </row>
    <row r="35" spans="1:7" s="826" customFormat="1" ht="27.75" customHeight="1">
      <c r="A35" s="1502" t="s">
        <v>948</v>
      </c>
      <c r="B35" s="1503"/>
      <c r="C35" s="1504"/>
      <c r="D35" s="824">
        <f>D36</f>
        <v>500000</v>
      </c>
      <c r="E35" s="824">
        <f>E36</f>
        <v>0</v>
      </c>
      <c r="F35" s="825">
        <f t="shared" si="1"/>
        <v>0</v>
      </c>
      <c r="G35" s="813"/>
    </row>
    <row r="36" spans="1:7" s="797" customFormat="1" ht="27.75" customHeight="1">
      <c r="A36" s="816" t="s">
        <v>1128</v>
      </c>
      <c r="B36" s="820" t="s">
        <v>949</v>
      </c>
      <c r="C36" s="266" t="s">
        <v>187</v>
      </c>
      <c r="D36" s="821">
        <v>500000</v>
      </c>
      <c r="E36" s="821">
        <v>0</v>
      </c>
      <c r="F36" s="822">
        <f t="shared" si="1"/>
        <v>0</v>
      </c>
      <c r="G36" s="813"/>
    </row>
    <row r="37" spans="1:7" s="826" customFormat="1" ht="27.75" customHeight="1">
      <c r="A37" s="1499" t="s">
        <v>957</v>
      </c>
      <c r="B37" s="1500"/>
      <c r="C37" s="1501"/>
      <c r="D37" s="806">
        <f>SUM(D38,D39)</f>
        <v>246000</v>
      </c>
      <c r="E37" s="806">
        <f>SUM(E38,E39)</f>
        <v>0</v>
      </c>
      <c r="F37" s="807">
        <f t="shared" si="1"/>
        <v>0</v>
      </c>
      <c r="G37" s="813"/>
    </row>
    <row r="38" spans="1:7" s="797" customFormat="1" ht="27.75" customHeight="1">
      <c r="A38" s="816" t="s">
        <v>1129</v>
      </c>
      <c r="B38" s="820" t="s">
        <v>402</v>
      </c>
      <c r="C38" s="266" t="s">
        <v>39</v>
      </c>
      <c r="D38" s="821">
        <v>96000</v>
      </c>
      <c r="E38" s="821">
        <v>0</v>
      </c>
      <c r="F38" s="822">
        <f t="shared" si="1"/>
        <v>0</v>
      </c>
      <c r="G38" s="813"/>
    </row>
    <row r="39" spans="1:7" s="797" customFormat="1" ht="27.75" customHeight="1">
      <c r="A39" s="816" t="s">
        <v>1130</v>
      </c>
      <c r="B39" s="820" t="s">
        <v>958</v>
      </c>
      <c r="C39" s="266" t="s">
        <v>40</v>
      </c>
      <c r="D39" s="821">
        <v>150000</v>
      </c>
      <c r="E39" s="821">
        <v>0</v>
      </c>
      <c r="F39" s="822">
        <f t="shared" si="1"/>
        <v>0</v>
      </c>
      <c r="G39" s="813"/>
    </row>
    <row r="40" spans="1:7" s="826" customFormat="1" ht="27.75" customHeight="1">
      <c r="A40" s="1502" t="s">
        <v>454</v>
      </c>
      <c r="B40" s="1503"/>
      <c r="C40" s="1504"/>
      <c r="D40" s="824">
        <f>SUM(D41,D42,D43,D44,D45,D46)</f>
        <v>10255700</v>
      </c>
      <c r="E40" s="824">
        <f>SUM(E41,E42,E43,E44,E45,E46)</f>
        <v>1130846.66</v>
      </c>
      <c r="F40" s="825">
        <f t="shared" si="1"/>
        <v>11.026518521407606</v>
      </c>
      <c r="G40" s="813"/>
    </row>
    <row r="41" spans="1:7" s="797" customFormat="1" ht="27.75" customHeight="1">
      <c r="A41" s="830" t="s">
        <v>475</v>
      </c>
      <c r="B41" s="814" t="s">
        <v>455</v>
      </c>
      <c r="C41" s="831" t="s">
        <v>1106</v>
      </c>
      <c r="D41" s="832">
        <v>5400000</v>
      </c>
      <c r="E41" s="832">
        <v>1017146.67</v>
      </c>
      <c r="F41" s="815">
        <f t="shared" si="1"/>
        <v>18.836049444444445</v>
      </c>
      <c r="G41" s="813"/>
    </row>
    <row r="42" spans="1:7" s="834" customFormat="1" ht="30" customHeight="1">
      <c r="A42" s="830" t="s">
        <v>476</v>
      </c>
      <c r="B42" s="820" t="s">
        <v>455</v>
      </c>
      <c r="C42" s="833" t="s">
        <v>307</v>
      </c>
      <c r="D42" s="821">
        <v>1730000</v>
      </c>
      <c r="E42" s="821">
        <v>0</v>
      </c>
      <c r="F42" s="822">
        <f t="shared" si="1"/>
        <v>0</v>
      </c>
      <c r="G42" s="813"/>
    </row>
    <row r="43" spans="1:7" s="834" customFormat="1" ht="27.75" customHeight="1">
      <c r="A43" s="830" t="s">
        <v>477</v>
      </c>
      <c r="B43" s="820" t="s">
        <v>455</v>
      </c>
      <c r="C43" s="833" t="s">
        <v>41</v>
      </c>
      <c r="D43" s="821">
        <v>260000</v>
      </c>
      <c r="E43" s="821">
        <v>0</v>
      </c>
      <c r="F43" s="822">
        <f t="shared" si="1"/>
        <v>0</v>
      </c>
      <c r="G43" s="813"/>
    </row>
    <row r="44" spans="1:7" s="797" customFormat="1" ht="27.75" customHeight="1">
      <c r="A44" s="830" t="s">
        <v>697</v>
      </c>
      <c r="B44" s="820" t="s">
        <v>1051</v>
      </c>
      <c r="C44" s="266" t="s">
        <v>42</v>
      </c>
      <c r="D44" s="821">
        <v>326000</v>
      </c>
      <c r="E44" s="821">
        <v>68416.55</v>
      </c>
      <c r="F44" s="822">
        <f t="shared" si="1"/>
        <v>20.986671779141105</v>
      </c>
      <c r="G44" s="813"/>
    </row>
    <row r="45" spans="1:7" s="797" customFormat="1" ht="27.75" customHeight="1">
      <c r="A45" s="830" t="s">
        <v>698</v>
      </c>
      <c r="B45" s="811" t="s">
        <v>1053</v>
      </c>
      <c r="C45" s="835" t="s">
        <v>43</v>
      </c>
      <c r="D45" s="836">
        <v>250000</v>
      </c>
      <c r="E45" s="836">
        <v>0</v>
      </c>
      <c r="F45" s="812">
        <f t="shared" si="1"/>
        <v>0</v>
      </c>
      <c r="G45" s="813"/>
    </row>
    <row r="46" spans="1:7" s="834" customFormat="1" ht="27.75" customHeight="1">
      <c r="A46" s="810" t="s">
        <v>500</v>
      </c>
      <c r="B46" s="811" t="s">
        <v>1053</v>
      </c>
      <c r="C46" s="837" t="s">
        <v>308</v>
      </c>
      <c r="D46" s="821">
        <v>2289700</v>
      </c>
      <c r="E46" s="821">
        <v>45283.44</v>
      </c>
      <c r="F46" s="812">
        <f t="shared" si="1"/>
        <v>1.977701882342665</v>
      </c>
      <c r="G46" s="813"/>
    </row>
    <row r="47" spans="1:7" s="838" customFormat="1" ht="27.75" customHeight="1">
      <c r="A47" s="1502" t="s">
        <v>465</v>
      </c>
      <c r="B47" s="1506"/>
      <c r="C47" s="1507"/>
      <c r="D47" s="806">
        <f>SUM(D48)</f>
        <v>30000</v>
      </c>
      <c r="E47" s="806">
        <f>SUM(E48)</f>
        <v>0</v>
      </c>
      <c r="F47" s="825">
        <f t="shared" si="1"/>
        <v>0</v>
      </c>
      <c r="G47" s="813"/>
    </row>
    <row r="48" spans="1:7" s="834" customFormat="1" ht="27.75" customHeight="1">
      <c r="A48" s="816" t="s">
        <v>964</v>
      </c>
      <c r="B48" s="820" t="s">
        <v>139</v>
      </c>
      <c r="C48" s="839" t="s">
        <v>309</v>
      </c>
      <c r="D48" s="818">
        <v>30000</v>
      </c>
      <c r="E48" s="818">
        <v>0</v>
      </c>
      <c r="F48" s="822">
        <f t="shared" si="1"/>
        <v>0</v>
      </c>
      <c r="G48" s="813"/>
    </row>
    <row r="49" spans="1:7" s="826" customFormat="1" ht="27.75" customHeight="1">
      <c r="A49" s="1499" t="s">
        <v>1082</v>
      </c>
      <c r="B49" s="1500"/>
      <c r="C49" s="1501"/>
      <c r="D49" s="806">
        <f>SUM(D50,D51)</f>
        <v>8550000</v>
      </c>
      <c r="E49" s="806">
        <f>SUM(E50,E51)</f>
        <v>1490380.1</v>
      </c>
      <c r="F49" s="807">
        <f>E49/D49*100</f>
        <v>17.43134619883041</v>
      </c>
      <c r="G49" s="813"/>
    </row>
    <row r="50" spans="1:7" s="797" customFormat="1" ht="27.75" customHeight="1">
      <c r="A50" s="816" t="s">
        <v>694</v>
      </c>
      <c r="B50" s="820" t="s">
        <v>1086</v>
      </c>
      <c r="C50" s="266" t="s">
        <v>503</v>
      </c>
      <c r="D50" s="821">
        <v>3350000</v>
      </c>
      <c r="E50" s="821">
        <v>772.78</v>
      </c>
      <c r="F50" s="819">
        <f>E50/D50*100</f>
        <v>0.02306805970149254</v>
      </c>
      <c r="G50" s="813"/>
    </row>
    <row r="51" spans="1:7" s="797" customFormat="1" ht="27.75" customHeight="1" thickBot="1">
      <c r="A51" s="840" t="s">
        <v>745</v>
      </c>
      <c r="B51" s="841" t="s">
        <v>1086</v>
      </c>
      <c r="C51" s="501" t="s">
        <v>504</v>
      </c>
      <c r="D51" s="842">
        <v>5200000</v>
      </c>
      <c r="E51" s="842">
        <v>1489607.32</v>
      </c>
      <c r="F51" s="843">
        <f>E51/D51*100</f>
        <v>28.646294615384615</v>
      </c>
      <c r="G51" s="813"/>
    </row>
    <row r="52" spans="1:7" s="844" customFormat="1" ht="27.75" customHeight="1" thickBot="1" thickTop="1">
      <c r="A52" s="845"/>
      <c r="B52" s="846"/>
      <c r="C52" s="846" t="s">
        <v>1000</v>
      </c>
      <c r="D52" s="847">
        <f>SUM(D7,D24,D28,D30,D32,D35,D37,D40,D47,D49)</f>
        <v>43945800</v>
      </c>
      <c r="E52" s="847">
        <f>SUM(E7,E24,E28,E30,E32,E35,E37,E40,E47,E49)</f>
        <v>4243742.359999999</v>
      </c>
      <c r="F52" s="848">
        <f>E52/D52*100</f>
        <v>9.656764377938277</v>
      </c>
      <c r="G52" s="813"/>
    </row>
    <row r="53" ht="9.75" customHeight="1">
      <c r="G53" s="70"/>
    </row>
    <row r="54" ht="12.75">
      <c r="G54" s="70"/>
    </row>
    <row r="55" ht="12.75">
      <c r="G55" s="70"/>
    </row>
    <row r="56" ht="12.75">
      <c r="G56" s="70"/>
    </row>
    <row r="57" ht="12.75">
      <c r="G57" s="70"/>
    </row>
    <row r="58" ht="12.75">
      <c r="G58" s="70"/>
    </row>
    <row r="59" ht="12.75">
      <c r="G59" s="70"/>
    </row>
    <row r="60" ht="12.75">
      <c r="G60" s="70"/>
    </row>
    <row r="61" ht="12.75">
      <c r="G61" s="70"/>
    </row>
    <row r="62" ht="12.75">
      <c r="G62" s="70"/>
    </row>
    <row r="63" ht="12.75">
      <c r="G63" s="70"/>
    </row>
    <row r="64" ht="12.75">
      <c r="G64" s="70"/>
    </row>
    <row r="65" ht="12.75">
      <c r="G65" s="70"/>
    </row>
    <row r="66" ht="12.75">
      <c r="G66" s="70"/>
    </row>
    <row r="67" ht="12.75">
      <c r="G67" s="70"/>
    </row>
    <row r="68" ht="12.75">
      <c r="G68" s="70"/>
    </row>
    <row r="69" ht="12.75">
      <c r="G69" s="70"/>
    </row>
    <row r="70" ht="12.75">
      <c r="G70" s="70"/>
    </row>
    <row r="71" ht="12.75">
      <c r="G71" s="70"/>
    </row>
    <row r="72" ht="12.75">
      <c r="G72" s="70"/>
    </row>
    <row r="73" ht="12.75">
      <c r="G73" s="70"/>
    </row>
    <row r="74" ht="12.75">
      <c r="G74" s="70"/>
    </row>
    <row r="75" ht="12.75">
      <c r="G75" s="70"/>
    </row>
    <row r="76" ht="12.75">
      <c r="G76" s="70"/>
    </row>
    <row r="77" ht="12.75">
      <c r="G77" s="70"/>
    </row>
    <row r="78" ht="12.75">
      <c r="G78" s="70"/>
    </row>
    <row r="79" ht="12.75">
      <c r="G79" s="70"/>
    </row>
    <row r="80" ht="12.75">
      <c r="G80" s="70"/>
    </row>
    <row r="81" ht="12.75">
      <c r="G81" s="70"/>
    </row>
    <row r="82" ht="12.75">
      <c r="G82" s="70"/>
    </row>
    <row r="83" ht="12.75">
      <c r="G83" s="70"/>
    </row>
    <row r="84" ht="12.75">
      <c r="G84" s="70"/>
    </row>
    <row r="85" ht="12.75">
      <c r="G85" s="70"/>
    </row>
    <row r="86" ht="12.75">
      <c r="G86" s="70"/>
    </row>
    <row r="87" ht="12.75">
      <c r="G87" s="70"/>
    </row>
    <row r="88" ht="12.75">
      <c r="G88" s="70"/>
    </row>
    <row r="89" ht="12.75">
      <c r="G89" s="70"/>
    </row>
    <row r="90" ht="12.75">
      <c r="G90" s="70"/>
    </row>
    <row r="91" ht="12.75">
      <c r="G91" s="70"/>
    </row>
    <row r="92" ht="12.75">
      <c r="G92" s="70"/>
    </row>
    <row r="93" ht="12.75">
      <c r="G93" s="70"/>
    </row>
    <row r="94" ht="12.75">
      <c r="G94" s="70"/>
    </row>
    <row r="95" ht="12.75">
      <c r="G95" s="70"/>
    </row>
    <row r="96" ht="12.75">
      <c r="G96" s="70"/>
    </row>
    <row r="97" ht="12.75">
      <c r="G97" s="70"/>
    </row>
    <row r="98" ht="12.75">
      <c r="G98" s="70"/>
    </row>
    <row r="99" ht="12.75">
      <c r="G99" s="70"/>
    </row>
    <row r="100" ht="12.75">
      <c r="G100" s="70"/>
    </row>
    <row r="101" ht="12.75">
      <c r="G101" s="70"/>
    </row>
    <row r="102" ht="12.75">
      <c r="G102" s="70"/>
    </row>
    <row r="103" ht="12.75">
      <c r="G103" s="70"/>
    </row>
    <row r="104" ht="12.75">
      <c r="G104" s="70"/>
    </row>
    <row r="105" ht="12.75">
      <c r="G105" s="70"/>
    </row>
    <row r="106" ht="12.75">
      <c r="G106" s="70"/>
    </row>
    <row r="107" ht="12.75">
      <c r="G107" s="70"/>
    </row>
    <row r="108" ht="12.75">
      <c r="G108" s="70"/>
    </row>
    <row r="109" ht="12.75">
      <c r="G109" s="70"/>
    </row>
    <row r="110" ht="12.75">
      <c r="G110" s="70"/>
    </row>
    <row r="111" ht="12.75">
      <c r="G111" s="70"/>
    </row>
    <row r="112" ht="12.75">
      <c r="G112" s="70"/>
    </row>
    <row r="113" ht="12.75">
      <c r="G113" s="70"/>
    </row>
    <row r="114" ht="12.75">
      <c r="G114" s="70"/>
    </row>
    <row r="115" ht="12.75">
      <c r="G115" s="70"/>
    </row>
    <row r="116" ht="12.75">
      <c r="G116" s="70"/>
    </row>
    <row r="117" ht="12.75">
      <c r="G117" s="70"/>
    </row>
    <row r="118" ht="12.75">
      <c r="G118" s="70"/>
    </row>
    <row r="119" ht="12.75">
      <c r="G119" s="70"/>
    </row>
    <row r="120" ht="12.75">
      <c r="G120" s="70"/>
    </row>
    <row r="121" ht="12.75">
      <c r="G121" s="70"/>
    </row>
    <row r="122" ht="12.75">
      <c r="G122" s="70"/>
    </row>
    <row r="123" ht="12.75">
      <c r="G123" s="70"/>
    </row>
    <row r="124" ht="12.75">
      <c r="G124" s="70"/>
    </row>
    <row r="125" ht="12.75">
      <c r="G125" s="70"/>
    </row>
    <row r="126" ht="12.75">
      <c r="G126" s="70"/>
    </row>
    <row r="127" ht="12.75">
      <c r="G127" s="70"/>
    </row>
    <row r="128" ht="12.75">
      <c r="G128" s="70"/>
    </row>
    <row r="129" ht="12.75">
      <c r="G129" s="70"/>
    </row>
    <row r="130" ht="12.75">
      <c r="G130" s="70"/>
    </row>
    <row r="131" ht="12.75">
      <c r="G131" s="70"/>
    </row>
    <row r="132" ht="12.75">
      <c r="G132" s="70"/>
    </row>
    <row r="133" ht="12.75">
      <c r="G133" s="70"/>
    </row>
    <row r="134" ht="12.75">
      <c r="G134" s="70"/>
    </row>
    <row r="135" ht="12.75">
      <c r="G135" s="70"/>
    </row>
    <row r="136" ht="12.75">
      <c r="G136" s="70"/>
    </row>
    <row r="137" ht="12.75">
      <c r="G137" s="70"/>
    </row>
    <row r="138" ht="12.75">
      <c r="G138" s="70"/>
    </row>
    <row r="139" ht="12.75">
      <c r="G139" s="70"/>
    </row>
    <row r="140" ht="12.75">
      <c r="G140" s="70"/>
    </row>
    <row r="141" ht="12.75">
      <c r="G141" s="70"/>
    </row>
    <row r="142" ht="12.75">
      <c r="G142" s="70"/>
    </row>
    <row r="143" ht="12.75">
      <c r="G143" s="70"/>
    </row>
    <row r="144" ht="12.75">
      <c r="G144" s="70"/>
    </row>
    <row r="145" ht="12.75">
      <c r="G145" s="70"/>
    </row>
    <row r="146" ht="12.75">
      <c r="G146" s="70"/>
    </row>
    <row r="147" ht="12.75">
      <c r="G147" s="70"/>
    </row>
    <row r="148" ht="12.75">
      <c r="G148" s="70"/>
    </row>
    <row r="149" ht="12.75">
      <c r="G149" s="70"/>
    </row>
    <row r="150" ht="12.75">
      <c r="G150" s="70"/>
    </row>
    <row r="151" ht="12.75">
      <c r="G151" s="70"/>
    </row>
    <row r="152" ht="12.75">
      <c r="G152" s="70"/>
    </row>
    <row r="153" ht="12.75">
      <c r="G153" s="70"/>
    </row>
    <row r="154" ht="12.75">
      <c r="G154" s="70"/>
    </row>
    <row r="155" ht="12.75">
      <c r="G155" s="70"/>
    </row>
    <row r="156" ht="12.75">
      <c r="G156" s="70"/>
    </row>
    <row r="157" ht="12.75">
      <c r="G157" s="70"/>
    </row>
    <row r="158" ht="12.75">
      <c r="G158" s="70"/>
    </row>
    <row r="159" ht="12.75">
      <c r="G159" s="70"/>
    </row>
    <row r="160" ht="12.75">
      <c r="G160" s="70"/>
    </row>
    <row r="161" ht="12.75">
      <c r="G161" s="70"/>
    </row>
    <row r="162" ht="12.75">
      <c r="G162" s="70"/>
    </row>
    <row r="163" ht="12.75">
      <c r="G163" s="70"/>
    </row>
    <row r="164" ht="12.75">
      <c r="G164" s="70"/>
    </row>
    <row r="165" ht="12.75">
      <c r="G165" s="70"/>
    </row>
    <row r="166" ht="12.75">
      <c r="G166" s="70"/>
    </row>
    <row r="167" ht="12.75">
      <c r="G167" s="70"/>
    </row>
    <row r="168" ht="12.75">
      <c r="G168" s="70"/>
    </row>
    <row r="169" ht="12.75">
      <c r="G169" s="70"/>
    </row>
    <row r="170" ht="12.75">
      <c r="G170" s="70"/>
    </row>
    <row r="171" ht="12.75">
      <c r="G171" s="70"/>
    </row>
    <row r="172" ht="12.75">
      <c r="G172" s="70"/>
    </row>
    <row r="173" ht="12.75">
      <c r="G173" s="70"/>
    </row>
    <row r="174" ht="12.75">
      <c r="G174" s="70"/>
    </row>
    <row r="175" ht="12.75">
      <c r="G175" s="70"/>
    </row>
    <row r="176" ht="12.75">
      <c r="G176" s="70"/>
    </row>
    <row r="177" ht="12.75">
      <c r="G177" s="70"/>
    </row>
    <row r="178" ht="12.75">
      <c r="G178" s="70"/>
    </row>
    <row r="179" ht="12.75">
      <c r="G179" s="70"/>
    </row>
    <row r="180" ht="12.75">
      <c r="G180" s="70"/>
    </row>
    <row r="181" ht="12.75">
      <c r="G181" s="70"/>
    </row>
    <row r="182" ht="12.75">
      <c r="G182" s="70"/>
    </row>
    <row r="183" ht="12.75">
      <c r="G183" s="70"/>
    </row>
    <row r="184" ht="12.75">
      <c r="G184" s="70"/>
    </row>
    <row r="185" ht="12.75">
      <c r="G185" s="70"/>
    </row>
    <row r="186" ht="12.75">
      <c r="G186" s="70"/>
    </row>
    <row r="187" ht="12.75">
      <c r="G187" s="70"/>
    </row>
    <row r="188" ht="12.75">
      <c r="G188" s="70"/>
    </row>
    <row r="189" ht="12.75">
      <c r="G189" s="70"/>
    </row>
    <row r="190" ht="12.75">
      <c r="G190" s="70"/>
    </row>
    <row r="191" ht="12.75">
      <c r="G191" s="70"/>
    </row>
    <row r="192" ht="12.75">
      <c r="G192" s="70"/>
    </row>
    <row r="193" ht="12.75">
      <c r="G193" s="70"/>
    </row>
    <row r="194" ht="12.75">
      <c r="G194" s="70"/>
    </row>
    <row r="195" ht="12.75">
      <c r="G195" s="70"/>
    </row>
    <row r="196" ht="12.75">
      <c r="G196" s="70"/>
    </row>
    <row r="197" ht="12.75">
      <c r="G197" s="70"/>
    </row>
    <row r="198" ht="12.75">
      <c r="G198" s="70"/>
    </row>
    <row r="199" ht="12.75">
      <c r="G199" s="70"/>
    </row>
    <row r="200" ht="12.75">
      <c r="G200" s="70"/>
    </row>
    <row r="201" ht="12.75">
      <c r="G201" s="70"/>
    </row>
    <row r="202" ht="12.75">
      <c r="G202" s="70"/>
    </row>
    <row r="203" ht="12.75">
      <c r="G203" s="70"/>
    </row>
    <row r="204" ht="12.75">
      <c r="G204" s="70"/>
    </row>
    <row r="205" ht="12.75">
      <c r="G205" s="70"/>
    </row>
    <row r="206" ht="12.75">
      <c r="G206" s="70"/>
    </row>
    <row r="207" ht="12.75">
      <c r="G207" s="70"/>
    </row>
    <row r="208" ht="12.75">
      <c r="G208" s="70"/>
    </row>
    <row r="209" ht="12.75">
      <c r="G209" s="70"/>
    </row>
    <row r="210" ht="12.75">
      <c r="G210" s="70"/>
    </row>
    <row r="211" ht="12.75">
      <c r="G211" s="70"/>
    </row>
    <row r="212" ht="12.75">
      <c r="G212" s="70"/>
    </row>
    <row r="213" ht="12.75">
      <c r="G213" s="70"/>
    </row>
  </sheetData>
  <sheetProtection password="CF93" sheet="1" formatCells="0" formatColumns="0" formatRows="0" insertColumns="0" insertRows="0" insertHyperlinks="0" deleteColumns="0" deleteRows="0" sort="0" autoFilter="0" pivotTables="0"/>
  <mergeCells count="11">
    <mergeCell ref="A37:C37"/>
    <mergeCell ref="A40:C40"/>
    <mergeCell ref="A49:C49"/>
    <mergeCell ref="A35:C35"/>
    <mergeCell ref="A47:C47"/>
    <mergeCell ref="E1:F1"/>
    <mergeCell ref="A3:F3"/>
    <mergeCell ref="A7:C7"/>
    <mergeCell ref="A28:C28"/>
    <mergeCell ref="A24:C24"/>
    <mergeCell ref="A30:C3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2"/>
  </sheetPr>
  <dimension ref="A1:K35"/>
  <sheetViews>
    <sheetView view="pageBreakPreview" zoomScaleSheetLayoutView="100" zoomScalePageLayoutView="0" workbookViewId="0" topLeftCell="A1">
      <pane ySplit="8" topLeftCell="A20" activePane="bottomLeft" state="frozen"/>
      <selection pane="topLeft" activeCell="A1" sqref="A1"/>
      <selection pane="bottomLeft" activeCell="J34" sqref="J34"/>
    </sheetView>
  </sheetViews>
  <sheetFormatPr defaultColWidth="9.00390625" defaultRowHeight="12.75"/>
  <cols>
    <col min="1" max="1" width="5.625" style="9" customWidth="1"/>
    <col min="2" max="2" width="7.75390625" style="9" customWidth="1"/>
    <col min="3" max="3" width="34.00390625" style="10" customWidth="1"/>
    <col min="4" max="4" width="14.625" style="10" customWidth="1"/>
    <col min="5" max="6" width="12.25390625" style="10" customWidth="1"/>
    <col min="7" max="7" width="12.125" style="10" customWidth="1"/>
    <col min="8" max="8" width="12.25390625" style="10" customWidth="1"/>
    <col min="9" max="9" width="14.625" style="10" customWidth="1"/>
    <col min="10" max="10" width="10.375" style="10" customWidth="1"/>
    <col min="11" max="11" width="9.00390625" style="10" customWidth="1"/>
    <col min="12" max="16384" width="9.125" style="10" customWidth="1"/>
  </cols>
  <sheetData>
    <row r="1" spans="1:2" s="1118" customFormat="1" ht="12.75">
      <c r="A1" s="1117"/>
      <c r="B1" s="1117"/>
    </row>
    <row r="2" spans="1:9" s="1119" customFormat="1" ht="12.75">
      <c r="A2" s="1117"/>
      <c r="B2" s="1117"/>
      <c r="C2" s="1118"/>
      <c r="D2" s="1118"/>
      <c r="E2" s="1118"/>
      <c r="F2" s="1118"/>
      <c r="G2" s="1118"/>
      <c r="H2" s="241"/>
      <c r="I2" s="241" t="s">
        <v>279</v>
      </c>
    </row>
    <row r="3" spans="1:8" s="1119" customFormat="1" ht="12.75" customHeight="1">
      <c r="A3" s="1120"/>
      <c r="B3" s="1120"/>
      <c r="H3" s="241"/>
    </row>
    <row r="4" spans="1:9" s="159" customFormat="1" ht="21" customHeight="1">
      <c r="A4" s="1511" t="s">
        <v>1131</v>
      </c>
      <c r="B4" s="1511"/>
      <c r="C4" s="1511"/>
      <c r="D4" s="1511"/>
      <c r="E4" s="1511"/>
      <c r="F4" s="1511"/>
      <c r="G4" s="1511"/>
      <c r="H4" s="1511"/>
      <c r="I4" s="1511"/>
    </row>
    <row r="5" spans="1:10" s="1119" customFormat="1" ht="19.5" customHeight="1" thickBot="1">
      <c r="A5" s="1120"/>
      <c r="B5" s="1120"/>
      <c r="H5" s="246"/>
      <c r="I5" s="246" t="s">
        <v>818</v>
      </c>
      <c r="J5" s="246"/>
    </row>
    <row r="6" spans="1:9" s="1121" customFormat="1" ht="17.25" customHeight="1">
      <c r="A6" s="1418" t="s">
        <v>1090</v>
      </c>
      <c r="B6" s="1515" t="s">
        <v>819</v>
      </c>
      <c r="C6" s="1416" t="s">
        <v>805</v>
      </c>
      <c r="D6" s="1337" t="s">
        <v>145</v>
      </c>
      <c r="E6" s="1415" t="s">
        <v>1194</v>
      </c>
      <c r="F6" s="1415"/>
      <c r="G6" s="1415" t="s">
        <v>1159</v>
      </c>
      <c r="H6" s="1514"/>
      <c r="I6" s="1508" t="s">
        <v>146</v>
      </c>
    </row>
    <row r="7" spans="1:9" s="1121" customFormat="1" ht="39.75" customHeight="1">
      <c r="A7" s="1419"/>
      <c r="B7" s="1516"/>
      <c r="C7" s="1510"/>
      <c r="D7" s="1338"/>
      <c r="E7" s="1122" t="s">
        <v>821</v>
      </c>
      <c r="F7" s="248" t="s">
        <v>822</v>
      </c>
      <c r="G7" s="1122" t="s">
        <v>821</v>
      </c>
      <c r="H7" s="1123" t="s">
        <v>822</v>
      </c>
      <c r="I7" s="1509"/>
    </row>
    <row r="8" spans="1:11" s="1124" customFormat="1" ht="12.75" customHeight="1" thickBot="1">
      <c r="A8" s="167" t="s">
        <v>735</v>
      </c>
      <c r="B8" s="168" t="s">
        <v>128</v>
      </c>
      <c r="C8" s="169">
        <v>3</v>
      </c>
      <c r="D8" s="169">
        <v>4</v>
      </c>
      <c r="E8" s="169">
        <v>5</v>
      </c>
      <c r="F8" s="170">
        <v>6</v>
      </c>
      <c r="G8" s="170">
        <v>7</v>
      </c>
      <c r="H8" s="169">
        <v>8</v>
      </c>
      <c r="I8" s="250">
        <v>9</v>
      </c>
      <c r="K8" s="1124" t="s">
        <v>296</v>
      </c>
    </row>
    <row r="9" spans="1:11" s="281" customFormat="1" ht="18.75" customHeight="1">
      <c r="A9" s="1520" t="s">
        <v>929</v>
      </c>
      <c r="B9" s="1521"/>
      <c r="C9" s="1522"/>
      <c r="D9" s="1125">
        <f aca="true" t="shared" si="0" ref="D9:I9">SUM(D10,D11,D17,D21,D22)</f>
        <v>410114.48</v>
      </c>
      <c r="E9" s="292">
        <f t="shared" si="0"/>
        <v>1892716</v>
      </c>
      <c r="F9" s="292">
        <f t="shared" si="0"/>
        <v>1102449.79</v>
      </c>
      <c r="G9" s="292">
        <f t="shared" si="0"/>
        <v>2269009</v>
      </c>
      <c r="H9" s="292">
        <f t="shared" si="0"/>
        <v>754745.8</v>
      </c>
      <c r="I9" s="1126">
        <f t="shared" si="0"/>
        <v>757818.47</v>
      </c>
      <c r="J9" s="270">
        <f>D9+F9-H9</f>
        <v>757818.47</v>
      </c>
      <c r="K9" s="270">
        <f aca="true" t="shared" si="1" ref="K9:K20">I9-J9</f>
        <v>0</v>
      </c>
    </row>
    <row r="10" spans="1:11" s="271" customFormat="1" ht="24.75" customHeight="1">
      <c r="A10" s="1128" t="s">
        <v>902</v>
      </c>
      <c r="B10" s="1129" t="s">
        <v>905</v>
      </c>
      <c r="C10" s="1130" t="s">
        <v>148</v>
      </c>
      <c r="D10" s="1131">
        <v>308504.73</v>
      </c>
      <c r="E10" s="1131">
        <v>610000</v>
      </c>
      <c r="F10" s="1131">
        <v>334062.2</v>
      </c>
      <c r="G10" s="1131">
        <v>918505</v>
      </c>
      <c r="H10" s="1132">
        <v>17438.94</v>
      </c>
      <c r="I10" s="733">
        <v>625127.99</v>
      </c>
      <c r="J10" s="270">
        <f>D10+F10-H10</f>
        <v>625127.99</v>
      </c>
      <c r="K10" s="270">
        <f t="shared" si="1"/>
        <v>0</v>
      </c>
    </row>
    <row r="11" spans="1:11" s="271" customFormat="1" ht="24.75" customHeight="1">
      <c r="A11" s="1112" t="s">
        <v>947</v>
      </c>
      <c r="B11" s="1113" t="s">
        <v>949</v>
      </c>
      <c r="C11" s="1114" t="s">
        <v>950</v>
      </c>
      <c r="D11" s="1115">
        <f aca="true" t="shared" si="2" ref="D11:I11">SUM(D12,D13,D14,D15,D16)</f>
        <v>28014.030000000002</v>
      </c>
      <c r="E11" s="1115">
        <f t="shared" si="2"/>
        <v>631087</v>
      </c>
      <c r="F11" s="1115">
        <f t="shared" si="2"/>
        <v>412822.55</v>
      </c>
      <c r="G11" s="1115">
        <f t="shared" si="2"/>
        <v>654101</v>
      </c>
      <c r="H11" s="1115">
        <f t="shared" si="2"/>
        <v>380599.68000000005</v>
      </c>
      <c r="I11" s="1116">
        <f t="shared" si="2"/>
        <v>60236.9</v>
      </c>
      <c r="J11" s="270">
        <f>D11+F11-H11</f>
        <v>60236.899999999965</v>
      </c>
      <c r="K11" s="270">
        <f t="shared" si="1"/>
        <v>0</v>
      </c>
    </row>
    <row r="12" spans="1:11" s="277" customFormat="1" ht="24.75" customHeight="1">
      <c r="A12" s="1094" t="s">
        <v>947</v>
      </c>
      <c r="B12" s="1095" t="s">
        <v>949</v>
      </c>
      <c r="C12" s="1096" t="s">
        <v>653</v>
      </c>
      <c r="D12" s="1097">
        <v>11139.27</v>
      </c>
      <c r="E12" s="1097">
        <v>124451</v>
      </c>
      <c r="F12" s="1097">
        <v>87426.88</v>
      </c>
      <c r="G12" s="1097">
        <v>130590</v>
      </c>
      <c r="H12" s="1098">
        <v>65920.63</v>
      </c>
      <c r="I12" s="1099">
        <v>32645.52</v>
      </c>
      <c r="J12" s="303">
        <f aca="true" t="shared" si="3" ref="J12:J20">D12+F12-H12</f>
        <v>32645.520000000004</v>
      </c>
      <c r="K12" s="270">
        <f t="shared" si="1"/>
        <v>0</v>
      </c>
    </row>
    <row r="13" spans="1:11" s="277" customFormat="1" ht="24.75" customHeight="1">
      <c r="A13" s="1094" t="s">
        <v>947</v>
      </c>
      <c r="B13" s="1095" t="s">
        <v>949</v>
      </c>
      <c r="C13" s="1096" t="s">
        <v>654</v>
      </c>
      <c r="D13" s="1097">
        <v>3265.81</v>
      </c>
      <c r="E13" s="1097">
        <v>28640</v>
      </c>
      <c r="F13" s="1097">
        <v>22510.76</v>
      </c>
      <c r="G13" s="1097">
        <v>31906</v>
      </c>
      <c r="H13" s="1098">
        <v>25314.81</v>
      </c>
      <c r="I13" s="1099">
        <v>461.76</v>
      </c>
      <c r="J13" s="303">
        <f t="shared" si="3"/>
        <v>461.7599999999984</v>
      </c>
      <c r="K13" s="270">
        <f t="shared" si="1"/>
        <v>1.5916157281026244E-12</v>
      </c>
    </row>
    <row r="14" spans="1:11" s="277" customFormat="1" ht="24.75" customHeight="1">
      <c r="A14" s="1094" t="s">
        <v>947</v>
      </c>
      <c r="B14" s="1095" t="s">
        <v>949</v>
      </c>
      <c r="C14" s="1096" t="s">
        <v>328</v>
      </c>
      <c r="D14" s="1097">
        <v>1791.95</v>
      </c>
      <c r="E14" s="1097">
        <v>141703</v>
      </c>
      <c r="F14" s="1097">
        <v>86722.56</v>
      </c>
      <c r="G14" s="1097">
        <v>143495</v>
      </c>
      <c r="H14" s="1098">
        <v>77553.65</v>
      </c>
      <c r="I14" s="1099">
        <v>10960.86</v>
      </c>
      <c r="J14" s="303">
        <f t="shared" si="3"/>
        <v>10960.86</v>
      </c>
      <c r="K14" s="270">
        <f t="shared" si="1"/>
        <v>0</v>
      </c>
    </row>
    <row r="15" spans="1:11" s="277" customFormat="1" ht="24.75" customHeight="1">
      <c r="A15" s="1100" t="s">
        <v>947</v>
      </c>
      <c r="B15" s="1101" t="s">
        <v>949</v>
      </c>
      <c r="C15" s="1102" t="s">
        <v>655</v>
      </c>
      <c r="D15" s="1103">
        <v>7719.46</v>
      </c>
      <c r="E15" s="1103">
        <v>199283</v>
      </c>
      <c r="F15" s="1103">
        <v>132611.68</v>
      </c>
      <c r="G15" s="1103">
        <v>207002</v>
      </c>
      <c r="H15" s="1104">
        <v>127614.07</v>
      </c>
      <c r="I15" s="1105">
        <v>12717.07</v>
      </c>
      <c r="J15" s="303">
        <f t="shared" si="3"/>
        <v>12717.069999999978</v>
      </c>
      <c r="K15" s="270">
        <f t="shared" si="1"/>
        <v>2.1827872842550278E-11</v>
      </c>
    </row>
    <row r="16" spans="1:11" s="277" customFormat="1" ht="24.75" customHeight="1">
      <c r="A16" s="1106" t="s">
        <v>947</v>
      </c>
      <c r="B16" s="1107" t="s">
        <v>949</v>
      </c>
      <c r="C16" s="1108" t="s">
        <v>230</v>
      </c>
      <c r="D16" s="1109">
        <v>4097.54</v>
      </c>
      <c r="E16" s="1109">
        <v>137010</v>
      </c>
      <c r="F16" s="1109">
        <v>83550.67</v>
      </c>
      <c r="G16" s="1109">
        <v>141108</v>
      </c>
      <c r="H16" s="1110">
        <v>84196.52</v>
      </c>
      <c r="I16" s="1111">
        <v>3451.69</v>
      </c>
      <c r="J16" s="303">
        <f t="shared" si="3"/>
        <v>3451.689999999988</v>
      </c>
      <c r="K16" s="270">
        <f t="shared" si="1"/>
        <v>1.2278178473934531E-11</v>
      </c>
    </row>
    <row r="17" spans="1:11" s="271" customFormat="1" ht="24.75" customHeight="1">
      <c r="A17" s="1112" t="s">
        <v>947</v>
      </c>
      <c r="B17" s="1113" t="s">
        <v>951</v>
      </c>
      <c r="C17" s="1114" t="s">
        <v>952</v>
      </c>
      <c r="D17" s="1115">
        <f aca="true" t="shared" si="4" ref="D17:I17">SUM(D18,D19,D20)</f>
        <v>53272.3</v>
      </c>
      <c r="E17" s="1115">
        <f t="shared" si="4"/>
        <v>391070</v>
      </c>
      <c r="F17" s="1115">
        <f t="shared" si="4"/>
        <v>205446.24</v>
      </c>
      <c r="G17" s="1115">
        <f t="shared" si="4"/>
        <v>420307</v>
      </c>
      <c r="H17" s="1115">
        <f t="shared" si="4"/>
        <v>196982.24</v>
      </c>
      <c r="I17" s="1127">
        <f t="shared" si="4"/>
        <v>61736.3</v>
      </c>
      <c r="J17" s="270">
        <f t="shared" si="3"/>
        <v>61736.29999999999</v>
      </c>
      <c r="K17" s="270">
        <f t="shared" si="1"/>
        <v>0</v>
      </c>
    </row>
    <row r="18" spans="1:11" s="277" customFormat="1" ht="24.75" customHeight="1">
      <c r="A18" s="1094" t="s">
        <v>947</v>
      </c>
      <c r="B18" s="1095" t="s">
        <v>951</v>
      </c>
      <c r="C18" s="1096" t="s">
        <v>658</v>
      </c>
      <c r="D18" s="1097">
        <v>32048.27</v>
      </c>
      <c r="E18" s="1097">
        <v>240010</v>
      </c>
      <c r="F18" s="1097">
        <v>122305.51</v>
      </c>
      <c r="G18" s="1097">
        <v>262058</v>
      </c>
      <c r="H18" s="1098">
        <v>124568.73</v>
      </c>
      <c r="I18" s="1099">
        <v>29785.05</v>
      </c>
      <c r="J18" s="303">
        <f t="shared" si="3"/>
        <v>29785.050000000003</v>
      </c>
      <c r="K18" s="270">
        <f t="shared" si="1"/>
        <v>0</v>
      </c>
    </row>
    <row r="19" spans="1:11" s="277" customFormat="1" ht="24.75" customHeight="1">
      <c r="A19" s="1094" t="s">
        <v>947</v>
      </c>
      <c r="B19" s="1095" t="s">
        <v>951</v>
      </c>
      <c r="C19" s="1096" t="s">
        <v>659</v>
      </c>
      <c r="D19" s="1097">
        <v>3189.49</v>
      </c>
      <c r="E19" s="1097">
        <v>139060</v>
      </c>
      <c r="F19" s="1097">
        <v>79165.21</v>
      </c>
      <c r="G19" s="1097">
        <v>142249</v>
      </c>
      <c r="H19" s="1098">
        <v>62681.12</v>
      </c>
      <c r="I19" s="1099">
        <v>19673.58</v>
      </c>
      <c r="J19" s="303">
        <f t="shared" si="3"/>
        <v>19673.58000000001</v>
      </c>
      <c r="K19" s="270">
        <f t="shared" si="1"/>
        <v>0</v>
      </c>
    </row>
    <row r="20" spans="1:11" s="277" customFormat="1" ht="24.75" customHeight="1">
      <c r="A20" s="1106" t="s">
        <v>947</v>
      </c>
      <c r="B20" s="1107" t="s">
        <v>951</v>
      </c>
      <c r="C20" s="1108" t="s">
        <v>660</v>
      </c>
      <c r="D20" s="1109">
        <v>18034.54</v>
      </c>
      <c r="E20" s="1109">
        <v>12000</v>
      </c>
      <c r="F20" s="1109">
        <v>3975.52</v>
      </c>
      <c r="G20" s="1109">
        <v>16000</v>
      </c>
      <c r="H20" s="1110">
        <v>9732.39</v>
      </c>
      <c r="I20" s="1111">
        <v>12277.67</v>
      </c>
      <c r="J20" s="303">
        <f t="shared" si="3"/>
        <v>12277.670000000002</v>
      </c>
      <c r="K20" s="270">
        <f t="shared" si="1"/>
        <v>0</v>
      </c>
    </row>
    <row r="21" spans="1:11" s="271" customFormat="1" ht="24.75" customHeight="1">
      <c r="A21" s="1128" t="s">
        <v>960</v>
      </c>
      <c r="B21" s="1129" t="s">
        <v>961</v>
      </c>
      <c r="C21" s="1130" t="s">
        <v>149</v>
      </c>
      <c r="D21" s="1131">
        <v>17207.48</v>
      </c>
      <c r="E21" s="1131">
        <v>213056</v>
      </c>
      <c r="F21" s="1131">
        <v>125874.44</v>
      </c>
      <c r="G21" s="1131">
        <v>225477</v>
      </c>
      <c r="H21" s="1132">
        <v>132673.84</v>
      </c>
      <c r="I21" s="733">
        <v>10408.08</v>
      </c>
      <c r="J21" s="270">
        <f>D21+F21-H21</f>
        <v>10408.080000000016</v>
      </c>
      <c r="K21" s="270">
        <f>I21-J21</f>
        <v>-1.6370904631912708E-11</v>
      </c>
    </row>
    <row r="22" spans="1:11" s="271" customFormat="1" ht="24.75" customHeight="1">
      <c r="A22" s="1128" t="s">
        <v>970</v>
      </c>
      <c r="B22" s="1129" t="s">
        <v>1043</v>
      </c>
      <c r="C22" s="1130" t="s">
        <v>152</v>
      </c>
      <c r="D22" s="1131">
        <v>3115.94</v>
      </c>
      <c r="E22" s="1131">
        <v>47503</v>
      </c>
      <c r="F22" s="1131">
        <v>24244.36</v>
      </c>
      <c r="G22" s="1131">
        <v>50619</v>
      </c>
      <c r="H22" s="1132">
        <v>27051.1</v>
      </c>
      <c r="I22" s="733">
        <v>309.2</v>
      </c>
      <c r="J22" s="270">
        <f>D22+F22-H22</f>
        <v>309.2000000000007</v>
      </c>
      <c r="K22" s="270">
        <f>I22-J22</f>
        <v>-7.389644451905042E-13</v>
      </c>
    </row>
    <row r="23" spans="1:11" s="281" customFormat="1" ht="21" customHeight="1">
      <c r="A23" s="1517" t="s">
        <v>780</v>
      </c>
      <c r="B23" s="1518"/>
      <c r="C23" s="1519"/>
      <c r="D23" s="1145">
        <f aca="true" t="shared" si="5" ref="D23:I23">SUM(D24,D27,D28,D29,D32,D33,D34)</f>
        <v>771342.4800000001</v>
      </c>
      <c r="E23" s="1145">
        <f t="shared" si="5"/>
        <v>1963486</v>
      </c>
      <c r="F23" s="1145">
        <f t="shared" si="5"/>
        <v>1078661.52</v>
      </c>
      <c r="G23" s="1145">
        <f t="shared" si="5"/>
        <v>2724420</v>
      </c>
      <c r="H23" s="1145">
        <f t="shared" si="5"/>
        <v>790830.8400000001</v>
      </c>
      <c r="I23" s="1282">
        <f t="shared" si="5"/>
        <v>1059173.1600000001</v>
      </c>
      <c r="J23" s="270">
        <f>D23+F23-H23</f>
        <v>1059173.16</v>
      </c>
      <c r="K23" s="270">
        <f>I23-J23</f>
        <v>0</v>
      </c>
    </row>
    <row r="24" spans="1:11" s="278" customFormat="1" ht="40.5" customHeight="1">
      <c r="A24" s="1140" t="s">
        <v>902</v>
      </c>
      <c r="B24" s="1141" t="s">
        <v>904</v>
      </c>
      <c r="C24" s="1142" t="s">
        <v>962</v>
      </c>
      <c r="D24" s="1143">
        <f aca="true" t="shared" si="6" ref="D24:I24">SUM(D25,D26)</f>
        <v>514196.9</v>
      </c>
      <c r="E24" s="1143">
        <f t="shared" si="6"/>
        <v>814500</v>
      </c>
      <c r="F24" s="1143">
        <f t="shared" si="6"/>
        <v>513003.72</v>
      </c>
      <c r="G24" s="1143">
        <f t="shared" si="6"/>
        <v>1328696</v>
      </c>
      <c r="H24" s="1143">
        <f t="shared" si="6"/>
        <v>188110.29</v>
      </c>
      <c r="I24" s="1144">
        <f t="shared" si="6"/>
        <v>839090.3300000001</v>
      </c>
      <c r="J24" s="270">
        <f>D24+F24-H24</f>
        <v>839090.33</v>
      </c>
      <c r="K24" s="270">
        <f>I24-J24</f>
        <v>0</v>
      </c>
    </row>
    <row r="25" spans="1:11" s="277" customFormat="1" ht="24.75" customHeight="1">
      <c r="A25" s="1094" t="s">
        <v>902</v>
      </c>
      <c r="B25" s="1095" t="s">
        <v>904</v>
      </c>
      <c r="C25" s="1096" t="s">
        <v>147</v>
      </c>
      <c r="D25" s="1097">
        <v>237857.45</v>
      </c>
      <c r="E25" s="1097">
        <v>414500</v>
      </c>
      <c r="F25" s="1097">
        <v>206754.15</v>
      </c>
      <c r="G25" s="1097">
        <v>652357</v>
      </c>
      <c r="H25" s="1098">
        <v>188110.29</v>
      </c>
      <c r="I25" s="1099">
        <v>256501.31</v>
      </c>
      <c r="J25" s="303">
        <f>D25+F25-H25</f>
        <v>256501.30999999997</v>
      </c>
      <c r="K25" s="303">
        <f>I25-J25</f>
        <v>0</v>
      </c>
    </row>
    <row r="26" spans="1:11" s="277" customFormat="1" ht="24.75" customHeight="1">
      <c r="A26" s="1106" t="s">
        <v>902</v>
      </c>
      <c r="B26" s="1107" t="s">
        <v>904</v>
      </c>
      <c r="C26" s="1108" t="s">
        <v>148</v>
      </c>
      <c r="D26" s="1109">
        <v>276339.45</v>
      </c>
      <c r="E26" s="1109">
        <v>400000</v>
      </c>
      <c r="F26" s="1109">
        <v>306249.57</v>
      </c>
      <c r="G26" s="1109">
        <v>676339</v>
      </c>
      <c r="H26" s="1110">
        <v>0</v>
      </c>
      <c r="I26" s="1111">
        <v>582589.02</v>
      </c>
      <c r="J26" s="303">
        <f aca="true" t="shared" si="7" ref="J26:J35">D26+F26-H26</f>
        <v>582589.02</v>
      </c>
      <c r="K26" s="303">
        <f aca="true" t="shared" si="8" ref="K26:K35">I26-J26</f>
        <v>0</v>
      </c>
    </row>
    <row r="27" spans="1:11" s="271" customFormat="1" ht="24.75" customHeight="1">
      <c r="A27" s="1128" t="s">
        <v>940</v>
      </c>
      <c r="B27" s="1129" t="s">
        <v>941</v>
      </c>
      <c r="C27" s="1130" t="s">
        <v>1177</v>
      </c>
      <c r="D27" s="1131">
        <v>6623.65</v>
      </c>
      <c r="E27" s="1131">
        <v>2592</v>
      </c>
      <c r="F27" s="1131">
        <v>2591.67</v>
      </c>
      <c r="G27" s="1131">
        <v>9216</v>
      </c>
      <c r="H27" s="1132">
        <v>1443.2</v>
      </c>
      <c r="I27" s="733">
        <v>7772.12</v>
      </c>
      <c r="J27" s="303">
        <f t="shared" si="7"/>
        <v>7772.12</v>
      </c>
      <c r="K27" s="303">
        <f t="shared" si="8"/>
        <v>0</v>
      </c>
    </row>
    <row r="28" spans="1:11" s="271" customFormat="1" ht="26.25" customHeight="1">
      <c r="A28" s="1128" t="s">
        <v>947</v>
      </c>
      <c r="B28" s="1129" t="s">
        <v>953</v>
      </c>
      <c r="C28" s="1130" t="s">
        <v>806</v>
      </c>
      <c r="D28" s="1131">
        <v>112.02</v>
      </c>
      <c r="E28" s="1131">
        <v>46550</v>
      </c>
      <c r="F28" s="1131">
        <v>20852.07</v>
      </c>
      <c r="G28" s="1131">
        <v>46662</v>
      </c>
      <c r="H28" s="1132">
        <v>20311.92</v>
      </c>
      <c r="I28" s="733">
        <v>652.17</v>
      </c>
      <c r="J28" s="270">
        <f>D28+F28-H28</f>
        <v>652.1700000000019</v>
      </c>
      <c r="K28" s="270">
        <f>I28-J28</f>
        <v>-1.9326762412674725E-12</v>
      </c>
    </row>
    <row r="29" spans="1:11" s="271" customFormat="1" ht="24.75" customHeight="1">
      <c r="A29" s="1112" t="s">
        <v>947</v>
      </c>
      <c r="B29" s="1113" t="s">
        <v>954</v>
      </c>
      <c r="C29" s="1114" t="s">
        <v>955</v>
      </c>
      <c r="D29" s="1115">
        <f aca="true" t="shared" si="9" ref="D29:I29">SUM(D30,D31)</f>
        <v>129565.79</v>
      </c>
      <c r="E29" s="1115">
        <f t="shared" si="9"/>
        <v>276645</v>
      </c>
      <c r="F29" s="1115">
        <f t="shared" si="9"/>
        <v>163089.02000000002</v>
      </c>
      <c r="G29" s="1115">
        <f t="shared" si="9"/>
        <v>399511</v>
      </c>
      <c r="H29" s="1115">
        <f t="shared" si="9"/>
        <v>180464.6</v>
      </c>
      <c r="I29" s="1127">
        <f t="shared" si="9"/>
        <v>112190.21</v>
      </c>
      <c r="J29" s="270">
        <f t="shared" si="7"/>
        <v>112190.20999999999</v>
      </c>
      <c r="K29" s="270">
        <f t="shared" si="8"/>
        <v>0</v>
      </c>
    </row>
    <row r="30" spans="1:11" s="277" customFormat="1" ht="24.75" customHeight="1">
      <c r="A30" s="1094" t="s">
        <v>947</v>
      </c>
      <c r="B30" s="1095" t="s">
        <v>954</v>
      </c>
      <c r="C30" s="1096" t="s">
        <v>662</v>
      </c>
      <c r="D30" s="1097">
        <v>8880.5</v>
      </c>
      <c r="E30" s="1097">
        <v>37315</v>
      </c>
      <c r="F30" s="1097">
        <v>35994.97</v>
      </c>
      <c r="G30" s="1097">
        <v>39496</v>
      </c>
      <c r="H30" s="1098">
        <v>21474.25</v>
      </c>
      <c r="I30" s="1099">
        <v>23401.22</v>
      </c>
      <c r="J30" s="303">
        <f t="shared" si="7"/>
        <v>23401.22</v>
      </c>
      <c r="K30" s="303">
        <f t="shared" si="8"/>
        <v>0</v>
      </c>
    </row>
    <row r="31" spans="1:11" s="277" customFormat="1" ht="24.75" customHeight="1">
      <c r="A31" s="1106" t="s">
        <v>947</v>
      </c>
      <c r="B31" s="1107" t="s">
        <v>954</v>
      </c>
      <c r="C31" s="1108" t="s">
        <v>663</v>
      </c>
      <c r="D31" s="1109">
        <v>120685.29</v>
      </c>
      <c r="E31" s="1109">
        <v>239330</v>
      </c>
      <c r="F31" s="1109">
        <v>127094.05</v>
      </c>
      <c r="G31" s="1109">
        <v>360015</v>
      </c>
      <c r="H31" s="1110">
        <v>158990.35</v>
      </c>
      <c r="I31" s="1111">
        <v>88788.99</v>
      </c>
      <c r="J31" s="303">
        <f t="shared" si="7"/>
        <v>88788.98999999999</v>
      </c>
      <c r="K31" s="303">
        <f t="shared" si="8"/>
        <v>0</v>
      </c>
    </row>
    <row r="32" spans="1:11" s="271" customFormat="1" ht="24.75" customHeight="1">
      <c r="A32" s="1128" t="s">
        <v>970</v>
      </c>
      <c r="B32" s="1129" t="s">
        <v>975</v>
      </c>
      <c r="C32" s="1130" t="s">
        <v>150</v>
      </c>
      <c r="D32" s="1131">
        <v>97662.98</v>
      </c>
      <c r="E32" s="1131">
        <v>220000</v>
      </c>
      <c r="F32" s="1131">
        <v>173351.86</v>
      </c>
      <c r="G32" s="1131">
        <v>317663</v>
      </c>
      <c r="H32" s="1132">
        <v>178800.39</v>
      </c>
      <c r="I32" s="733">
        <v>92214.45</v>
      </c>
      <c r="J32" s="270">
        <f t="shared" si="7"/>
        <v>92214.44999999995</v>
      </c>
      <c r="K32" s="270">
        <f t="shared" si="8"/>
        <v>0</v>
      </c>
    </row>
    <row r="33" spans="1:11" s="271" customFormat="1" ht="24.75" customHeight="1">
      <c r="A33" s="1128" t="s">
        <v>970</v>
      </c>
      <c r="B33" s="1129" t="s">
        <v>976</v>
      </c>
      <c r="C33" s="1130" t="s">
        <v>151</v>
      </c>
      <c r="D33" s="1131">
        <v>4727.85</v>
      </c>
      <c r="E33" s="1131">
        <v>6002</v>
      </c>
      <c r="F33" s="1131">
        <v>3100.23</v>
      </c>
      <c r="G33" s="1131">
        <v>8572</v>
      </c>
      <c r="H33" s="1132">
        <v>3176.74</v>
      </c>
      <c r="I33" s="733">
        <v>4651.34</v>
      </c>
      <c r="J33" s="270">
        <f t="shared" si="7"/>
        <v>4651.34</v>
      </c>
      <c r="K33" s="270">
        <f t="shared" si="8"/>
        <v>0</v>
      </c>
    </row>
    <row r="34" spans="1:11" s="271" customFormat="1" ht="24.75" customHeight="1" thickBot="1">
      <c r="A34" s="1133" t="s">
        <v>970</v>
      </c>
      <c r="B34" s="1134" t="s">
        <v>1045</v>
      </c>
      <c r="C34" s="1135" t="s">
        <v>661</v>
      </c>
      <c r="D34" s="1136">
        <v>18453.29</v>
      </c>
      <c r="E34" s="1136">
        <v>597197</v>
      </c>
      <c r="F34" s="1136">
        <v>202672.95</v>
      </c>
      <c r="G34" s="1136">
        <v>614100</v>
      </c>
      <c r="H34" s="1137">
        <v>218523.7</v>
      </c>
      <c r="I34" s="1138">
        <v>2602.54</v>
      </c>
      <c r="J34" s="270">
        <f>D34+F34-H34</f>
        <v>2602.540000000008</v>
      </c>
      <c r="K34" s="270">
        <f>I34-J34</f>
        <v>-8.185452315956354E-12</v>
      </c>
    </row>
    <row r="35" spans="1:11" s="477" customFormat="1" ht="24.75" customHeight="1" thickBot="1">
      <c r="A35" s="1512" t="s">
        <v>652</v>
      </c>
      <c r="B35" s="1513"/>
      <c r="C35" s="1513"/>
      <c r="D35" s="987">
        <f aca="true" t="shared" si="10" ref="D35:I35">SUM(D9,D23)</f>
        <v>1181456.96</v>
      </c>
      <c r="E35" s="987">
        <f t="shared" si="10"/>
        <v>3856202</v>
      </c>
      <c r="F35" s="987">
        <f t="shared" si="10"/>
        <v>2181111.31</v>
      </c>
      <c r="G35" s="987">
        <f t="shared" si="10"/>
        <v>4993429</v>
      </c>
      <c r="H35" s="987">
        <f t="shared" si="10"/>
        <v>1545576.6400000001</v>
      </c>
      <c r="I35" s="1139">
        <f t="shared" si="10"/>
        <v>1816991.6300000001</v>
      </c>
      <c r="J35" s="270">
        <f t="shared" si="7"/>
        <v>1816991.63</v>
      </c>
      <c r="K35" s="270">
        <f t="shared" si="8"/>
        <v>0</v>
      </c>
    </row>
  </sheetData>
  <sheetProtection password="CF93" sheet="1"/>
  <mergeCells count="11">
    <mergeCell ref="A9:C9"/>
    <mergeCell ref="I6:I7"/>
    <mergeCell ref="C6:C7"/>
    <mergeCell ref="E6:F6"/>
    <mergeCell ref="A4:I4"/>
    <mergeCell ref="A35:C35"/>
    <mergeCell ref="G6:H6"/>
    <mergeCell ref="A6:A7"/>
    <mergeCell ref="B6:B7"/>
    <mergeCell ref="D6:D7"/>
    <mergeCell ref="A23:C23"/>
  </mergeCells>
  <printOptions/>
  <pageMargins left="1.1811023622047245" right="0.7874015748031497" top="0.5905511811023623" bottom="0.5905511811023623" header="0.5118110236220472" footer="0.5118110236220472"/>
  <pageSetup horizontalDpi="300" verticalDpi="300" orientation="landscape" paperSize="9" r:id="rId1"/>
  <rowBreaks count="1" manualBreakCount="1">
    <brk id="22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2"/>
  </sheetPr>
  <dimension ref="A1:G17"/>
  <sheetViews>
    <sheetView view="pageBreakPreview" zoomScaleSheetLayoutView="100" zoomScalePageLayoutView="0" workbookViewId="0" topLeftCell="A5">
      <selection activeCell="I11" sqref="I11"/>
    </sheetView>
  </sheetViews>
  <sheetFormatPr defaultColWidth="9.00390625" defaultRowHeight="12.75"/>
  <cols>
    <col min="1" max="1" width="3.375" style="863" customWidth="1"/>
    <col min="2" max="2" width="8.75390625" style="863" customWidth="1"/>
    <col min="3" max="3" width="50.375" style="860" customWidth="1"/>
    <col min="4" max="4" width="13.25390625" style="864" hidden="1" customWidth="1"/>
    <col min="5" max="5" width="12.00390625" style="860" customWidth="1"/>
    <col min="6" max="6" width="12.125" style="865" customWidth="1"/>
    <col min="7" max="7" width="10.00390625" style="860" hidden="1" customWidth="1"/>
    <col min="8" max="16384" width="9.125" style="860" customWidth="1"/>
  </cols>
  <sheetData>
    <row r="1" spans="6:7" ht="12.75">
      <c r="F1" s="282" t="s">
        <v>280</v>
      </c>
      <c r="G1" s="282"/>
    </row>
    <row r="2" spans="6:7" ht="19.5" customHeight="1">
      <c r="F2" s="1396"/>
      <c r="G2" s="1396"/>
    </row>
    <row r="3" spans="1:6" ht="29.25" customHeight="1">
      <c r="A3" s="1526" t="s">
        <v>843</v>
      </c>
      <c r="B3" s="1526"/>
      <c r="C3" s="1526"/>
      <c r="D3" s="1526"/>
      <c r="E3" s="1526"/>
      <c r="F3" s="1526"/>
    </row>
    <row r="4" spans="5:7" ht="29.25" customHeight="1" thickBot="1">
      <c r="E4" s="866"/>
      <c r="F4" s="867" t="s">
        <v>818</v>
      </c>
      <c r="G4" s="867"/>
    </row>
    <row r="5" spans="1:7" s="852" customFormat="1" ht="56.25" customHeight="1">
      <c r="A5" s="849" t="s">
        <v>1167</v>
      </c>
      <c r="B5" s="850" t="s">
        <v>819</v>
      </c>
      <c r="C5" s="850" t="s">
        <v>1091</v>
      </c>
      <c r="D5" s="851" t="s">
        <v>696</v>
      </c>
      <c r="E5" s="851" t="s">
        <v>379</v>
      </c>
      <c r="F5" s="877" t="s">
        <v>217</v>
      </c>
      <c r="G5" s="872" t="s">
        <v>251</v>
      </c>
    </row>
    <row r="6" spans="1:7" s="857" customFormat="1" ht="14.25" customHeight="1">
      <c r="A6" s="853">
        <v>1</v>
      </c>
      <c r="B6" s="854">
        <v>2</v>
      </c>
      <c r="C6" s="854">
        <v>3</v>
      </c>
      <c r="D6" s="855">
        <v>4</v>
      </c>
      <c r="E6" s="855">
        <v>4</v>
      </c>
      <c r="F6" s="856">
        <v>5</v>
      </c>
      <c r="G6" s="873">
        <v>6</v>
      </c>
    </row>
    <row r="7" spans="1:7" ht="56.25" customHeight="1">
      <c r="A7" s="878" t="s">
        <v>1170</v>
      </c>
      <c r="B7" s="858">
        <v>60015</v>
      </c>
      <c r="C7" s="266" t="s">
        <v>833</v>
      </c>
      <c r="D7" s="861" t="s">
        <v>834</v>
      </c>
      <c r="E7" s="859">
        <v>1353611</v>
      </c>
      <c r="F7" s="879">
        <v>1183441.84</v>
      </c>
      <c r="G7" s="874">
        <f>E7-F7</f>
        <v>170169.15999999992</v>
      </c>
    </row>
    <row r="8" spans="1:7" ht="22.5" customHeight="1">
      <c r="A8" s="878" t="s">
        <v>1171</v>
      </c>
      <c r="B8" s="858">
        <v>60015</v>
      </c>
      <c r="C8" s="266" t="s">
        <v>835</v>
      </c>
      <c r="D8" s="861" t="s">
        <v>834</v>
      </c>
      <c r="E8" s="859">
        <v>23284</v>
      </c>
      <c r="F8" s="879">
        <v>2440</v>
      </c>
      <c r="G8" s="874">
        <f aca="true" t="shared" si="0" ref="G8:G16">E8-F8</f>
        <v>20844</v>
      </c>
    </row>
    <row r="9" spans="1:7" ht="18.75" customHeight="1">
      <c r="A9" s="878" t="s">
        <v>1255</v>
      </c>
      <c r="B9" s="858">
        <v>60016</v>
      </c>
      <c r="C9" s="266" t="s">
        <v>181</v>
      </c>
      <c r="D9" s="861" t="s">
        <v>834</v>
      </c>
      <c r="E9" s="859">
        <v>109660</v>
      </c>
      <c r="F9" s="879">
        <v>2440</v>
      </c>
      <c r="G9" s="874">
        <f t="shared" si="0"/>
        <v>107220</v>
      </c>
    </row>
    <row r="10" spans="1:7" ht="21" customHeight="1">
      <c r="A10" s="878" t="s">
        <v>1262</v>
      </c>
      <c r="B10" s="858">
        <v>63095</v>
      </c>
      <c r="C10" s="266" t="s">
        <v>681</v>
      </c>
      <c r="D10" s="861" t="s">
        <v>834</v>
      </c>
      <c r="E10" s="859">
        <v>115751</v>
      </c>
      <c r="F10" s="879">
        <v>115633.55</v>
      </c>
      <c r="G10" s="874">
        <f t="shared" si="0"/>
        <v>117.44999999999709</v>
      </c>
    </row>
    <row r="11" spans="1:7" ht="19.5" customHeight="1">
      <c r="A11" s="878" t="s">
        <v>1263</v>
      </c>
      <c r="B11" s="858">
        <v>63095</v>
      </c>
      <c r="C11" s="266" t="s">
        <v>744</v>
      </c>
      <c r="D11" s="861" t="s">
        <v>834</v>
      </c>
      <c r="E11" s="859">
        <v>91000</v>
      </c>
      <c r="F11" s="879">
        <v>14000</v>
      </c>
      <c r="G11" s="874">
        <f t="shared" si="0"/>
        <v>77000</v>
      </c>
    </row>
    <row r="12" spans="1:7" ht="32.25" customHeight="1">
      <c r="A12" s="878" t="s">
        <v>1264</v>
      </c>
      <c r="B12" s="858">
        <v>70095</v>
      </c>
      <c r="C12" s="266" t="s">
        <v>836</v>
      </c>
      <c r="D12" s="861" t="s">
        <v>834</v>
      </c>
      <c r="E12" s="859">
        <v>24836</v>
      </c>
      <c r="F12" s="879">
        <v>20293.16</v>
      </c>
      <c r="G12" s="874">
        <f t="shared" si="0"/>
        <v>4542.84</v>
      </c>
    </row>
    <row r="13" spans="1:7" ht="19.5" customHeight="1">
      <c r="A13" s="878" t="s">
        <v>1351</v>
      </c>
      <c r="B13" s="858">
        <v>71035</v>
      </c>
      <c r="C13" s="266" t="s">
        <v>837</v>
      </c>
      <c r="D13" s="861" t="s">
        <v>838</v>
      </c>
      <c r="E13" s="859">
        <v>299771</v>
      </c>
      <c r="F13" s="879">
        <v>59061.38</v>
      </c>
      <c r="G13" s="874">
        <f t="shared" si="0"/>
        <v>240709.62</v>
      </c>
    </row>
    <row r="14" spans="1:7" ht="45" customHeight="1">
      <c r="A14" s="878" t="s">
        <v>1352</v>
      </c>
      <c r="B14" s="858">
        <v>85154</v>
      </c>
      <c r="C14" s="862" t="s">
        <v>839</v>
      </c>
      <c r="D14" s="861" t="s">
        <v>834</v>
      </c>
      <c r="E14" s="859">
        <v>140700</v>
      </c>
      <c r="F14" s="879">
        <v>89866.12</v>
      </c>
      <c r="G14" s="874">
        <f t="shared" si="0"/>
        <v>50833.880000000005</v>
      </c>
    </row>
    <row r="15" spans="1:7" ht="48" customHeight="1">
      <c r="A15" s="878" t="s">
        <v>1265</v>
      </c>
      <c r="B15" s="858">
        <v>85201</v>
      </c>
      <c r="C15" s="266" t="s">
        <v>840</v>
      </c>
      <c r="D15" s="861" t="s">
        <v>834</v>
      </c>
      <c r="E15" s="859">
        <v>333790</v>
      </c>
      <c r="F15" s="879">
        <v>223331.88</v>
      </c>
      <c r="G15" s="874">
        <f t="shared" si="0"/>
        <v>110458.12</v>
      </c>
    </row>
    <row r="16" spans="1:7" ht="36" customHeight="1" thickBot="1">
      <c r="A16" s="880" t="s">
        <v>1267</v>
      </c>
      <c r="B16" s="869">
        <v>92120</v>
      </c>
      <c r="C16" s="501" t="s">
        <v>841</v>
      </c>
      <c r="D16" s="870" t="s">
        <v>834</v>
      </c>
      <c r="E16" s="871">
        <v>103065</v>
      </c>
      <c r="F16" s="881">
        <v>97835.95</v>
      </c>
      <c r="G16" s="874">
        <f t="shared" si="0"/>
        <v>5229.050000000003</v>
      </c>
    </row>
    <row r="17" spans="1:7" s="868" customFormat="1" ht="24" customHeight="1" thickBot="1" thickTop="1">
      <c r="A17" s="1523" t="s">
        <v>842</v>
      </c>
      <c r="B17" s="1524"/>
      <c r="C17" s="1524"/>
      <c r="D17" s="1525"/>
      <c r="E17" s="882">
        <f>SUM(E7,E8,E9,E10,E11,E12,E13,E14,E15,E16)</f>
        <v>2595468</v>
      </c>
      <c r="F17" s="883">
        <f>SUM(F7,F8,F9,F10,F11,F12,F13,F14,F15,F16)</f>
        <v>1808343.8799999997</v>
      </c>
      <c r="G17" s="876"/>
    </row>
  </sheetData>
  <sheetProtection password="CF93" sheet="1"/>
  <mergeCells count="3">
    <mergeCell ref="A17:D17"/>
    <mergeCell ref="A3:F3"/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F12"/>
  <sheetViews>
    <sheetView view="pageBreakPreview" zoomScaleSheetLayoutView="100" zoomScalePageLayoutView="0" workbookViewId="0" topLeftCell="A1">
      <selection activeCell="H16" sqref="H16"/>
    </sheetView>
  </sheetViews>
  <sheetFormatPr defaultColWidth="9.00390625" defaultRowHeight="12.75"/>
  <cols>
    <col min="1" max="1" width="14.375" style="886" customWidth="1"/>
    <col min="2" max="2" width="17.00390625" style="886" customWidth="1"/>
    <col min="3" max="3" width="13.75390625" style="884" customWidth="1"/>
    <col min="4" max="4" width="13.875" style="884" customWidth="1"/>
    <col min="5" max="5" width="14.25390625" style="884" customWidth="1"/>
    <col min="6" max="6" width="13.625" style="884" customWidth="1"/>
    <col min="7" max="7" width="17.25390625" style="884" customWidth="1"/>
    <col min="8" max="8" width="16.375" style="884" customWidth="1"/>
    <col min="9" max="16384" width="9.125" style="884" customWidth="1"/>
  </cols>
  <sheetData>
    <row r="1" ht="23.25" customHeight="1">
      <c r="F1" s="885" t="s">
        <v>272</v>
      </c>
    </row>
    <row r="2" ht="23.25" customHeight="1">
      <c r="F2" s="887"/>
    </row>
    <row r="3" spans="1:6" ht="30.75" customHeight="1">
      <c r="A3" s="1292" t="s">
        <v>794</v>
      </c>
      <c r="B3" s="1292"/>
      <c r="C3" s="1292"/>
      <c r="D3" s="1292"/>
      <c r="E3" s="1292"/>
      <c r="F3" s="1292"/>
    </row>
    <row r="4" ht="16.5" customHeight="1" thickBot="1">
      <c r="F4" s="887" t="s">
        <v>818</v>
      </c>
    </row>
    <row r="5" spans="1:6" s="907" customFormat="1" ht="18" customHeight="1">
      <c r="A5" s="1322" t="s">
        <v>131</v>
      </c>
      <c r="B5" s="1326" t="s">
        <v>808</v>
      </c>
      <c r="C5" s="1316" t="s">
        <v>1360</v>
      </c>
      <c r="D5" s="1324"/>
      <c r="E5" s="1316" t="s">
        <v>1361</v>
      </c>
      <c r="F5" s="1317"/>
    </row>
    <row r="6" spans="1:6" s="907" customFormat="1" ht="18" customHeight="1">
      <c r="A6" s="1323"/>
      <c r="B6" s="1327"/>
      <c r="C6" s="908" t="s">
        <v>132</v>
      </c>
      <c r="D6" s="908" t="s">
        <v>133</v>
      </c>
      <c r="E6" s="908" t="s">
        <v>132</v>
      </c>
      <c r="F6" s="909" t="s">
        <v>133</v>
      </c>
    </row>
    <row r="7" spans="1:6" s="907" customFormat="1" ht="13.5" customHeight="1">
      <c r="A7" s="910">
        <v>1</v>
      </c>
      <c r="B7" s="911">
        <v>2</v>
      </c>
      <c r="C7" s="908">
        <v>3</v>
      </c>
      <c r="D7" s="908">
        <v>4</v>
      </c>
      <c r="E7" s="908">
        <v>5</v>
      </c>
      <c r="F7" s="909">
        <v>6</v>
      </c>
    </row>
    <row r="8" spans="1:6" s="891" customFormat="1" ht="18" customHeight="1">
      <c r="A8" s="1306" t="s">
        <v>134</v>
      </c>
      <c r="B8" s="1307"/>
      <c r="C8" s="1295">
        <v>0</v>
      </c>
      <c r="D8" s="1296"/>
      <c r="E8" s="1295">
        <v>8800000</v>
      </c>
      <c r="F8" s="1297"/>
    </row>
    <row r="9" spans="1:6" ht="18" customHeight="1">
      <c r="A9" s="912" t="s">
        <v>871</v>
      </c>
      <c r="B9" s="913" t="s">
        <v>872</v>
      </c>
      <c r="C9" s="914">
        <v>0</v>
      </c>
      <c r="D9" s="914">
        <v>6548000</v>
      </c>
      <c r="E9" s="914">
        <v>0</v>
      </c>
      <c r="F9" s="915">
        <v>0</v>
      </c>
    </row>
    <row r="10" spans="1:6" s="891" customFormat="1" ht="18" customHeight="1">
      <c r="A10" s="1312" t="s">
        <v>1163</v>
      </c>
      <c r="B10" s="1313"/>
      <c r="C10" s="906">
        <f>SUM(C9)</f>
        <v>0</v>
      </c>
      <c r="D10" s="906">
        <f>SUM(D9)</f>
        <v>6548000</v>
      </c>
      <c r="E10" s="906">
        <f>SUM(E9)</f>
        <v>0</v>
      </c>
      <c r="F10" s="916">
        <f>SUM(F9)</f>
        <v>0</v>
      </c>
    </row>
    <row r="11" spans="1:6" s="891" customFormat="1" ht="18" customHeight="1">
      <c r="A11" s="1314" t="s">
        <v>135</v>
      </c>
      <c r="B11" s="1315"/>
      <c r="C11" s="1318">
        <f>SUM(C10:D10)</f>
        <v>6548000</v>
      </c>
      <c r="D11" s="1325"/>
      <c r="E11" s="1318">
        <f>SUM(E10:F10)</f>
        <v>0</v>
      </c>
      <c r="F11" s="1319"/>
    </row>
    <row r="12" spans="1:6" s="891" customFormat="1" ht="18" customHeight="1" thickBot="1">
      <c r="A12" s="1320" t="s">
        <v>136</v>
      </c>
      <c r="B12" s="1321"/>
      <c r="C12" s="1303">
        <f>SUM(C8,C11)</f>
        <v>6548000</v>
      </c>
      <c r="D12" s="1304"/>
      <c r="E12" s="1303">
        <f>SUM(E8,E11)</f>
        <v>8800000</v>
      </c>
      <c r="F12" s="1305"/>
    </row>
  </sheetData>
  <sheetProtection password="CF93" sheet="1"/>
  <mergeCells count="15">
    <mergeCell ref="E12:F12"/>
    <mergeCell ref="A12:B12"/>
    <mergeCell ref="A5:A6"/>
    <mergeCell ref="A8:B8"/>
    <mergeCell ref="C8:D8"/>
    <mergeCell ref="C5:D5"/>
    <mergeCell ref="C11:D11"/>
    <mergeCell ref="C12:D12"/>
    <mergeCell ref="B5:B6"/>
    <mergeCell ref="A3:F3"/>
    <mergeCell ref="A10:B10"/>
    <mergeCell ref="A11:B11"/>
    <mergeCell ref="E8:F8"/>
    <mergeCell ref="E5:F5"/>
    <mergeCell ref="E11:F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2"/>
  </sheetPr>
  <dimension ref="A1:G56"/>
  <sheetViews>
    <sheetView view="pageBreakPreview" zoomScaleSheetLayoutView="100" zoomScalePageLayoutView="0" workbookViewId="0" topLeftCell="A38">
      <selection activeCell="H51" sqref="H51"/>
    </sheetView>
  </sheetViews>
  <sheetFormatPr defaultColWidth="9.00390625" defaultRowHeight="12.75"/>
  <cols>
    <col min="1" max="1" width="3.625" style="271" customWidth="1"/>
    <col min="2" max="2" width="4.375" style="271" customWidth="1"/>
    <col min="3" max="3" width="48.875" style="271" customWidth="1"/>
    <col min="4" max="5" width="12.00390625" style="271" customWidth="1"/>
    <col min="6" max="6" width="6.25390625" style="271" customWidth="1"/>
    <col min="7" max="16384" width="9.125" style="271" customWidth="1"/>
  </cols>
  <sheetData>
    <row r="1" spans="5:6" ht="12" customHeight="1">
      <c r="E1" s="1396" t="s">
        <v>289</v>
      </c>
      <c r="F1" s="1396"/>
    </row>
    <row r="3" spans="1:6" ht="12.75">
      <c r="A3" s="1351" t="s">
        <v>367</v>
      </c>
      <c r="B3" s="1351"/>
      <c r="C3" s="1351"/>
      <c r="D3" s="1351"/>
      <c r="E3" s="1351"/>
      <c r="F3" s="1351"/>
    </row>
    <row r="4" spans="1:6" ht="12.75">
      <c r="A4" s="281"/>
      <c r="B4" s="281"/>
      <c r="C4" s="281"/>
      <c r="D4" s="281"/>
      <c r="E4" s="281"/>
      <c r="F4" s="281"/>
    </row>
    <row r="5" spans="1:6" s="477" customFormat="1" ht="12.75" customHeight="1" thickBot="1">
      <c r="A5" s="1532" t="s">
        <v>368</v>
      </c>
      <c r="B5" s="1532"/>
      <c r="C5" s="1532"/>
      <c r="F5" s="282" t="s">
        <v>818</v>
      </c>
    </row>
    <row r="6" spans="1:6" s="281" customFormat="1" ht="12.75">
      <c r="A6" s="480" t="s">
        <v>1167</v>
      </c>
      <c r="B6" s="481" t="s">
        <v>1095</v>
      </c>
      <c r="C6" s="481" t="s">
        <v>820</v>
      </c>
      <c r="D6" s="482" t="s">
        <v>821</v>
      </c>
      <c r="E6" s="482" t="s">
        <v>822</v>
      </c>
      <c r="F6" s="921" t="s">
        <v>153</v>
      </c>
    </row>
    <row r="7" spans="1:6" s="926" customFormat="1" ht="12.75" customHeight="1" thickBot="1">
      <c r="A7" s="922">
        <v>1</v>
      </c>
      <c r="B7" s="923">
        <v>2</v>
      </c>
      <c r="C7" s="923">
        <v>3</v>
      </c>
      <c r="D7" s="924">
        <v>4</v>
      </c>
      <c r="E7" s="924">
        <v>5</v>
      </c>
      <c r="F7" s="925">
        <v>6</v>
      </c>
    </row>
    <row r="8" spans="1:6" s="477" customFormat="1" ht="27.75" customHeight="1">
      <c r="A8" s="927" t="s">
        <v>154</v>
      </c>
      <c r="B8" s="928"/>
      <c r="C8" s="929" t="s">
        <v>509</v>
      </c>
      <c r="D8" s="930">
        <v>129756</v>
      </c>
      <c r="E8" s="930">
        <v>129755.91</v>
      </c>
      <c r="F8" s="931" t="s">
        <v>1175</v>
      </c>
    </row>
    <row r="9" spans="1:6" s="477" customFormat="1" ht="18.75" customHeight="1">
      <c r="A9" s="932" t="s">
        <v>155</v>
      </c>
      <c r="B9" s="933"/>
      <c r="C9" s="933" t="s">
        <v>1158</v>
      </c>
      <c r="D9" s="934">
        <f>SUM(D10,D11,D12,)+D13+D14</f>
        <v>10183200</v>
      </c>
      <c r="E9" s="934">
        <f>SUM(E10,E11,E12,)+E13+E14</f>
        <v>5380889.600000001</v>
      </c>
      <c r="F9" s="935">
        <f aca="true" t="shared" si="0" ref="F9:F19">E9/D9*100</f>
        <v>52.840851598711616</v>
      </c>
    </row>
    <row r="10" spans="1:6" ht="18.75" customHeight="1">
      <c r="A10" s="656" t="s">
        <v>1170</v>
      </c>
      <c r="B10" s="917" t="s">
        <v>45</v>
      </c>
      <c r="C10" s="918" t="s">
        <v>156</v>
      </c>
      <c r="D10" s="658">
        <v>8943200</v>
      </c>
      <c r="E10" s="658">
        <v>4481029.16</v>
      </c>
      <c r="F10" s="919">
        <f t="shared" si="0"/>
        <v>50.1054338491815</v>
      </c>
    </row>
    <row r="11" spans="1:6" ht="18.75" customHeight="1">
      <c r="A11" s="656" t="s">
        <v>1171</v>
      </c>
      <c r="B11" s="917" t="s">
        <v>46</v>
      </c>
      <c r="C11" s="918" t="s">
        <v>1103</v>
      </c>
      <c r="D11" s="658">
        <v>216000</v>
      </c>
      <c r="E11" s="658">
        <v>111082.59</v>
      </c>
      <c r="F11" s="919">
        <f t="shared" si="0"/>
        <v>51.427125</v>
      </c>
    </row>
    <row r="12" spans="1:6" ht="18.75" customHeight="1">
      <c r="A12" s="656" t="s">
        <v>1255</v>
      </c>
      <c r="B12" s="917" t="s">
        <v>47</v>
      </c>
      <c r="C12" s="918" t="s">
        <v>1102</v>
      </c>
      <c r="D12" s="658">
        <v>72000</v>
      </c>
      <c r="E12" s="658">
        <v>129530.86</v>
      </c>
      <c r="F12" s="919">
        <f t="shared" si="0"/>
        <v>179.90397222222222</v>
      </c>
    </row>
    <row r="13" spans="1:6" ht="27" customHeight="1">
      <c r="A13" s="656" t="s">
        <v>1262</v>
      </c>
      <c r="B13" s="917" t="s">
        <v>157</v>
      </c>
      <c r="C13" s="920" t="s">
        <v>158</v>
      </c>
      <c r="D13" s="658">
        <v>400000</v>
      </c>
      <c r="E13" s="658">
        <v>360000</v>
      </c>
      <c r="F13" s="919">
        <f t="shared" si="0"/>
        <v>90</v>
      </c>
    </row>
    <row r="14" spans="1:6" ht="18.75" customHeight="1" thickBot="1">
      <c r="A14" s="656"/>
      <c r="B14" s="917"/>
      <c r="C14" s="918" t="s">
        <v>159</v>
      </c>
      <c r="D14" s="658">
        <v>552000</v>
      </c>
      <c r="E14" s="658">
        <v>299246.99</v>
      </c>
      <c r="F14" s="919">
        <f t="shared" si="0"/>
        <v>54.21141123188406</v>
      </c>
    </row>
    <row r="15" spans="1:6" s="477" customFormat="1" ht="18" customHeight="1" thickBot="1">
      <c r="A15" s="1530" t="s">
        <v>160</v>
      </c>
      <c r="B15" s="1531"/>
      <c r="C15" s="1531"/>
      <c r="D15" s="936">
        <f>D9+D8</f>
        <v>10312956</v>
      </c>
      <c r="E15" s="936">
        <f>E9+E8</f>
        <v>5510645.510000001</v>
      </c>
      <c r="F15" s="937">
        <f t="shared" si="0"/>
        <v>53.43419975805192</v>
      </c>
    </row>
    <row r="16" spans="1:6" s="477" customFormat="1" ht="18" customHeight="1">
      <c r="A16" s="932" t="s">
        <v>162</v>
      </c>
      <c r="B16" s="933"/>
      <c r="C16" s="933" t="s">
        <v>163</v>
      </c>
      <c r="D16" s="934">
        <f>SUM(D17,D18,D19,D20,D21,D22,D23,D24,D25,D26,D27,D28,D29,D30,D31,D32,D33,D34,D35,D36,D37,D38,D39,D40,D41,D42,D43,D44,D45,D46)+D47+D48+D49+D50+D51</f>
        <v>9737856</v>
      </c>
      <c r="E16" s="934">
        <f>SUM(E17,E18,E19,E20,E21,E22,E23,E24,E25,E26,E27,E28,E29,E30,E31,E32,E33,E34,E35,E36,E37,E38,E39,E40,E41,E42,E43,E44,E45,E46)+E47+E48+E49+E50+E51</f>
        <v>4527832.23</v>
      </c>
      <c r="F16" s="935">
        <f t="shared" si="0"/>
        <v>46.49721899769313</v>
      </c>
    </row>
    <row r="17" spans="1:6" ht="18.75" customHeight="1">
      <c r="A17" s="938" t="s">
        <v>1170</v>
      </c>
      <c r="B17" s="939">
        <v>3020</v>
      </c>
      <c r="C17" s="920" t="s">
        <v>164</v>
      </c>
      <c r="D17" s="663">
        <v>70000</v>
      </c>
      <c r="E17" s="658">
        <v>10947.54</v>
      </c>
      <c r="F17" s="940">
        <f t="shared" si="0"/>
        <v>15.639342857142857</v>
      </c>
    </row>
    <row r="18" spans="1:7" ht="18.75" customHeight="1">
      <c r="A18" s="938" t="s">
        <v>1171</v>
      </c>
      <c r="B18" s="939">
        <v>4010</v>
      </c>
      <c r="C18" s="920" t="s">
        <v>165</v>
      </c>
      <c r="D18" s="658">
        <v>1463000</v>
      </c>
      <c r="E18" s="658">
        <v>659084.48</v>
      </c>
      <c r="F18" s="919">
        <f t="shared" si="0"/>
        <v>45.050203691045795</v>
      </c>
      <c r="G18" s="270"/>
    </row>
    <row r="19" spans="1:6" ht="18.75" customHeight="1">
      <c r="A19" s="938" t="s">
        <v>1255</v>
      </c>
      <c r="B19" s="939">
        <v>4040</v>
      </c>
      <c r="C19" s="920" t="s">
        <v>166</v>
      </c>
      <c r="D19" s="658">
        <v>124000</v>
      </c>
      <c r="E19" s="658">
        <v>0</v>
      </c>
      <c r="F19" s="919">
        <f t="shared" si="0"/>
        <v>0</v>
      </c>
    </row>
    <row r="20" spans="1:6" ht="18.75" customHeight="1">
      <c r="A20" s="938" t="s">
        <v>1262</v>
      </c>
      <c r="B20" s="939">
        <v>4110</v>
      </c>
      <c r="C20" s="920" t="s">
        <v>172</v>
      </c>
      <c r="D20" s="658">
        <v>245000</v>
      </c>
      <c r="E20" s="658">
        <v>99745.87</v>
      </c>
      <c r="F20" s="919">
        <f aca="true" t="shared" si="1" ref="F20:F50">E20/D20*100</f>
        <v>40.7126</v>
      </c>
    </row>
    <row r="21" spans="1:6" ht="18.75" customHeight="1">
      <c r="A21" s="938" t="s">
        <v>1263</v>
      </c>
      <c r="B21" s="939">
        <v>4120</v>
      </c>
      <c r="C21" s="920" t="s">
        <v>173</v>
      </c>
      <c r="D21" s="658">
        <v>39000</v>
      </c>
      <c r="E21" s="658">
        <v>13509.59</v>
      </c>
      <c r="F21" s="919">
        <f t="shared" si="1"/>
        <v>34.63997435897436</v>
      </c>
    </row>
    <row r="22" spans="1:6" ht="18.75" customHeight="1">
      <c r="A22" s="938" t="s">
        <v>1264</v>
      </c>
      <c r="B22" s="939">
        <v>4170</v>
      </c>
      <c r="C22" s="920" t="s">
        <v>174</v>
      </c>
      <c r="D22" s="658">
        <v>30000</v>
      </c>
      <c r="E22" s="658">
        <v>10978.4</v>
      </c>
      <c r="F22" s="919">
        <f t="shared" si="1"/>
        <v>36.59466666666666</v>
      </c>
    </row>
    <row r="23" spans="1:6" ht="18.75" customHeight="1">
      <c r="A23" s="938" t="s">
        <v>1351</v>
      </c>
      <c r="B23" s="939">
        <v>4210</v>
      </c>
      <c r="C23" s="920" t="s">
        <v>175</v>
      </c>
      <c r="D23" s="658">
        <v>139000</v>
      </c>
      <c r="E23" s="658">
        <v>59921.98</v>
      </c>
      <c r="F23" s="919">
        <f t="shared" si="1"/>
        <v>43.10933812949641</v>
      </c>
    </row>
    <row r="24" spans="1:6" ht="18.75" customHeight="1">
      <c r="A24" s="938" t="s">
        <v>1352</v>
      </c>
      <c r="B24" s="939">
        <v>4260</v>
      </c>
      <c r="C24" s="920" t="s">
        <v>176</v>
      </c>
      <c r="D24" s="658">
        <v>1684000</v>
      </c>
      <c r="E24" s="658">
        <v>813355.7</v>
      </c>
      <c r="F24" s="919">
        <f t="shared" si="1"/>
        <v>48.29903206650831</v>
      </c>
    </row>
    <row r="25" spans="1:6" ht="18.75" customHeight="1">
      <c r="A25" s="938" t="s">
        <v>1265</v>
      </c>
      <c r="B25" s="939">
        <v>4270</v>
      </c>
      <c r="C25" s="920" t="s">
        <v>177</v>
      </c>
      <c r="D25" s="658">
        <v>1716656</v>
      </c>
      <c r="E25" s="658">
        <v>761297.46</v>
      </c>
      <c r="F25" s="919">
        <f t="shared" si="1"/>
        <v>44.34770041289577</v>
      </c>
    </row>
    <row r="26" spans="1:6" ht="18.75" customHeight="1">
      <c r="A26" s="938" t="s">
        <v>1267</v>
      </c>
      <c r="B26" s="939">
        <v>4280</v>
      </c>
      <c r="C26" s="920" t="s">
        <v>234</v>
      </c>
      <c r="D26" s="658">
        <v>3000</v>
      </c>
      <c r="E26" s="658">
        <v>807.3</v>
      </c>
      <c r="F26" s="919">
        <f t="shared" si="1"/>
        <v>26.91</v>
      </c>
    </row>
    <row r="27" spans="1:6" ht="18.75" customHeight="1">
      <c r="A27" s="938" t="s">
        <v>1353</v>
      </c>
      <c r="B27" s="939">
        <v>4300</v>
      </c>
      <c r="C27" s="920" t="s">
        <v>191</v>
      </c>
      <c r="D27" s="658">
        <v>2730000</v>
      </c>
      <c r="E27" s="658">
        <v>1237541.25</v>
      </c>
      <c r="F27" s="919">
        <f t="shared" si="1"/>
        <v>45.33118131868132</v>
      </c>
    </row>
    <row r="28" spans="1:6" ht="18.75" customHeight="1">
      <c r="A28" s="938" t="s">
        <v>1268</v>
      </c>
      <c r="B28" s="939">
        <v>4350</v>
      </c>
      <c r="C28" s="941" t="s">
        <v>192</v>
      </c>
      <c r="D28" s="658">
        <v>1200</v>
      </c>
      <c r="E28" s="658">
        <v>430</v>
      </c>
      <c r="F28" s="919">
        <f t="shared" si="1"/>
        <v>35.833333333333336</v>
      </c>
    </row>
    <row r="29" spans="1:6" ht="28.5" customHeight="1">
      <c r="A29" s="938" t="s">
        <v>1269</v>
      </c>
      <c r="B29" s="939">
        <v>4360</v>
      </c>
      <c r="C29" s="941" t="s">
        <v>193</v>
      </c>
      <c r="D29" s="658">
        <v>9000</v>
      </c>
      <c r="E29" s="658">
        <v>2639.86</v>
      </c>
      <c r="F29" s="919">
        <f t="shared" si="1"/>
        <v>29.33177777777778</v>
      </c>
    </row>
    <row r="30" spans="1:6" ht="28.5" customHeight="1">
      <c r="A30" s="938" t="s">
        <v>1354</v>
      </c>
      <c r="B30" s="939">
        <v>4370</v>
      </c>
      <c r="C30" s="941" t="s">
        <v>194</v>
      </c>
      <c r="D30" s="658">
        <v>9000</v>
      </c>
      <c r="E30" s="658">
        <v>2910.49</v>
      </c>
      <c r="F30" s="919">
        <f t="shared" si="1"/>
        <v>32.33877777777778</v>
      </c>
    </row>
    <row r="31" spans="1:6" ht="19.5" customHeight="1">
      <c r="A31" s="938" t="s">
        <v>1270</v>
      </c>
      <c r="B31" s="939">
        <v>4390</v>
      </c>
      <c r="C31" s="941" t="s">
        <v>237</v>
      </c>
      <c r="D31" s="658">
        <v>10000</v>
      </c>
      <c r="E31" s="658">
        <v>0</v>
      </c>
      <c r="F31" s="919">
        <f t="shared" si="1"/>
        <v>0</v>
      </c>
    </row>
    <row r="32" spans="1:6" ht="30" customHeight="1">
      <c r="A32" s="938" t="s">
        <v>1271</v>
      </c>
      <c r="B32" s="939">
        <v>4400</v>
      </c>
      <c r="C32" s="941" t="s">
        <v>195</v>
      </c>
      <c r="D32" s="658">
        <v>10000</v>
      </c>
      <c r="E32" s="658">
        <v>2159.24</v>
      </c>
      <c r="F32" s="919">
        <f t="shared" si="1"/>
        <v>21.592399999999998</v>
      </c>
    </row>
    <row r="33" spans="1:6" ht="18.75" customHeight="1">
      <c r="A33" s="938" t="s">
        <v>1272</v>
      </c>
      <c r="B33" s="939">
        <v>4410</v>
      </c>
      <c r="C33" s="920" t="s">
        <v>196</v>
      </c>
      <c r="D33" s="658">
        <v>12000</v>
      </c>
      <c r="E33" s="658">
        <v>1246.26</v>
      </c>
      <c r="F33" s="919">
        <f t="shared" si="1"/>
        <v>10.3855</v>
      </c>
    </row>
    <row r="34" spans="1:6" ht="18.75" customHeight="1">
      <c r="A34" s="938" t="s">
        <v>1273</v>
      </c>
      <c r="B34" s="939">
        <v>4430</v>
      </c>
      <c r="C34" s="920" t="s">
        <v>197</v>
      </c>
      <c r="D34" s="658">
        <v>18000</v>
      </c>
      <c r="E34" s="658">
        <v>9769</v>
      </c>
      <c r="F34" s="919">
        <f t="shared" si="1"/>
        <v>54.27222222222222</v>
      </c>
    </row>
    <row r="35" spans="1:6" ht="18.75" customHeight="1">
      <c r="A35" s="938" t="s">
        <v>1276</v>
      </c>
      <c r="B35" s="939">
        <v>4440</v>
      </c>
      <c r="C35" s="920" t="s">
        <v>198</v>
      </c>
      <c r="D35" s="658">
        <v>53000</v>
      </c>
      <c r="E35" s="658">
        <v>24161.52</v>
      </c>
      <c r="F35" s="919">
        <f t="shared" si="1"/>
        <v>45.58777358490566</v>
      </c>
    </row>
    <row r="36" spans="1:6" ht="18.75" customHeight="1">
      <c r="A36" s="938" t="s">
        <v>1277</v>
      </c>
      <c r="B36" s="939">
        <v>4480</v>
      </c>
      <c r="C36" s="920" t="s">
        <v>1115</v>
      </c>
      <c r="D36" s="658">
        <v>598000</v>
      </c>
      <c r="E36" s="658">
        <v>297369</v>
      </c>
      <c r="F36" s="919">
        <f t="shared" si="1"/>
        <v>49.727257525083616</v>
      </c>
    </row>
    <row r="37" spans="1:6" ht="28.5" customHeight="1">
      <c r="A37" s="938" t="s">
        <v>1278</v>
      </c>
      <c r="B37" s="939">
        <v>4500</v>
      </c>
      <c r="C37" s="920" t="s">
        <v>297</v>
      </c>
      <c r="D37" s="658">
        <v>2000</v>
      </c>
      <c r="E37" s="658">
        <v>1925.7</v>
      </c>
      <c r="F37" s="919">
        <f t="shared" si="1"/>
        <v>96.285</v>
      </c>
    </row>
    <row r="38" spans="1:6" ht="23.25" customHeight="1">
      <c r="A38" s="938" t="s">
        <v>1279</v>
      </c>
      <c r="B38" s="939">
        <v>4510</v>
      </c>
      <c r="C38" s="920" t="s">
        <v>967</v>
      </c>
      <c r="D38" s="658">
        <v>50000</v>
      </c>
      <c r="E38" s="658">
        <v>10076</v>
      </c>
      <c r="F38" s="919">
        <f t="shared" si="1"/>
        <v>20.152</v>
      </c>
    </row>
    <row r="39" spans="1:6" ht="23.25" customHeight="1">
      <c r="A39" s="938" t="s">
        <v>1127</v>
      </c>
      <c r="B39" s="939">
        <v>4520</v>
      </c>
      <c r="C39" s="920" t="s">
        <v>239</v>
      </c>
      <c r="D39" s="658">
        <v>2000</v>
      </c>
      <c r="E39" s="658">
        <v>153</v>
      </c>
      <c r="F39" s="919">
        <f t="shared" si="1"/>
        <v>7.6499999999999995</v>
      </c>
    </row>
    <row r="40" spans="1:6" ht="23.25" customHeight="1">
      <c r="A40" s="938" t="s">
        <v>1128</v>
      </c>
      <c r="B40" s="939">
        <v>4530</v>
      </c>
      <c r="C40" s="920" t="s">
        <v>364</v>
      </c>
      <c r="D40" s="658">
        <v>6000</v>
      </c>
      <c r="E40" s="658">
        <v>0</v>
      </c>
      <c r="F40" s="919">
        <f t="shared" si="1"/>
        <v>0</v>
      </c>
    </row>
    <row r="41" spans="1:6" ht="27" customHeight="1">
      <c r="A41" s="938" t="s">
        <v>1129</v>
      </c>
      <c r="B41" s="939">
        <v>4570</v>
      </c>
      <c r="C41" s="920" t="s">
        <v>199</v>
      </c>
      <c r="D41" s="658">
        <v>1000</v>
      </c>
      <c r="E41" s="658">
        <v>10.39</v>
      </c>
      <c r="F41" s="919">
        <f t="shared" si="1"/>
        <v>1.039</v>
      </c>
    </row>
    <row r="42" spans="1:6" ht="18" customHeight="1">
      <c r="A42" s="938" t="s">
        <v>1130</v>
      </c>
      <c r="B42" s="939">
        <v>4580</v>
      </c>
      <c r="C42" s="920" t="s">
        <v>1103</v>
      </c>
      <c r="D42" s="658">
        <v>1000</v>
      </c>
      <c r="E42" s="658">
        <v>0.35</v>
      </c>
      <c r="F42" s="919">
        <f t="shared" si="1"/>
        <v>0.034999999999999996</v>
      </c>
    </row>
    <row r="43" spans="1:6" ht="18" customHeight="1">
      <c r="A43" s="938" t="s">
        <v>475</v>
      </c>
      <c r="B43" s="939">
        <v>4590</v>
      </c>
      <c r="C43" s="920" t="s">
        <v>200</v>
      </c>
      <c r="D43" s="658">
        <v>1000</v>
      </c>
      <c r="E43" s="658">
        <v>0</v>
      </c>
      <c r="F43" s="919">
        <f t="shared" si="1"/>
        <v>0</v>
      </c>
    </row>
    <row r="44" spans="1:6" ht="19.5" customHeight="1">
      <c r="A44" s="938" t="s">
        <v>476</v>
      </c>
      <c r="B44" s="939">
        <v>4610</v>
      </c>
      <c r="C44" s="920" t="s">
        <v>201</v>
      </c>
      <c r="D44" s="658">
        <v>77000</v>
      </c>
      <c r="E44" s="658">
        <v>22912.06</v>
      </c>
      <c r="F44" s="919">
        <f t="shared" si="1"/>
        <v>29.75592207792208</v>
      </c>
    </row>
    <row r="45" spans="1:6" ht="26.25" customHeight="1">
      <c r="A45" s="938" t="s">
        <v>477</v>
      </c>
      <c r="B45" s="939">
        <v>4700</v>
      </c>
      <c r="C45" s="920" t="s">
        <v>202</v>
      </c>
      <c r="D45" s="658">
        <v>6000</v>
      </c>
      <c r="E45" s="658">
        <v>769</v>
      </c>
      <c r="F45" s="919">
        <f t="shared" si="1"/>
        <v>12.816666666666668</v>
      </c>
    </row>
    <row r="46" spans="1:6" ht="28.5" customHeight="1">
      <c r="A46" s="938" t="s">
        <v>697</v>
      </c>
      <c r="B46" s="939">
        <v>4740</v>
      </c>
      <c r="C46" s="920" t="s">
        <v>203</v>
      </c>
      <c r="D46" s="658">
        <v>8000</v>
      </c>
      <c r="E46" s="658">
        <v>4097.81</v>
      </c>
      <c r="F46" s="919">
        <f t="shared" si="1"/>
        <v>51.22262500000001</v>
      </c>
    </row>
    <row r="47" spans="1:6" ht="19.5" customHeight="1">
      <c r="A47" s="938" t="s">
        <v>698</v>
      </c>
      <c r="B47" s="939">
        <v>4750</v>
      </c>
      <c r="C47" s="920" t="s">
        <v>206</v>
      </c>
      <c r="D47" s="658">
        <v>17000</v>
      </c>
      <c r="E47" s="658">
        <v>9133.86</v>
      </c>
      <c r="F47" s="919">
        <f t="shared" si="1"/>
        <v>53.72858823529412</v>
      </c>
    </row>
    <row r="48" spans="1:6" ht="19.5" customHeight="1">
      <c r="A48" s="938" t="s">
        <v>500</v>
      </c>
      <c r="B48" s="939">
        <v>6070</v>
      </c>
      <c r="C48" s="920" t="s">
        <v>207</v>
      </c>
      <c r="D48" s="658">
        <v>21000</v>
      </c>
      <c r="E48" s="658">
        <v>969.9</v>
      </c>
      <c r="F48" s="919">
        <f t="shared" si="1"/>
        <v>4.618571428571428</v>
      </c>
    </row>
    <row r="49" spans="1:6" ht="19.5" customHeight="1">
      <c r="A49" s="938" t="s">
        <v>964</v>
      </c>
      <c r="B49" s="939">
        <v>6080</v>
      </c>
      <c r="C49" s="920" t="s">
        <v>208</v>
      </c>
      <c r="D49" s="658">
        <v>30000</v>
      </c>
      <c r="E49" s="658">
        <v>6231.2</v>
      </c>
      <c r="F49" s="919">
        <f t="shared" si="1"/>
        <v>20.770666666666664</v>
      </c>
    </row>
    <row r="50" spans="1:6" ht="18" customHeight="1">
      <c r="A50" s="942"/>
      <c r="B50" s="943"/>
      <c r="C50" s="920" t="s">
        <v>209</v>
      </c>
      <c r="D50" s="658">
        <v>552000</v>
      </c>
      <c r="E50" s="658">
        <v>299246.99</v>
      </c>
      <c r="F50" s="919">
        <f t="shared" si="1"/>
        <v>54.21141123188406</v>
      </c>
    </row>
    <row r="51" spans="1:6" ht="19.5" customHeight="1">
      <c r="A51" s="294"/>
      <c r="B51" s="517"/>
      <c r="C51" s="510" t="s">
        <v>210</v>
      </c>
      <c r="D51" s="449">
        <v>0</v>
      </c>
      <c r="E51" s="449">
        <v>164431.03</v>
      </c>
      <c r="F51" s="944" t="s">
        <v>1142</v>
      </c>
    </row>
    <row r="52" spans="1:6" s="477" customFormat="1" ht="19.5" customHeight="1">
      <c r="A52" s="945" t="s">
        <v>211</v>
      </c>
      <c r="B52" s="946"/>
      <c r="C52" s="947" t="s">
        <v>1143</v>
      </c>
      <c r="D52" s="948">
        <v>250000</v>
      </c>
      <c r="E52" s="948">
        <v>111102</v>
      </c>
      <c r="F52" s="949" t="s">
        <v>1175</v>
      </c>
    </row>
    <row r="53" spans="1:6" s="477" customFormat="1" ht="19.5" customHeight="1">
      <c r="A53" s="945" t="s">
        <v>241</v>
      </c>
      <c r="B53" s="946"/>
      <c r="C53" s="947" t="s">
        <v>240</v>
      </c>
      <c r="D53" s="948">
        <v>0</v>
      </c>
      <c r="E53" s="948">
        <v>0</v>
      </c>
      <c r="F53" s="949" t="s">
        <v>1142</v>
      </c>
    </row>
    <row r="54" spans="1:6" s="477" customFormat="1" ht="25.5" customHeight="1" thickBot="1">
      <c r="A54" s="950" t="s">
        <v>529</v>
      </c>
      <c r="B54" s="951"/>
      <c r="C54" s="952" t="s">
        <v>510</v>
      </c>
      <c r="D54" s="953">
        <v>325100</v>
      </c>
      <c r="E54" s="953">
        <v>871711.28</v>
      </c>
      <c r="F54" s="954" t="s">
        <v>1175</v>
      </c>
    </row>
    <row r="55" spans="1:6" ht="18" customHeight="1" thickBot="1">
      <c r="A55" s="1527" t="s">
        <v>246</v>
      </c>
      <c r="B55" s="1528"/>
      <c r="C55" s="1529"/>
      <c r="D55" s="936">
        <f>D16+D52+D53+D54</f>
        <v>10312956</v>
      </c>
      <c r="E55" s="936">
        <f>E16+E52+E53+E54</f>
        <v>5510645.510000001</v>
      </c>
      <c r="F55" s="937">
        <f>E55/D55*100</f>
        <v>53.43419975805192</v>
      </c>
    </row>
    <row r="56" spans="3:5" ht="12.75">
      <c r="C56" s="279" t="s">
        <v>1026</v>
      </c>
      <c r="D56" s="270">
        <f>D15-D55</f>
        <v>0</v>
      </c>
      <c r="E56" s="270">
        <f>E15-E55</f>
        <v>0</v>
      </c>
    </row>
  </sheetData>
  <sheetProtection password="CF93" sheet="1"/>
  <mergeCells count="5">
    <mergeCell ref="A55:C55"/>
    <mergeCell ref="A15:C15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2"/>
  </sheetPr>
  <dimension ref="A1:F44"/>
  <sheetViews>
    <sheetView view="pageBreakPreview" zoomScaleSheetLayoutView="100" zoomScalePageLayoutView="0" workbookViewId="0" topLeftCell="A23">
      <selection activeCell="C38" sqref="C38"/>
    </sheetView>
  </sheetViews>
  <sheetFormatPr defaultColWidth="9.00390625" defaultRowHeight="12.75"/>
  <cols>
    <col min="1" max="1" width="3.625" style="271" customWidth="1"/>
    <col min="2" max="2" width="4.375" style="271" customWidth="1"/>
    <col min="3" max="3" width="49.75390625" style="271" customWidth="1"/>
    <col min="4" max="4" width="11.875" style="271" customWidth="1"/>
    <col min="5" max="5" width="11.25390625" style="271" bestFit="1" customWidth="1"/>
    <col min="6" max="6" width="5.125" style="271" customWidth="1"/>
    <col min="7" max="16384" width="9.125" style="271" customWidth="1"/>
  </cols>
  <sheetData>
    <row r="1" spans="5:6" ht="27" customHeight="1">
      <c r="E1" s="1396" t="s">
        <v>288</v>
      </c>
      <c r="F1" s="1396"/>
    </row>
    <row r="2" spans="1:6" ht="31.5" customHeight="1">
      <c r="A2" s="1351" t="s">
        <v>213</v>
      </c>
      <c r="B2" s="1351"/>
      <c r="C2" s="1351"/>
      <c r="D2" s="1351"/>
      <c r="E2" s="1351"/>
      <c r="F2" s="1351"/>
    </row>
    <row r="3" spans="1:6" ht="19.5" customHeight="1" thickBot="1">
      <c r="A3" s="1532" t="s">
        <v>369</v>
      </c>
      <c r="B3" s="1532"/>
      <c r="C3" s="1532"/>
      <c r="F3" s="279" t="s">
        <v>818</v>
      </c>
    </row>
    <row r="4" spans="1:6" s="281" customFormat="1" ht="15" customHeight="1">
      <c r="A4" s="480" t="s">
        <v>1167</v>
      </c>
      <c r="B4" s="481" t="s">
        <v>1095</v>
      </c>
      <c r="C4" s="481" t="s">
        <v>820</v>
      </c>
      <c r="D4" s="482" t="s">
        <v>821</v>
      </c>
      <c r="E4" s="482" t="s">
        <v>822</v>
      </c>
      <c r="F4" s="921" t="s">
        <v>153</v>
      </c>
    </row>
    <row r="5" spans="1:6" s="926" customFormat="1" ht="12" customHeight="1" thickBot="1">
      <c r="A5" s="922">
        <v>1</v>
      </c>
      <c r="B5" s="923">
        <v>2</v>
      </c>
      <c r="C5" s="923">
        <v>3</v>
      </c>
      <c r="D5" s="924">
        <v>4</v>
      </c>
      <c r="E5" s="924">
        <v>5</v>
      </c>
      <c r="F5" s="925">
        <v>6</v>
      </c>
    </row>
    <row r="6" spans="1:6" s="477" customFormat="1" ht="24" customHeight="1">
      <c r="A6" s="927" t="s">
        <v>154</v>
      </c>
      <c r="B6" s="928"/>
      <c r="C6" s="929" t="s">
        <v>509</v>
      </c>
      <c r="D6" s="930">
        <v>-426966</v>
      </c>
      <c r="E6" s="930">
        <v>-426965.92</v>
      </c>
      <c r="F6" s="931" t="s">
        <v>1175</v>
      </c>
    </row>
    <row r="7" spans="1:6" s="477" customFormat="1" ht="19.5" customHeight="1">
      <c r="A7" s="932" t="s">
        <v>155</v>
      </c>
      <c r="B7" s="933"/>
      <c r="C7" s="933" t="s">
        <v>1158</v>
      </c>
      <c r="D7" s="934">
        <f>SUM(D8:D13)</f>
        <v>7884257.76</v>
      </c>
      <c r="E7" s="934">
        <f>SUM(E8:E13)</f>
        <v>4454389.32</v>
      </c>
      <c r="F7" s="935">
        <f aca="true" t="shared" si="0" ref="F7:F12">E7/D7*100</f>
        <v>56.49725637584939</v>
      </c>
    </row>
    <row r="8" spans="1:6" ht="54" customHeight="1">
      <c r="A8" s="656" t="s">
        <v>1170</v>
      </c>
      <c r="B8" s="917" t="s">
        <v>50</v>
      </c>
      <c r="C8" s="920" t="s">
        <v>130</v>
      </c>
      <c r="D8" s="658">
        <v>18300</v>
      </c>
      <c r="E8" s="658">
        <v>18641.5</v>
      </c>
      <c r="F8" s="919">
        <f t="shared" si="0"/>
        <v>101.86612021857924</v>
      </c>
    </row>
    <row r="9" spans="1:6" ht="16.5" customHeight="1">
      <c r="A9" s="656" t="s">
        <v>1171</v>
      </c>
      <c r="B9" s="917" t="s">
        <v>45</v>
      </c>
      <c r="C9" s="918" t="s">
        <v>156</v>
      </c>
      <c r="D9" s="658">
        <v>2742200</v>
      </c>
      <c r="E9" s="658">
        <v>1339618.98</v>
      </c>
      <c r="F9" s="919">
        <f t="shared" si="0"/>
        <v>48.851979432572385</v>
      </c>
    </row>
    <row r="10" spans="1:6" ht="16.5" customHeight="1">
      <c r="A10" s="656" t="s">
        <v>1255</v>
      </c>
      <c r="B10" s="917" t="s">
        <v>46</v>
      </c>
      <c r="C10" s="918" t="s">
        <v>1103</v>
      </c>
      <c r="D10" s="658">
        <v>3400</v>
      </c>
      <c r="E10" s="658">
        <v>2516.94</v>
      </c>
      <c r="F10" s="919">
        <f t="shared" si="0"/>
        <v>74.02764705882353</v>
      </c>
    </row>
    <row r="11" spans="1:6" ht="16.5" customHeight="1">
      <c r="A11" s="656" t="s">
        <v>1262</v>
      </c>
      <c r="B11" s="917" t="s">
        <v>47</v>
      </c>
      <c r="C11" s="918" t="s">
        <v>1102</v>
      </c>
      <c r="D11" s="658">
        <v>2520</v>
      </c>
      <c r="E11" s="658">
        <v>12689.36</v>
      </c>
      <c r="F11" s="919">
        <f t="shared" si="0"/>
        <v>503.5460317460318</v>
      </c>
    </row>
    <row r="12" spans="1:6" ht="26.25" customHeight="1">
      <c r="A12" s="656" t="s">
        <v>1263</v>
      </c>
      <c r="B12" s="917" t="s">
        <v>215</v>
      </c>
      <c r="C12" s="920" t="s">
        <v>231</v>
      </c>
      <c r="D12" s="658">
        <v>5021440</v>
      </c>
      <c r="E12" s="658">
        <v>3033891</v>
      </c>
      <c r="F12" s="919">
        <f t="shared" si="0"/>
        <v>60.418744423910276</v>
      </c>
    </row>
    <row r="13" spans="1:6" ht="16.5" customHeight="1" thickBot="1">
      <c r="A13" s="656"/>
      <c r="B13" s="917"/>
      <c r="C13" s="918" t="s">
        <v>159</v>
      </c>
      <c r="D13" s="658">
        <v>96397.76</v>
      </c>
      <c r="E13" s="658">
        <v>47031.54</v>
      </c>
      <c r="F13" s="919">
        <f aca="true" t="shared" si="1" ref="F13:F18">E13/D13*100</f>
        <v>48.78903825151124</v>
      </c>
    </row>
    <row r="14" spans="1:6" s="477" customFormat="1" ht="18.75" customHeight="1" thickBot="1">
      <c r="A14" s="1530" t="s">
        <v>160</v>
      </c>
      <c r="B14" s="1531"/>
      <c r="C14" s="1531"/>
      <c r="D14" s="936">
        <f>D7+D6</f>
        <v>7457291.76</v>
      </c>
      <c r="E14" s="936">
        <f>E7+E6</f>
        <v>4027423.4000000004</v>
      </c>
      <c r="F14" s="937">
        <f t="shared" si="1"/>
        <v>54.00651509442888</v>
      </c>
    </row>
    <row r="15" spans="1:6" s="477" customFormat="1" ht="18.75" customHeight="1">
      <c r="A15" s="932" t="s">
        <v>162</v>
      </c>
      <c r="B15" s="933"/>
      <c r="C15" s="933" t="s">
        <v>163</v>
      </c>
      <c r="D15" s="934">
        <f>SUM(D16,D17,D18,D19,D20,D21,D22,D23,D24,D25,D26,D27,D28,D29,D30,D31,D32,D33,D34,D35,D36,D37,D38,D39,D40,D41)</f>
        <v>7397291.76</v>
      </c>
      <c r="E15" s="934">
        <f>SUM(E16,E17,E18,E19,E20,E21,E22,E23,E24,E25,E26,E27,E28,E29,E30,E31,E32,E33,E34,E35,E36,E37,E38,E39,E40,E41)</f>
        <v>3946640.310000001</v>
      </c>
      <c r="F15" s="935">
        <f t="shared" si="1"/>
        <v>53.35250302470158</v>
      </c>
    </row>
    <row r="16" spans="1:6" ht="16.5" customHeight="1">
      <c r="A16" s="656" t="s">
        <v>1170</v>
      </c>
      <c r="B16" s="939">
        <v>3020</v>
      </c>
      <c r="C16" s="918" t="s">
        <v>164</v>
      </c>
      <c r="D16" s="658">
        <v>9729</v>
      </c>
      <c r="E16" s="658">
        <v>2628.27</v>
      </c>
      <c r="F16" s="919">
        <f t="shared" si="1"/>
        <v>27.01480111008326</v>
      </c>
    </row>
    <row r="17" spans="1:6" ht="16.5" customHeight="1">
      <c r="A17" s="656" t="s">
        <v>1171</v>
      </c>
      <c r="B17" s="939">
        <v>4010</v>
      </c>
      <c r="C17" s="918" t="s">
        <v>165</v>
      </c>
      <c r="D17" s="658">
        <v>4108574</v>
      </c>
      <c r="E17" s="658">
        <v>2419209.08</v>
      </c>
      <c r="F17" s="919">
        <f t="shared" si="1"/>
        <v>58.88196439932687</v>
      </c>
    </row>
    <row r="18" spans="1:6" ht="16.5" customHeight="1">
      <c r="A18" s="656" t="s">
        <v>1255</v>
      </c>
      <c r="B18" s="939">
        <v>4040</v>
      </c>
      <c r="C18" s="918" t="s">
        <v>166</v>
      </c>
      <c r="D18" s="658">
        <v>435183</v>
      </c>
      <c r="E18" s="658">
        <v>0</v>
      </c>
      <c r="F18" s="919">
        <f t="shared" si="1"/>
        <v>0</v>
      </c>
    </row>
    <row r="19" spans="1:6" ht="16.5" customHeight="1">
      <c r="A19" s="656" t="s">
        <v>1262</v>
      </c>
      <c r="B19" s="939">
        <v>4110</v>
      </c>
      <c r="C19" s="918" t="s">
        <v>172</v>
      </c>
      <c r="D19" s="658">
        <v>787329</v>
      </c>
      <c r="E19" s="658">
        <v>354130.68</v>
      </c>
      <c r="F19" s="919">
        <f aca="true" t="shared" si="2" ref="F19:F40">E19/D19*100</f>
        <v>44.97874205065481</v>
      </c>
    </row>
    <row r="20" spans="1:6" ht="16.5" customHeight="1">
      <c r="A20" s="656" t="s">
        <v>1263</v>
      </c>
      <c r="B20" s="939">
        <v>4120</v>
      </c>
      <c r="C20" s="918" t="s">
        <v>173</v>
      </c>
      <c r="D20" s="658">
        <v>132641</v>
      </c>
      <c r="E20" s="658">
        <v>50017.27</v>
      </c>
      <c r="F20" s="919">
        <f t="shared" si="2"/>
        <v>37.708755211435374</v>
      </c>
    </row>
    <row r="21" spans="1:6" ht="29.25" customHeight="1">
      <c r="A21" s="656" t="s">
        <v>1264</v>
      </c>
      <c r="B21" s="939">
        <v>4140</v>
      </c>
      <c r="C21" s="920" t="s">
        <v>236</v>
      </c>
      <c r="D21" s="658">
        <v>13070</v>
      </c>
      <c r="E21" s="658">
        <v>4629</v>
      </c>
      <c r="F21" s="919">
        <f t="shared" si="2"/>
        <v>35.41698546289212</v>
      </c>
    </row>
    <row r="22" spans="1:6" ht="16.5" customHeight="1">
      <c r="A22" s="656" t="s">
        <v>1351</v>
      </c>
      <c r="B22" s="939">
        <v>4210</v>
      </c>
      <c r="C22" s="918" t="s">
        <v>175</v>
      </c>
      <c r="D22" s="658">
        <v>156500</v>
      </c>
      <c r="E22" s="658">
        <v>90139.7</v>
      </c>
      <c r="F22" s="919">
        <f t="shared" si="2"/>
        <v>57.597252396166134</v>
      </c>
    </row>
    <row r="23" spans="1:6" ht="16.5" customHeight="1">
      <c r="A23" s="656" t="s">
        <v>1352</v>
      </c>
      <c r="B23" s="939">
        <v>4220</v>
      </c>
      <c r="C23" s="918" t="s">
        <v>232</v>
      </c>
      <c r="D23" s="658">
        <v>599781</v>
      </c>
      <c r="E23" s="658">
        <v>397858.7</v>
      </c>
      <c r="F23" s="919">
        <f t="shared" si="2"/>
        <v>66.33399524159653</v>
      </c>
    </row>
    <row r="24" spans="1:6" ht="16.5" customHeight="1">
      <c r="A24" s="656" t="s">
        <v>1265</v>
      </c>
      <c r="B24" s="939">
        <v>4240</v>
      </c>
      <c r="C24" s="918" t="s">
        <v>233</v>
      </c>
      <c r="D24" s="658">
        <v>13000</v>
      </c>
      <c r="E24" s="658">
        <v>2577.74</v>
      </c>
      <c r="F24" s="919">
        <f t="shared" si="2"/>
        <v>19.82876923076923</v>
      </c>
    </row>
    <row r="25" spans="1:6" ht="16.5" customHeight="1">
      <c r="A25" s="656" t="s">
        <v>1267</v>
      </c>
      <c r="B25" s="939">
        <v>4260</v>
      </c>
      <c r="C25" s="918" t="s">
        <v>176</v>
      </c>
      <c r="D25" s="658">
        <v>384100</v>
      </c>
      <c r="E25" s="658">
        <v>259881.13</v>
      </c>
      <c r="F25" s="919">
        <f t="shared" si="2"/>
        <v>67.65975787555324</v>
      </c>
    </row>
    <row r="26" spans="1:6" ht="16.5" customHeight="1">
      <c r="A26" s="656" t="s">
        <v>1353</v>
      </c>
      <c r="B26" s="939">
        <v>4270</v>
      </c>
      <c r="C26" s="918" t="s">
        <v>177</v>
      </c>
      <c r="D26" s="658">
        <v>104000</v>
      </c>
      <c r="E26" s="658">
        <v>52880.48</v>
      </c>
      <c r="F26" s="919">
        <f t="shared" si="2"/>
        <v>50.84661538461539</v>
      </c>
    </row>
    <row r="27" spans="1:6" ht="16.5" customHeight="1">
      <c r="A27" s="656" t="s">
        <v>1268</v>
      </c>
      <c r="B27" s="939">
        <v>4280</v>
      </c>
      <c r="C27" s="918" t="s">
        <v>234</v>
      </c>
      <c r="D27" s="658">
        <v>6000</v>
      </c>
      <c r="E27" s="658">
        <v>1715.5</v>
      </c>
      <c r="F27" s="919">
        <f t="shared" si="2"/>
        <v>28.591666666666665</v>
      </c>
    </row>
    <row r="28" spans="1:6" ht="16.5" customHeight="1">
      <c r="A28" s="656" t="s">
        <v>1269</v>
      </c>
      <c r="B28" s="939">
        <v>4300</v>
      </c>
      <c r="C28" s="918" t="s">
        <v>191</v>
      </c>
      <c r="D28" s="658">
        <v>143543</v>
      </c>
      <c r="E28" s="658">
        <v>81984.75</v>
      </c>
      <c r="F28" s="919">
        <f t="shared" si="2"/>
        <v>57.115115331294454</v>
      </c>
    </row>
    <row r="29" spans="1:6" ht="16.5" customHeight="1">
      <c r="A29" s="656" t="s">
        <v>1354</v>
      </c>
      <c r="B29" s="939">
        <v>4350</v>
      </c>
      <c r="C29" s="918" t="s">
        <v>192</v>
      </c>
      <c r="D29" s="658">
        <v>5580</v>
      </c>
      <c r="E29" s="658">
        <v>1951.9</v>
      </c>
      <c r="F29" s="919">
        <f t="shared" si="2"/>
        <v>34.98028673835126</v>
      </c>
    </row>
    <row r="30" spans="1:6" ht="27.75" customHeight="1">
      <c r="A30" s="656" t="s">
        <v>1270</v>
      </c>
      <c r="B30" s="939">
        <v>4370</v>
      </c>
      <c r="C30" s="920" t="s">
        <v>194</v>
      </c>
      <c r="D30" s="658">
        <v>13900</v>
      </c>
      <c r="E30" s="658">
        <v>5639.45</v>
      </c>
      <c r="F30" s="919">
        <f t="shared" si="2"/>
        <v>40.57158273381295</v>
      </c>
    </row>
    <row r="31" spans="1:6" ht="27.75" customHeight="1">
      <c r="A31" s="656" t="s">
        <v>1271</v>
      </c>
      <c r="B31" s="939">
        <v>4390</v>
      </c>
      <c r="C31" s="941" t="s">
        <v>237</v>
      </c>
      <c r="D31" s="658">
        <v>6250</v>
      </c>
      <c r="E31" s="658">
        <v>244</v>
      </c>
      <c r="F31" s="919">
        <f t="shared" si="2"/>
        <v>3.904</v>
      </c>
    </row>
    <row r="32" spans="1:6" ht="16.5" customHeight="1">
      <c r="A32" s="656" t="s">
        <v>1272</v>
      </c>
      <c r="B32" s="939">
        <v>4410</v>
      </c>
      <c r="C32" s="918" t="s">
        <v>196</v>
      </c>
      <c r="D32" s="658">
        <v>1800</v>
      </c>
      <c r="E32" s="658">
        <v>46.1</v>
      </c>
      <c r="F32" s="919">
        <f t="shared" si="2"/>
        <v>2.5611111111111113</v>
      </c>
    </row>
    <row r="33" spans="1:6" ht="16.5" customHeight="1">
      <c r="A33" s="656" t="s">
        <v>1273</v>
      </c>
      <c r="B33" s="939">
        <v>4430</v>
      </c>
      <c r="C33" s="918" t="s">
        <v>197</v>
      </c>
      <c r="D33" s="658">
        <v>13440</v>
      </c>
      <c r="E33" s="658">
        <v>10207.82</v>
      </c>
      <c r="F33" s="919">
        <f t="shared" si="2"/>
        <v>75.95104166666667</v>
      </c>
    </row>
    <row r="34" spans="1:6" ht="16.5" customHeight="1">
      <c r="A34" s="656" t="s">
        <v>1276</v>
      </c>
      <c r="B34" s="939">
        <v>4440</v>
      </c>
      <c r="C34" s="918" t="s">
        <v>198</v>
      </c>
      <c r="D34" s="658">
        <v>318156</v>
      </c>
      <c r="E34" s="658">
        <v>154098</v>
      </c>
      <c r="F34" s="919">
        <f t="shared" si="2"/>
        <v>48.43473013238789</v>
      </c>
    </row>
    <row r="35" spans="1:6" ht="16.5" customHeight="1">
      <c r="A35" s="656" t="s">
        <v>1277</v>
      </c>
      <c r="B35" s="939">
        <v>4480</v>
      </c>
      <c r="C35" s="918" t="s">
        <v>1115</v>
      </c>
      <c r="D35" s="658">
        <v>100</v>
      </c>
      <c r="E35" s="658">
        <v>17</v>
      </c>
      <c r="F35" s="919">
        <f t="shared" si="2"/>
        <v>17</v>
      </c>
    </row>
    <row r="36" spans="1:6" ht="16.5" customHeight="1">
      <c r="A36" s="656" t="s">
        <v>1278</v>
      </c>
      <c r="B36" s="939">
        <v>4510</v>
      </c>
      <c r="C36" s="920" t="s">
        <v>967</v>
      </c>
      <c r="D36" s="658">
        <v>790</v>
      </c>
      <c r="E36" s="658">
        <v>707.5</v>
      </c>
      <c r="F36" s="919">
        <f t="shared" si="2"/>
        <v>89.55696202531645</v>
      </c>
    </row>
    <row r="37" spans="1:6" ht="30" customHeight="1">
      <c r="A37" s="656" t="s">
        <v>1279</v>
      </c>
      <c r="B37" s="939">
        <v>4700</v>
      </c>
      <c r="C37" s="920" t="s">
        <v>202</v>
      </c>
      <c r="D37" s="658">
        <v>6300</v>
      </c>
      <c r="E37" s="658">
        <v>3450.93</v>
      </c>
      <c r="F37" s="919">
        <f t="shared" si="2"/>
        <v>54.776666666666664</v>
      </c>
    </row>
    <row r="38" spans="1:6" ht="25.5" customHeight="1">
      <c r="A38" s="656" t="s">
        <v>1127</v>
      </c>
      <c r="B38" s="939">
        <v>4740</v>
      </c>
      <c r="C38" s="920" t="s">
        <v>203</v>
      </c>
      <c r="D38" s="658">
        <v>6000</v>
      </c>
      <c r="E38" s="658">
        <v>1766.03</v>
      </c>
      <c r="F38" s="919">
        <f t="shared" si="2"/>
        <v>29.433833333333332</v>
      </c>
    </row>
    <row r="39" spans="1:6" ht="16.5" customHeight="1">
      <c r="A39" s="656" t="s">
        <v>1128</v>
      </c>
      <c r="B39" s="939">
        <v>4750</v>
      </c>
      <c r="C39" s="918" t="s">
        <v>206</v>
      </c>
      <c r="D39" s="658">
        <v>11575</v>
      </c>
      <c r="E39" s="658">
        <v>3827.74</v>
      </c>
      <c r="F39" s="919">
        <f t="shared" si="2"/>
        <v>33.06902807775378</v>
      </c>
    </row>
    <row r="40" spans="1:6" ht="16.5" customHeight="1">
      <c r="A40" s="656" t="s">
        <v>1129</v>
      </c>
      <c r="B40" s="939">
        <v>6080</v>
      </c>
      <c r="C40" s="918" t="s">
        <v>208</v>
      </c>
      <c r="D40" s="658">
        <v>23553</v>
      </c>
      <c r="E40" s="658">
        <v>0</v>
      </c>
      <c r="F40" s="919">
        <f t="shared" si="2"/>
        <v>0</v>
      </c>
    </row>
    <row r="41" spans="1:6" ht="16.5" customHeight="1">
      <c r="A41" s="294"/>
      <c r="B41" s="509"/>
      <c r="C41" s="517" t="s">
        <v>209</v>
      </c>
      <c r="D41" s="449">
        <v>96397.76</v>
      </c>
      <c r="E41" s="449">
        <v>47031.54</v>
      </c>
      <c r="F41" s="511">
        <f>E41/D41*100</f>
        <v>48.78903825151124</v>
      </c>
    </row>
    <row r="42" spans="1:6" s="477" customFormat="1" ht="30" customHeight="1" thickBot="1">
      <c r="A42" s="950" t="s">
        <v>211</v>
      </c>
      <c r="B42" s="951"/>
      <c r="C42" s="952" t="s">
        <v>510</v>
      </c>
      <c r="D42" s="953">
        <f>D6+D7-D15</f>
        <v>60000</v>
      </c>
      <c r="E42" s="953">
        <f>E6+E7-E15</f>
        <v>80783.08999999939</v>
      </c>
      <c r="F42" s="954" t="s">
        <v>1175</v>
      </c>
    </row>
    <row r="43" spans="1:6" ht="18.75" customHeight="1" thickBot="1">
      <c r="A43" s="1530" t="s">
        <v>212</v>
      </c>
      <c r="B43" s="1531"/>
      <c r="C43" s="1531"/>
      <c r="D43" s="936">
        <f>D42+D15</f>
        <v>7457291.76</v>
      </c>
      <c r="E43" s="936">
        <f>E42+E15</f>
        <v>4027423.4000000004</v>
      </c>
      <c r="F43" s="937">
        <f>E43/D43*100</f>
        <v>54.00651509442888</v>
      </c>
    </row>
    <row r="44" spans="3:5" ht="12.75">
      <c r="C44" s="279" t="s">
        <v>1026</v>
      </c>
      <c r="D44" s="270">
        <f>D14-D43</f>
        <v>0</v>
      </c>
      <c r="E44" s="270">
        <f>E14-E43</f>
        <v>0</v>
      </c>
    </row>
  </sheetData>
  <sheetProtection password="CF93" sheet="1"/>
  <mergeCells count="5">
    <mergeCell ref="A14:C14"/>
    <mergeCell ref="A43:C43"/>
    <mergeCell ref="A2:F2"/>
    <mergeCell ref="E1:F1"/>
    <mergeCell ref="A3:C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2"/>
  </sheetPr>
  <dimension ref="A1:F52"/>
  <sheetViews>
    <sheetView view="pageBreakPreview" zoomScaleSheetLayoutView="100" zoomScalePageLayoutView="0" workbookViewId="0" topLeftCell="A33">
      <selection activeCell="H47" sqref="H47"/>
    </sheetView>
  </sheetViews>
  <sheetFormatPr defaultColWidth="9.00390625" defaultRowHeight="12.75"/>
  <cols>
    <col min="1" max="1" width="3.625" style="271" customWidth="1"/>
    <col min="2" max="2" width="4.375" style="271" customWidth="1"/>
    <col min="3" max="3" width="50.625" style="271" customWidth="1"/>
    <col min="4" max="4" width="11.25390625" style="271" customWidth="1"/>
    <col min="5" max="5" width="11.25390625" style="271" bestFit="1" customWidth="1"/>
    <col min="6" max="6" width="5.625" style="271" customWidth="1"/>
    <col min="7" max="16384" width="9.125" style="271" customWidth="1"/>
  </cols>
  <sheetData>
    <row r="1" spans="5:6" ht="12.75">
      <c r="E1" s="1396" t="s">
        <v>287</v>
      </c>
      <c r="F1" s="1396"/>
    </row>
    <row r="3" spans="1:6" ht="12" customHeight="1">
      <c r="A3" s="1351" t="s">
        <v>235</v>
      </c>
      <c r="B3" s="1351"/>
      <c r="C3" s="1351"/>
      <c r="D3" s="1351"/>
      <c r="E3" s="1351"/>
      <c r="F3" s="1351"/>
    </row>
    <row r="4" spans="1:6" ht="12" customHeight="1">
      <c r="A4" s="281"/>
      <c r="B4" s="281"/>
      <c r="C4" s="281"/>
      <c r="D4" s="281"/>
      <c r="E4" s="281"/>
      <c r="F4" s="281"/>
    </row>
    <row r="5" spans="1:6" ht="14.25" customHeight="1" thickBot="1">
      <c r="A5" s="1532" t="s">
        <v>370</v>
      </c>
      <c r="B5" s="1532"/>
      <c r="C5" s="1532"/>
      <c r="F5" s="279" t="s">
        <v>818</v>
      </c>
    </row>
    <row r="6" spans="1:6" s="281" customFormat="1" ht="22.5" customHeight="1">
      <c r="A6" s="480" t="s">
        <v>1167</v>
      </c>
      <c r="B6" s="481" t="s">
        <v>1095</v>
      </c>
      <c r="C6" s="481" t="s">
        <v>820</v>
      </c>
      <c r="D6" s="482" t="s">
        <v>821</v>
      </c>
      <c r="E6" s="482" t="s">
        <v>822</v>
      </c>
      <c r="F6" s="921" t="s">
        <v>153</v>
      </c>
    </row>
    <row r="7" spans="1:6" s="926" customFormat="1" ht="12" customHeight="1" thickBot="1">
      <c r="A7" s="922">
        <v>1</v>
      </c>
      <c r="B7" s="923">
        <v>2</v>
      </c>
      <c r="C7" s="923">
        <v>3</v>
      </c>
      <c r="D7" s="924">
        <v>4</v>
      </c>
      <c r="E7" s="924">
        <v>5</v>
      </c>
      <c r="F7" s="925">
        <v>6</v>
      </c>
    </row>
    <row r="8" spans="1:6" s="477" customFormat="1" ht="27" customHeight="1">
      <c r="A8" s="927" t="s">
        <v>154</v>
      </c>
      <c r="B8" s="928"/>
      <c r="C8" s="929" t="s">
        <v>509</v>
      </c>
      <c r="D8" s="930">
        <v>142131</v>
      </c>
      <c r="E8" s="930">
        <v>142130.79</v>
      </c>
      <c r="F8" s="955" t="s">
        <v>1175</v>
      </c>
    </row>
    <row r="9" spans="1:6" s="477" customFormat="1" ht="19.5" customHeight="1">
      <c r="A9" s="932" t="s">
        <v>155</v>
      </c>
      <c r="B9" s="933"/>
      <c r="C9" s="933" t="s">
        <v>1158</v>
      </c>
      <c r="D9" s="934">
        <f>SUM(D10,D11,D12,D13,D14,D15,D16)</f>
        <v>5222393</v>
      </c>
      <c r="E9" s="934">
        <f>SUM(E10,E11,E12,E13,E14,E15,E16)</f>
        <v>2886877.83</v>
      </c>
      <c r="F9" s="935">
        <f aca="true" t="shared" si="0" ref="F9:F21">E9/D9*100</f>
        <v>55.27883156246571</v>
      </c>
    </row>
    <row r="10" spans="1:6" ht="53.25" customHeight="1">
      <c r="A10" s="656" t="s">
        <v>1170</v>
      </c>
      <c r="B10" s="917" t="s">
        <v>50</v>
      </c>
      <c r="C10" s="920" t="s">
        <v>214</v>
      </c>
      <c r="D10" s="658">
        <v>1200000</v>
      </c>
      <c r="E10" s="658">
        <v>617703.65</v>
      </c>
      <c r="F10" s="919">
        <f t="shared" si="0"/>
        <v>51.47530416666667</v>
      </c>
    </row>
    <row r="11" spans="1:6" ht="18.75" customHeight="1">
      <c r="A11" s="656" t="s">
        <v>1171</v>
      </c>
      <c r="B11" s="917" t="s">
        <v>45</v>
      </c>
      <c r="C11" s="918" t="s">
        <v>156</v>
      </c>
      <c r="D11" s="658">
        <v>2200000</v>
      </c>
      <c r="E11" s="658">
        <v>691271.51</v>
      </c>
      <c r="F11" s="919">
        <f t="shared" si="0"/>
        <v>31.421432272727273</v>
      </c>
    </row>
    <row r="12" spans="1:6" ht="18.75" customHeight="1">
      <c r="A12" s="656" t="s">
        <v>1255</v>
      </c>
      <c r="B12" s="917" t="s">
        <v>46</v>
      </c>
      <c r="C12" s="918" t="s">
        <v>1103</v>
      </c>
      <c r="D12" s="658">
        <v>6000</v>
      </c>
      <c r="E12" s="658">
        <v>4597.82</v>
      </c>
      <c r="F12" s="919">
        <f t="shared" si="0"/>
        <v>76.63033333333334</v>
      </c>
    </row>
    <row r="13" spans="1:6" ht="18.75" customHeight="1">
      <c r="A13" s="656" t="s">
        <v>1262</v>
      </c>
      <c r="B13" s="917" t="s">
        <v>47</v>
      </c>
      <c r="C13" s="918" t="s">
        <v>1102</v>
      </c>
      <c r="D13" s="658">
        <v>10000</v>
      </c>
      <c r="E13" s="658">
        <v>862.8</v>
      </c>
      <c r="F13" s="919">
        <f t="shared" si="0"/>
        <v>8.628</v>
      </c>
    </row>
    <row r="14" spans="1:6" ht="31.5" customHeight="1">
      <c r="A14" s="656" t="s">
        <v>1263</v>
      </c>
      <c r="B14" s="917" t="s">
        <v>157</v>
      </c>
      <c r="C14" s="920" t="s">
        <v>158</v>
      </c>
      <c r="D14" s="658">
        <v>794393</v>
      </c>
      <c r="E14" s="658">
        <v>560747.67</v>
      </c>
      <c r="F14" s="919">
        <f t="shared" si="0"/>
        <v>70.5881937529661</v>
      </c>
    </row>
    <row r="15" spans="1:6" ht="18.75" customHeight="1" thickBot="1">
      <c r="A15" s="656"/>
      <c r="B15" s="917"/>
      <c r="C15" s="918" t="s">
        <v>159</v>
      </c>
      <c r="D15" s="658">
        <v>1012000</v>
      </c>
      <c r="E15" s="658">
        <v>1011694.38</v>
      </c>
      <c r="F15" s="919">
        <f t="shared" si="0"/>
        <v>99.96980039525691</v>
      </c>
    </row>
    <row r="16" spans="1:6" ht="17.25" customHeight="1" hidden="1" thickBot="1">
      <c r="A16" s="656"/>
      <c r="B16" s="917"/>
      <c r="C16" s="918"/>
      <c r="D16" s="658"/>
      <c r="E16" s="658"/>
      <c r="F16" s="919"/>
    </row>
    <row r="17" spans="1:6" s="477" customFormat="1" ht="18.75" customHeight="1" thickBot="1">
      <c r="A17" s="1530" t="s">
        <v>160</v>
      </c>
      <c r="B17" s="1531"/>
      <c r="C17" s="1531"/>
      <c r="D17" s="936">
        <f>D9+D8</f>
        <v>5364524</v>
      </c>
      <c r="E17" s="936">
        <f>E9+E8</f>
        <v>3029008.62</v>
      </c>
      <c r="F17" s="937">
        <f t="shared" si="0"/>
        <v>56.46369780431591</v>
      </c>
    </row>
    <row r="18" spans="1:6" s="477" customFormat="1" ht="18.75" customHeight="1">
      <c r="A18" s="927" t="s">
        <v>162</v>
      </c>
      <c r="B18" s="928"/>
      <c r="C18" s="928" t="s">
        <v>163</v>
      </c>
      <c r="D18" s="930">
        <f>SUM(D19,D20,D21,D22,D23,D24,D25,D26,D27,D28,D29,D30,D31,D32,D33,D34,D35,D36,D37,D38,D39,D40,D41,D42,D43,D44,D45,D46,D47,D48)</f>
        <v>5218793</v>
      </c>
      <c r="E18" s="930">
        <f>SUM(E19,E20,E21,E22,E23,E24,E25,E26,E27,E28,E29,E30,E31,E32,E33,E34,E35,E36,E37,E38,E39,E40,E41,E42,E43,E44,E45,E46,E47,E48)</f>
        <v>2971510.1400000006</v>
      </c>
      <c r="F18" s="956">
        <f t="shared" si="0"/>
        <v>56.938647307912014</v>
      </c>
    </row>
    <row r="19" spans="1:6" ht="18.75" customHeight="1">
      <c r="A19" s="656" t="s">
        <v>1170</v>
      </c>
      <c r="B19" s="939">
        <v>3020</v>
      </c>
      <c r="C19" s="918" t="s">
        <v>164</v>
      </c>
      <c r="D19" s="658">
        <v>10000</v>
      </c>
      <c r="E19" s="658">
        <v>6220.81</v>
      </c>
      <c r="F19" s="919">
        <f t="shared" si="0"/>
        <v>62.2081</v>
      </c>
    </row>
    <row r="20" spans="1:6" ht="18.75" customHeight="1">
      <c r="A20" s="656" t="s">
        <v>1171</v>
      </c>
      <c r="B20" s="939">
        <v>4010</v>
      </c>
      <c r="C20" s="918" t="s">
        <v>165</v>
      </c>
      <c r="D20" s="658">
        <v>1700000</v>
      </c>
      <c r="E20" s="658">
        <v>777649.2</v>
      </c>
      <c r="F20" s="919">
        <f t="shared" si="0"/>
        <v>45.74407058823529</v>
      </c>
    </row>
    <row r="21" spans="1:6" ht="18.75" customHeight="1">
      <c r="A21" s="656" t="s">
        <v>1255</v>
      </c>
      <c r="B21" s="939">
        <v>4040</v>
      </c>
      <c r="C21" s="918" t="s">
        <v>166</v>
      </c>
      <c r="D21" s="658">
        <v>150000</v>
      </c>
      <c r="E21" s="658">
        <v>0</v>
      </c>
      <c r="F21" s="919">
        <f t="shared" si="0"/>
        <v>0</v>
      </c>
    </row>
    <row r="22" spans="1:6" ht="18.75" customHeight="1">
      <c r="A22" s="656" t="s">
        <v>1262</v>
      </c>
      <c r="B22" s="939">
        <v>4110</v>
      </c>
      <c r="C22" s="918" t="s">
        <v>172</v>
      </c>
      <c r="D22" s="658">
        <v>260000</v>
      </c>
      <c r="E22" s="658">
        <v>134798.38</v>
      </c>
      <c r="F22" s="919">
        <f aca="true" t="shared" si="1" ref="F22:F37">E22/D22*100</f>
        <v>51.84553076923078</v>
      </c>
    </row>
    <row r="23" spans="1:6" ht="18.75" customHeight="1">
      <c r="A23" s="656" t="s">
        <v>1263</v>
      </c>
      <c r="B23" s="939">
        <v>4120</v>
      </c>
      <c r="C23" s="918" t="s">
        <v>173</v>
      </c>
      <c r="D23" s="658">
        <v>48000</v>
      </c>
      <c r="E23" s="658">
        <v>16528.01</v>
      </c>
      <c r="F23" s="919">
        <f t="shared" si="1"/>
        <v>34.43335416666666</v>
      </c>
    </row>
    <row r="24" spans="1:6" ht="30" customHeight="1">
      <c r="A24" s="656" t="s">
        <v>1264</v>
      </c>
      <c r="B24" s="939">
        <v>4140</v>
      </c>
      <c r="C24" s="920" t="s">
        <v>236</v>
      </c>
      <c r="D24" s="658">
        <v>9000</v>
      </c>
      <c r="E24" s="658">
        <v>6545</v>
      </c>
      <c r="F24" s="919">
        <f t="shared" si="1"/>
        <v>72.72222222222223</v>
      </c>
    </row>
    <row r="25" spans="1:6" ht="18.75" customHeight="1">
      <c r="A25" s="656" t="s">
        <v>1351</v>
      </c>
      <c r="B25" s="939">
        <v>4170</v>
      </c>
      <c r="C25" s="918" t="s">
        <v>174</v>
      </c>
      <c r="D25" s="658">
        <v>400000</v>
      </c>
      <c r="E25" s="658">
        <v>167432.79</v>
      </c>
      <c r="F25" s="919">
        <f t="shared" si="1"/>
        <v>41.8581975</v>
      </c>
    </row>
    <row r="26" spans="1:6" ht="18.75" customHeight="1">
      <c r="A26" s="656" t="s">
        <v>1352</v>
      </c>
      <c r="B26" s="939">
        <v>4210</v>
      </c>
      <c r="C26" s="918" t="s">
        <v>175</v>
      </c>
      <c r="D26" s="658">
        <v>405700</v>
      </c>
      <c r="E26" s="658">
        <v>174198.85</v>
      </c>
      <c r="F26" s="919">
        <f t="shared" si="1"/>
        <v>42.93784816366774</v>
      </c>
    </row>
    <row r="27" spans="1:6" ht="18.75" customHeight="1">
      <c r="A27" s="656" t="s">
        <v>1265</v>
      </c>
      <c r="B27" s="939">
        <v>4260</v>
      </c>
      <c r="C27" s="918" t="s">
        <v>176</v>
      </c>
      <c r="D27" s="658">
        <v>530000</v>
      </c>
      <c r="E27" s="658">
        <v>375110.8</v>
      </c>
      <c r="F27" s="919">
        <f t="shared" si="1"/>
        <v>70.77562264150943</v>
      </c>
    </row>
    <row r="28" spans="1:6" ht="18.75" customHeight="1">
      <c r="A28" s="656" t="s">
        <v>1267</v>
      </c>
      <c r="B28" s="939">
        <v>4270</v>
      </c>
      <c r="C28" s="918" t="s">
        <v>177</v>
      </c>
      <c r="D28" s="658">
        <v>30000</v>
      </c>
      <c r="E28" s="658">
        <v>15230.28</v>
      </c>
      <c r="F28" s="919">
        <f t="shared" si="1"/>
        <v>50.7676</v>
      </c>
    </row>
    <row r="29" spans="1:6" ht="18.75" customHeight="1">
      <c r="A29" s="656" t="s">
        <v>1353</v>
      </c>
      <c r="B29" s="939">
        <v>4280</v>
      </c>
      <c r="C29" s="918" t="s">
        <v>234</v>
      </c>
      <c r="D29" s="658">
        <v>2200</v>
      </c>
      <c r="E29" s="658">
        <v>1150.1</v>
      </c>
      <c r="F29" s="919">
        <f t="shared" si="1"/>
        <v>52.27727272727273</v>
      </c>
    </row>
    <row r="30" spans="1:6" ht="18.75" customHeight="1">
      <c r="A30" s="656" t="s">
        <v>1268</v>
      </c>
      <c r="B30" s="939">
        <v>4300</v>
      </c>
      <c r="C30" s="918" t="s">
        <v>191</v>
      </c>
      <c r="D30" s="658">
        <v>444393</v>
      </c>
      <c r="E30" s="658">
        <v>150005.58</v>
      </c>
      <c r="F30" s="919">
        <f t="shared" si="1"/>
        <v>33.7551626600779</v>
      </c>
    </row>
    <row r="31" spans="1:6" ht="18.75" customHeight="1">
      <c r="A31" s="656" t="s">
        <v>1269</v>
      </c>
      <c r="B31" s="939">
        <v>4350</v>
      </c>
      <c r="C31" s="918" t="s">
        <v>192</v>
      </c>
      <c r="D31" s="658">
        <v>2500</v>
      </c>
      <c r="E31" s="658">
        <v>972</v>
      </c>
      <c r="F31" s="919">
        <f t="shared" si="1"/>
        <v>38.879999999999995</v>
      </c>
    </row>
    <row r="32" spans="1:6" ht="27.75" customHeight="1">
      <c r="A32" s="656" t="s">
        <v>1354</v>
      </c>
      <c r="B32" s="939">
        <v>4360</v>
      </c>
      <c r="C32" s="920" t="s">
        <v>193</v>
      </c>
      <c r="D32" s="658">
        <v>12000</v>
      </c>
      <c r="E32" s="658">
        <v>7415.27</v>
      </c>
      <c r="F32" s="919">
        <f t="shared" si="1"/>
        <v>61.79391666666667</v>
      </c>
    </row>
    <row r="33" spans="1:6" ht="30.75" customHeight="1">
      <c r="A33" s="656" t="s">
        <v>1270</v>
      </c>
      <c r="B33" s="939">
        <v>4370</v>
      </c>
      <c r="C33" s="920" t="s">
        <v>194</v>
      </c>
      <c r="D33" s="658">
        <v>17000</v>
      </c>
      <c r="E33" s="658">
        <v>7164.54</v>
      </c>
      <c r="F33" s="919">
        <f t="shared" si="1"/>
        <v>42.14435294117647</v>
      </c>
    </row>
    <row r="34" spans="1:6" ht="18.75" customHeight="1">
      <c r="A34" s="656" t="s">
        <v>1271</v>
      </c>
      <c r="B34" s="939">
        <v>4390</v>
      </c>
      <c r="C34" s="918" t="s">
        <v>237</v>
      </c>
      <c r="D34" s="658">
        <v>11000</v>
      </c>
      <c r="E34" s="658">
        <v>1657.85</v>
      </c>
      <c r="F34" s="919">
        <f t="shared" si="1"/>
        <v>15.071363636363635</v>
      </c>
    </row>
    <row r="35" spans="1:6" ht="27.75" customHeight="1">
      <c r="A35" s="656" t="s">
        <v>1272</v>
      </c>
      <c r="B35" s="939">
        <v>4400</v>
      </c>
      <c r="C35" s="920" t="s">
        <v>195</v>
      </c>
      <c r="D35" s="658">
        <v>6000</v>
      </c>
      <c r="E35" s="658">
        <v>545.9</v>
      </c>
      <c r="F35" s="919">
        <f t="shared" si="1"/>
        <v>9.098333333333333</v>
      </c>
    </row>
    <row r="36" spans="1:6" ht="18.75" customHeight="1">
      <c r="A36" s="656" t="s">
        <v>1273</v>
      </c>
      <c r="B36" s="939">
        <v>4410</v>
      </c>
      <c r="C36" s="918" t="s">
        <v>196</v>
      </c>
      <c r="D36" s="658">
        <v>15000</v>
      </c>
      <c r="E36" s="658">
        <v>6474.64</v>
      </c>
      <c r="F36" s="919">
        <f t="shared" si="1"/>
        <v>43.16426666666667</v>
      </c>
    </row>
    <row r="37" spans="1:6" ht="18.75" customHeight="1">
      <c r="A37" s="656" t="s">
        <v>1276</v>
      </c>
      <c r="B37" s="939">
        <v>4420</v>
      </c>
      <c r="C37" s="918" t="s">
        <v>238</v>
      </c>
      <c r="D37" s="658">
        <v>5000</v>
      </c>
      <c r="E37" s="658">
        <v>100.3</v>
      </c>
      <c r="F37" s="919">
        <f t="shared" si="1"/>
        <v>2.006</v>
      </c>
    </row>
    <row r="38" spans="1:6" ht="18.75" customHeight="1">
      <c r="A38" s="656" t="s">
        <v>1277</v>
      </c>
      <c r="B38" s="939">
        <v>4430</v>
      </c>
      <c r="C38" s="918" t="s">
        <v>197</v>
      </c>
      <c r="D38" s="658">
        <v>35000</v>
      </c>
      <c r="E38" s="658">
        <v>28714.63</v>
      </c>
      <c r="F38" s="919">
        <f aca="true" t="shared" si="2" ref="F38:F47">E38/D38*100</f>
        <v>82.0418</v>
      </c>
    </row>
    <row r="39" spans="1:6" ht="18.75" customHeight="1">
      <c r="A39" s="656" t="s">
        <v>1278</v>
      </c>
      <c r="B39" s="939">
        <v>4440</v>
      </c>
      <c r="C39" s="918" t="s">
        <v>198</v>
      </c>
      <c r="D39" s="658">
        <v>53000</v>
      </c>
      <c r="E39" s="658">
        <v>32443</v>
      </c>
      <c r="F39" s="919">
        <f t="shared" si="2"/>
        <v>61.213207547169816</v>
      </c>
    </row>
    <row r="40" spans="1:6" ht="18.75" customHeight="1">
      <c r="A40" s="656" t="s">
        <v>1279</v>
      </c>
      <c r="B40" s="939">
        <v>4480</v>
      </c>
      <c r="C40" s="918" t="s">
        <v>1115</v>
      </c>
      <c r="D40" s="658">
        <v>35000</v>
      </c>
      <c r="E40" s="658">
        <v>14055</v>
      </c>
      <c r="F40" s="919">
        <f t="shared" si="2"/>
        <v>40.15714285714286</v>
      </c>
    </row>
    <row r="41" spans="1:6" ht="30.75" customHeight="1">
      <c r="A41" s="656" t="s">
        <v>1127</v>
      </c>
      <c r="B41" s="939">
        <v>4500</v>
      </c>
      <c r="C41" s="920" t="s">
        <v>297</v>
      </c>
      <c r="D41" s="658">
        <v>4000</v>
      </c>
      <c r="E41" s="658">
        <v>108</v>
      </c>
      <c r="F41" s="919">
        <f t="shared" si="2"/>
        <v>2.7</v>
      </c>
    </row>
    <row r="42" spans="1:6" ht="18.75" customHeight="1">
      <c r="A42" s="656" t="s">
        <v>1128</v>
      </c>
      <c r="B42" s="939">
        <v>4520</v>
      </c>
      <c r="C42" s="920" t="s">
        <v>239</v>
      </c>
      <c r="D42" s="658">
        <v>3000</v>
      </c>
      <c r="E42" s="658">
        <v>2587.84</v>
      </c>
      <c r="F42" s="919">
        <f t="shared" si="2"/>
        <v>86.26133333333334</v>
      </c>
    </row>
    <row r="43" spans="1:6" ht="18.75" customHeight="1">
      <c r="A43" s="656" t="s">
        <v>1129</v>
      </c>
      <c r="B43" s="939">
        <v>4610</v>
      </c>
      <c r="C43" s="920" t="s">
        <v>201</v>
      </c>
      <c r="D43" s="658">
        <v>2000</v>
      </c>
      <c r="E43" s="658">
        <v>1481.71</v>
      </c>
      <c r="F43" s="919">
        <f t="shared" si="2"/>
        <v>74.08550000000001</v>
      </c>
    </row>
    <row r="44" spans="1:6" ht="27" customHeight="1">
      <c r="A44" s="656" t="s">
        <v>1130</v>
      </c>
      <c r="B44" s="939">
        <v>4700</v>
      </c>
      <c r="C44" s="920" t="s">
        <v>202</v>
      </c>
      <c r="D44" s="658">
        <v>4000</v>
      </c>
      <c r="E44" s="658">
        <v>3010</v>
      </c>
      <c r="F44" s="919">
        <f t="shared" si="2"/>
        <v>75.25</v>
      </c>
    </row>
    <row r="45" spans="1:6" ht="30" customHeight="1">
      <c r="A45" s="656" t="s">
        <v>475</v>
      </c>
      <c r="B45" s="939">
        <v>4740</v>
      </c>
      <c r="C45" s="920" t="s">
        <v>203</v>
      </c>
      <c r="D45" s="658">
        <v>3000</v>
      </c>
      <c r="E45" s="658">
        <v>951.55</v>
      </c>
      <c r="F45" s="919">
        <f t="shared" si="2"/>
        <v>31.71833333333333</v>
      </c>
    </row>
    <row r="46" spans="1:6" ht="18.75" customHeight="1">
      <c r="A46" s="656" t="s">
        <v>476</v>
      </c>
      <c r="B46" s="939">
        <v>4750</v>
      </c>
      <c r="C46" s="920" t="s">
        <v>206</v>
      </c>
      <c r="D46" s="658">
        <v>10000</v>
      </c>
      <c r="E46" s="658">
        <v>8877.32</v>
      </c>
      <c r="F46" s="919">
        <f t="shared" si="2"/>
        <v>88.7732</v>
      </c>
    </row>
    <row r="47" spans="1:6" ht="18.75" customHeight="1">
      <c r="A47" s="957"/>
      <c r="B47" s="958"/>
      <c r="C47" s="959" t="s">
        <v>209</v>
      </c>
      <c r="D47" s="663">
        <v>1012000</v>
      </c>
      <c r="E47" s="663">
        <v>1011694.38</v>
      </c>
      <c r="F47" s="919">
        <f t="shared" si="2"/>
        <v>99.96980039525691</v>
      </c>
    </row>
    <row r="48" spans="1:6" ht="18.75" customHeight="1">
      <c r="A48" s="294"/>
      <c r="B48" s="517"/>
      <c r="C48" s="517" t="s">
        <v>210</v>
      </c>
      <c r="D48" s="449">
        <v>0</v>
      </c>
      <c r="E48" s="449">
        <v>18386.41</v>
      </c>
      <c r="F48" s="965" t="s">
        <v>1142</v>
      </c>
    </row>
    <row r="49" spans="1:6" s="477" customFormat="1" ht="22.5" customHeight="1" hidden="1">
      <c r="A49" s="960" t="s">
        <v>211</v>
      </c>
      <c r="B49" s="933"/>
      <c r="C49" s="933" t="s">
        <v>240</v>
      </c>
      <c r="D49" s="934">
        <v>0</v>
      </c>
      <c r="E49" s="934">
        <v>0</v>
      </c>
      <c r="F49" s="935">
        <v>0</v>
      </c>
    </row>
    <row r="50" spans="1:6" s="477" customFormat="1" ht="30.75" customHeight="1" thickBot="1">
      <c r="A50" s="950" t="s">
        <v>211</v>
      </c>
      <c r="B50" s="951"/>
      <c r="C50" s="952" t="s">
        <v>510</v>
      </c>
      <c r="D50" s="953">
        <f>D8+D9-D18</f>
        <v>145731</v>
      </c>
      <c r="E50" s="953">
        <f>E8+E9-E18</f>
        <v>57498.479999999516</v>
      </c>
      <c r="F50" s="954" t="s">
        <v>1175</v>
      </c>
    </row>
    <row r="51" spans="1:6" ht="18.75" customHeight="1" thickBot="1">
      <c r="A51" s="1530" t="s">
        <v>246</v>
      </c>
      <c r="B51" s="1531"/>
      <c r="C51" s="1531"/>
      <c r="D51" s="936">
        <f>D49+D50+D18</f>
        <v>5364524</v>
      </c>
      <c r="E51" s="936">
        <f>E49+E50+E18</f>
        <v>3029008.62</v>
      </c>
      <c r="F51" s="937">
        <f>E51/D51*100</f>
        <v>56.46369780431591</v>
      </c>
    </row>
    <row r="52" spans="3:5" ht="12.75">
      <c r="C52" s="279" t="s">
        <v>1026</v>
      </c>
      <c r="D52" s="270">
        <f>D17-D51</f>
        <v>0</v>
      </c>
      <c r="E52" s="270">
        <f>E17-E51</f>
        <v>0</v>
      </c>
    </row>
  </sheetData>
  <sheetProtection password="CF93" sheet="1"/>
  <mergeCells count="5">
    <mergeCell ref="A17:C17"/>
    <mergeCell ref="A51:C51"/>
    <mergeCell ref="A3:F3"/>
    <mergeCell ref="E1:F1"/>
    <mergeCell ref="A5:C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2"/>
  </sheetPr>
  <dimension ref="A1:F33"/>
  <sheetViews>
    <sheetView view="pageBreakPreview" zoomScaleSheetLayoutView="100" zoomScalePageLayoutView="0" workbookViewId="0" topLeftCell="A13">
      <selection activeCell="C27" sqref="C27"/>
    </sheetView>
  </sheetViews>
  <sheetFormatPr defaultColWidth="9.00390625" defaultRowHeight="12.75"/>
  <cols>
    <col min="1" max="1" width="3.625" style="6" customWidth="1"/>
    <col min="2" max="2" width="4.375" style="6" customWidth="1"/>
    <col min="3" max="3" width="52.125" style="6" customWidth="1"/>
    <col min="4" max="5" width="10.75390625" style="6" customWidth="1"/>
    <col min="6" max="6" width="5.125" style="6" customWidth="1"/>
    <col min="7" max="16384" width="9.125" style="6" customWidth="1"/>
  </cols>
  <sheetData>
    <row r="1" spans="5:6" s="271" customFormat="1" ht="12.75">
      <c r="E1" s="1396" t="s">
        <v>286</v>
      </c>
      <c r="F1" s="1396"/>
    </row>
    <row r="2" s="271" customFormat="1" ht="28.5" customHeight="1"/>
    <row r="3" spans="1:6" s="271" customFormat="1" ht="12.75">
      <c r="A3" s="1535" t="s">
        <v>247</v>
      </c>
      <c r="B3" s="1535"/>
      <c r="C3" s="1535"/>
      <c r="D3" s="1535"/>
      <c r="E3" s="1535"/>
      <c r="F3" s="1535"/>
    </row>
    <row r="4" spans="1:6" s="271" customFormat="1" ht="20.25" customHeight="1">
      <c r="A4" s="961"/>
      <c r="B4" s="961"/>
      <c r="C4" s="961"/>
      <c r="D4" s="961"/>
      <c r="E4" s="961"/>
      <c r="F4" s="961"/>
    </row>
    <row r="5" spans="1:6" s="271" customFormat="1" ht="15" customHeight="1" thickBot="1">
      <c r="A5" s="1532" t="s">
        <v>371</v>
      </c>
      <c r="B5" s="1532"/>
      <c r="C5" s="1532"/>
      <c r="F5" s="279" t="s">
        <v>818</v>
      </c>
    </row>
    <row r="6" spans="1:6" s="962" customFormat="1" ht="22.5" customHeight="1">
      <c r="A6" s="480" t="s">
        <v>1167</v>
      </c>
      <c r="B6" s="481" t="s">
        <v>1095</v>
      </c>
      <c r="C6" s="481" t="s">
        <v>820</v>
      </c>
      <c r="D6" s="482" t="s">
        <v>821</v>
      </c>
      <c r="E6" s="482" t="s">
        <v>822</v>
      </c>
      <c r="F6" s="921" t="s">
        <v>153</v>
      </c>
    </row>
    <row r="7" spans="1:6" s="963" customFormat="1" ht="9.75" customHeight="1" thickBot="1">
      <c r="A7" s="922">
        <v>1</v>
      </c>
      <c r="B7" s="923">
        <v>2</v>
      </c>
      <c r="C7" s="923">
        <v>3</v>
      </c>
      <c r="D7" s="924">
        <v>4</v>
      </c>
      <c r="E7" s="924">
        <v>5</v>
      </c>
      <c r="F7" s="925">
        <v>6</v>
      </c>
    </row>
    <row r="8" spans="1:6" s="477" customFormat="1" ht="29.25" customHeight="1">
      <c r="A8" s="927" t="s">
        <v>154</v>
      </c>
      <c r="B8" s="928"/>
      <c r="C8" s="929" t="s">
        <v>509</v>
      </c>
      <c r="D8" s="930">
        <v>202217</v>
      </c>
      <c r="E8" s="930">
        <v>202216.47</v>
      </c>
      <c r="F8" s="931" t="s">
        <v>1175</v>
      </c>
    </row>
    <row r="9" spans="1:6" s="477" customFormat="1" ht="18" customHeight="1">
      <c r="A9" s="932" t="s">
        <v>155</v>
      </c>
      <c r="B9" s="933"/>
      <c r="C9" s="933" t="s">
        <v>1158</v>
      </c>
      <c r="D9" s="934">
        <f>SUM(D10,D11,D12,D13)</f>
        <v>320000</v>
      </c>
      <c r="E9" s="934">
        <f>SUM(E10,E11,E12,E13)</f>
        <v>159899.87</v>
      </c>
      <c r="F9" s="935">
        <f aca="true" t="shared" si="0" ref="F9:F16">E9/D9*100</f>
        <v>49.968709374999996</v>
      </c>
    </row>
    <row r="10" spans="1:6" s="271" customFormat="1" ht="18" customHeight="1">
      <c r="A10" s="656" t="s">
        <v>1170</v>
      </c>
      <c r="B10" s="917" t="s">
        <v>45</v>
      </c>
      <c r="C10" s="918" t="s">
        <v>156</v>
      </c>
      <c r="D10" s="658">
        <v>270000</v>
      </c>
      <c r="E10" s="658">
        <v>101967.46</v>
      </c>
      <c r="F10" s="919">
        <f t="shared" si="0"/>
        <v>37.76572592592593</v>
      </c>
    </row>
    <row r="11" spans="1:6" s="271" customFormat="1" ht="18" customHeight="1">
      <c r="A11" s="656" t="s">
        <v>1171</v>
      </c>
      <c r="B11" s="917" t="s">
        <v>46</v>
      </c>
      <c r="C11" s="918" t="s">
        <v>1103</v>
      </c>
      <c r="D11" s="658">
        <v>10000</v>
      </c>
      <c r="E11" s="658">
        <v>2827.41</v>
      </c>
      <c r="F11" s="919">
        <f t="shared" si="0"/>
        <v>28.274099999999997</v>
      </c>
    </row>
    <row r="12" spans="1:6" s="271" customFormat="1" ht="18" customHeight="1">
      <c r="A12" s="656" t="s">
        <v>1255</v>
      </c>
      <c r="B12" s="917" t="s">
        <v>248</v>
      </c>
      <c r="C12" s="918" t="s">
        <v>249</v>
      </c>
      <c r="D12" s="658">
        <v>40000</v>
      </c>
      <c r="E12" s="658">
        <v>40000</v>
      </c>
      <c r="F12" s="919">
        <f t="shared" si="0"/>
        <v>100</v>
      </c>
    </row>
    <row r="13" spans="1:6" s="271" customFormat="1" ht="18" customHeight="1">
      <c r="A13" s="656"/>
      <c r="B13" s="917"/>
      <c r="C13" s="918" t="s">
        <v>678</v>
      </c>
      <c r="D13" s="658">
        <v>0</v>
      </c>
      <c r="E13" s="658">
        <v>15105</v>
      </c>
      <c r="F13" s="964" t="s">
        <v>1142</v>
      </c>
    </row>
    <row r="14" spans="1:6" s="271" customFormat="1" ht="7.5" customHeight="1" thickBot="1">
      <c r="A14" s="656"/>
      <c r="B14" s="917"/>
      <c r="C14" s="920"/>
      <c r="D14" s="658"/>
      <c r="E14" s="658"/>
      <c r="F14" s="919"/>
    </row>
    <row r="15" spans="1:6" s="477" customFormat="1" ht="18" customHeight="1" thickBot="1">
      <c r="A15" s="1530" t="s">
        <v>160</v>
      </c>
      <c r="B15" s="1531"/>
      <c r="C15" s="1531"/>
      <c r="D15" s="936">
        <f>D9+D8</f>
        <v>522217</v>
      </c>
      <c r="E15" s="936">
        <f>E9+E8</f>
        <v>362116.33999999997</v>
      </c>
      <c r="F15" s="937">
        <f t="shared" si="0"/>
        <v>69.34212022971293</v>
      </c>
    </row>
    <row r="16" spans="1:6" s="477" customFormat="1" ht="18" customHeight="1">
      <c r="A16" s="932" t="s">
        <v>162</v>
      </c>
      <c r="B16" s="933"/>
      <c r="C16" s="933" t="s">
        <v>163</v>
      </c>
      <c r="D16" s="934">
        <f>SUM(D17:D30)</f>
        <v>522217</v>
      </c>
      <c r="E16" s="934">
        <f>SUM(E17:E30)</f>
        <v>72131.19</v>
      </c>
      <c r="F16" s="935">
        <f t="shared" si="0"/>
        <v>13.812493656851462</v>
      </c>
    </row>
    <row r="17" spans="1:6" s="271" customFormat="1" ht="18" customHeight="1">
      <c r="A17" s="656" t="s">
        <v>1170</v>
      </c>
      <c r="B17" s="939">
        <v>2960</v>
      </c>
      <c r="C17" s="920" t="s">
        <v>249</v>
      </c>
      <c r="D17" s="658">
        <v>56000</v>
      </c>
      <c r="E17" s="658">
        <v>20958.96</v>
      </c>
      <c r="F17" s="919">
        <f aca="true" t="shared" si="1" ref="F17:F29">E17/D17*100</f>
        <v>37.42671428571428</v>
      </c>
    </row>
    <row r="18" spans="1:6" s="271" customFormat="1" ht="18" customHeight="1">
      <c r="A18" s="656" t="s">
        <v>1171</v>
      </c>
      <c r="B18" s="939">
        <v>4110</v>
      </c>
      <c r="C18" s="918" t="s">
        <v>172</v>
      </c>
      <c r="D18" s="658">
        <v>1700</v>
      </c>
      <c r="E18" s="658">
        <v>159.49</v>
      </c>
      <c r="F18" s="919">
        <f t="shared" si="1"/>
        <v>9.381764705882354</v>
      </c>
    </row>
    <row r="19" spans="1:6" s="271" customFormat="1" ht="18" customHeight="1">
      <c r="A19" s="656" t="s">
        <v>1255</v>
      </c>
      <c r="B19" s="939">
        <v>4120</v>
      </c>
      <c r="C19" s="920" t="s">
        <v>173</v>
      </c>
      <c r="D19" s="658">
        <v>250</v>
      </c>
      <c r="E19" s="658">
        <v>25.72</v>
      </c>
      <c r="F19" s="919">
        <f t="shared" si="1"/>
        <v>10.288</v>
      </c>
    </row>
    <row r="20" spans="1:6" s="271" customFormat="1" ht="18" customHeight="1">
      <c r="A20" s="656" t="s">
        <v>1262</v>
      </c>
      <c r="B20" s="939">
        <v>4170</v>
      </c>
      <c r="C20" s="920" t="s">
        <v>174</v>
      </c>
      <c r="D20" s="658">
        <v>21824</v>
      </c>
      <c r="E20" s="658">
        <v>7500</v>
      </c>
      <c r="F20" s="919">
        <f t="shared" si="1"/>
        <v>34.365835777126094</v>
      </c>
    </row>
    <row r="21" spans="1:6" s="271" customFormat="1" ht="18" customHeight="1">
      <c r="A21" s="656" t="s">
        <v>1263</v>
      </c>
      <c r="B21" s="939">
        <v>4210</v>
      </c>
      <c r="C21" s="918" t="s">
        <v>175</v>
      </c>
      <c r="D21" s="658">
        <v>20000</v>
      </c>
      <c r="E21" s="658">
        <v>3243.14</v>
      </c>
      <c r="F21" s="919">
        <f t="shared" si="1"/>
        <v>16.2157</v>
      </c>
    </row>
    <row r="22" spans="1:6" s="271" customFormat="1" ht="18" customHeight="1">
      <c r="A22" s="656" t="s">
        <v>1264</v>
      </c>
      <c r="B22" s="939">
        <v>4240</v>
      </c>
      <c r="C22" s="918" t="s">
        <v>233</v>
      </c>
      <c r="D22" s="658">
        <v>1000</v>
      </c>
      <c r="E22" s="658">
        <v>0</v>
      </c>
      <c r="F22" s="919">
        <f t="shared" si="1"/>
        <v>0</v>
      </c>
    </row>
    <row r="23" spans="1:6" s="271" customFormat="1" ht="18" customHeight="1">
      <c r="A23" s="656" t="s">
        <v>1351</v>
      </c>
      <c r="B23" s="939">
        <v>4270</v>
      </c>
      <c r="C23" s="918" t="s">
        <v>177</v>
      </c>
      <c r="D23" s="658">
        <v>4000</v>
      </c>
      <c r="E23" s="658">
        <v>0</v>
      </c>
      <c r="F23" s="919">
        <f t="shared" si="1"/>
        <v>0</v>
      </c>
    </row>
    <row r="24" spans="1:6" s="271" customFormat="1" ht="18" customHeight="1">
      <c r="A24" s="656" t="s">
        <v>1352</v>
      </c>
      <c r="B24" s="939">
        <v>4300</v>
      </c>
      <c r="C24" s="918" t="s">
        <v>191</v>
      </c>
      <c r="D24" s="658">
        <v>327443</v>
      </c>
      <c r="E24" s="658">
        <v>28066.36</v>
      </c>
      <c r="F24" s="919">
        <f t="shared" si="1"/>
        <v>8.57137272746707</v>
      </c>
    </row>
    <row r="25" spans="1:6" s="271" customFormat="1" ht="18" customHeight="1">
      <c r="A25" s="656" t="s">
        <v>1265</v>
      </c>
      <c r="B25" s="939">
        <v>4430</v>
      </c>
      <c r="C25" s="918" t="s">
        <v>197</v>
      </c>
      <c r="D25" s="658">
        <v>1000</v>
      </c>
      <c r="E25" s="658">
        <v>0</v>
      </c>
      <c r="F25" s="919">
        <f t="shared" si="1"/>
        <v>0</v>
      </c>
    </row>
    <row r="26" spans="1:6" s="271" customFormat="1" ht="30" customHeight="1">
      <c r="A26" s="656" t="s">
        <v>1267</v>
      </c>
      <c r="B26" s="939">
        <v>4700</v>
      </c>
      <c r="C26" s="920" t="s">
        <v>202</v>
      </c>
      <c r="D26" s="658">
        <v>5000</v>
      </c>
      <c r="E26" s="658">
        <v>1200</v>
      </c>
      <c r="F26" s="919">
        <f t="shared" si="1"/>
        <v>24</v>
      </c>
    </row>
    <row r="27" spans="1:6" s="271" customFormat="1" ht="27" customHeight="1">
      <c r="A27" s="656" t="s">
        <v>1353</v>
      </c>
      <c r="B27" s="939">
        <v>4740</v>
      </c>
      <c r="C27" s="920" t="s">
        <v>203</v>
      </c>
      <c r="D27" s="658">
        <v>12000</v>
      </c>
      <c r="E27" s="658">
        <v>506.3</v>
      </c>
      <c r="F27" s="919">
        <f t="shared" si="1"/>
        <v>4.219166666666667</v>
      </c>
    </row>
    <row r="28" spans="1:6" s="271" customFormat="1" ht="18" customHeight="1">
      <c r="A28" s="656" t="s">
        <v>1268</v>
      </c>
      <c r="B28" s="939">
        <v>4750</v>
      </c>
      <c r="C28" s="920" t="s">
        <v>206</v>
      </c>
      <c r="D28" s="658">
        <v>60000</v>
      </c>
      <c r="E28" s="658">
        <v>4266.22</v>
      </c>
      <c r="F28" s="919">
        <f t="shared" si="1"/>
        <v>7.110366666666668</v>
      </c>
    </row>
    <row r="29" spans="1:6" s="271" customFormat="1" ht="18" customHeight="1">
      <c r="A29" s="656" t="s">
        <v>1269</v>
      </c>
      <c r="B29" s="939">
        <v>6120</v>
      </c>
      <c r="C29" s="920" t="s">
        <v>250</v>
      </c>
      <c r="D29" s="658">
        <v>12000</v>
      </c>
      <c r="E29" s="658">
        <v>0</v>
      </c>
      <c r="F29" s="919">
        <f t="shared" si="1"/>
        <v>0</v>
      </c>
    </row>
    <row r="30" spans="1:6" s="271" customFormat="1" ht="18" customHeight="1">
      <c r="A30" s="294"/>
      <c r="B30" s="509"/>
      <c r="C30" s="510" t="s">
        <v>210</v>
      </c>
      <c r="D30" s="449">
        <v>0</v>
      </c>
      <c r="E30" s="449">
        <v>6205</v>
      </c>
      <c r="F30" s="965" t="s">
        <v>1142</v>
      </c>
    </row>
    <row r="31" spans="1:6" s="477" customFormat="1" ht="33" customHeight="1">
      <c r="A31" s="950" t="s">
        <v>211</v>
      </c>
      <c r="B31" s="951"/>
      <c r="C31" s="952" t="s">
        <v>510</v>
      </c>
      <c r="D31" s="953">
        <f>SUM(D8+D9-D16)</f>
        <v>0</v>
      </c>
      <c r="E31" s="953">
        <f>SUM(E8+E9-E16)</f>
        <v>289985.14999999997</v>
      </c>
      <c r="F31" s="954" t="s">
        <v>1175</v>
      </c>
    </row>
    <row r="32" spans="1:6" s="271" customFormat="1" ht="18" customHeight="1" thickBot="1">
      <c r="A32" s="1533" t="s">
        <v>212</v>
      </c>
      <c r="B32" s="1534"/>
      <c r="C32" s="1534"/>
      <c r="D32" s="966">
        <f>D31+D16</f>
        <v>522217</v>
      </c>
      <c r="E32" s="966">
        <f>E31+E16</f>
        <v>362116.33999999997</v>
      </c>
      <c r="F32" s="967">
        <f>E32/D32*100</f>
        <v>69.34212022971293</v>
      </c>
    </row>
    <row r="33" spans="3:5" s="271" customFormat="1" ht="12.75">
      <c r="C33" s="271" t="s">
        <v>1026</v>
      </c>
      <c r="D33" s="270">
        <f>D15-D32</f>
        <v>0</v>
      </c>
      <c r="E33" s="270">
        <f>E15-E32</f>
        <v>0</v>
      </c>
    </row>
    <row r="34" s="271" customFormat="1" ht="12.75"/>
  </sheetData>
  <sheetProtection password="CF93" sheet="1"/>
  <mergeCells count="5">
    <mergeCell ref="A15:C15"/>
    <mergeCell ref="A32:C32"/>
    <mergeCell ref="A3:F3"/>
    <mergeCell ref="E1:F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2"/>
  </sheetPr>
  <dimension ref="A1:E38"/>
  <sheetViews>
    <sheetView view="pageBreakPreview" zoomScaleSheetLayoutView="100" zoomScalePageLayoutView="0" workbookViewId="0" topLeftCell="A14">
      <selection activeCell="H13" sqref="H13"/>
    </sheetView>
  </sheetViews>
  <sheetFormatPr defaultColWidth="9.00390625" defaultRowHeight="15.75" customHeight="1"/>
  <cols>
    <col min="1" max="1" width="4.875" style="278" customWidth="1"/>
    <col min="2" max="2" width="52.75390625" style="271" customWidth="1"/>
    <col min="3" max="4" width="11.75390625" style="271" customWidth="1"/>
    <col min="5" max="5" width="5.375" style="271" customWidth="1"/>
    <col min="6" max="16384" width="9.125" style="271" customWidth="1"/>
  </cols>
  <sheetData>
    <row r="1" spans="4:5" ht="15.75" customHeight="1">
      <c r="D1" s="1396" t="s">
        <v>285</v>
      </c>
      <c r="E1" s="1396"/>
    </row>
    <row r="3" spans="1:5" ht="15.75" customHeight="1">
      <c r="A3" s="1351" t="s">
        <v>1025</v>
      </c>
      <c r="B3" s="1351"/>
      <c r="C3" s="1351"/>
      <c r="D3" s="1351"/>
      <c r="E3" s="1351"/>
    </row>
    <row r="4" ht="17.25" customHeight="1"/>
    <row r="5" spans="1:5" ht="12.75" customHeight="1" thickBot="1">
      <c r="A5" s="1532" t="s">
        <v>372</v>
      </c>
      <c r="B5" s="1532"/>
      <c r="E5" s="279" t="s">
        <v>818</v>
      </c>
    </row>
    <row r="6" spans="1:5" s="281" customFormat="1" ht="15.75" customHeight="1">
      <c r="A6" s="283" t="s">
        <v>1167</v>
      </c>
      <c r="B6" s="284" t="s">
        <v>820</v>
      </c>
      <c r="C6" s="284" t="s">
        <v>821</v>
      </c>
      <c r="D6" s="284" t="s">
        <v>822</v>
      </c>
      <c r="E6" s="968" t="s">
        <v>823</v>
      </c>
    </row>
    <row r="7" spans="1:5" s="477" customFormat="1" ht="10.5" customHeight="1" thickBot="1">
      <c r="A7" s="969">
        <v>1</v>
      </c>
      <c r="B7" s="970">
        <v>2</v>
      </c>
      <c r="C7" s="970">
        <v>3</v>
      </c>
      <c r="D7" s="970">
        <v>4</v>
      </c>
      <c r="E7" s="971">
        <v>5</v>
      </c>
    </row>
    <row r="8" spans="1:5" s="477" customFormat="1" ht="19.5" customHeight="1" thickBot="1">
      <c r="A8" s="972" t="s">
        <v>154</v>
      </c>
      <c r="B8" s="973" t="s">
        <v>1181</v>
      </c>
      <c r="C8" s="974">
        <v>126553.9</v>
      </c>
      <c r="D8" s="974">
        <v>126553.9</v>
      </c>
      <c r="E8" s="975" t="s">
        <v>1175</v>
      </c>
    </row>
    <row r="9" spans="1:5" ht="19.5" customHeight="1">
      <c r="A9" s="291" t="s">
        <v>155</v>
      </c>
      <c r="B9" s="976" t="s">
        <v>1158</v>
      </c>
      <c r="C9" s="977">
        <f>SUM(C10,C13)</f>
        <v>2147500</v>
      </c>
      <c r="D9" s="977">
        <f>SUM(D10,D13)</f>
        <v>1717824.88</v>
      </c>
      <c r="E9" s="956">
        <f>D9/C9*100</f>
        <v>79.9918454016298</v>
      </c>
    </row>
    <row r="10" spans="1:5" ht="19.5" customHeight="1">
      <c r="A10" s="957" t="s">
        <v>1170</v>
      </c>
      <c r="B10" s="943" t="s">
        <v>1176</v>
      </c>
      <c r="C10" s="978">
        <f>SUM(C11,C12)</f>
        <v>1720000</v>
      </c>
      <c r="D10" s="978">
        <f>SUM(D11,D12)</f>
        <v>1475000</v>
      </c>
      <c r="E10" s="919">
        <f>D10/C10*100</f>
        <v>85.75581395348837</v>
      </c>
    </row>
    <row r="11" spans="1:5" s="277" customFormat="1" ht="19.5" customHeight="1">
      <c r="A11" s="979" t="s">
        <v>984</v>
      </c>
      <c r="B11" s="980" t="s">
        <v>253</v>
      </c>
      <c r="C11" s="981">
        <v>1660000</v>
      </c>
      <c r="D11" s="981">
        <v>1415000</v>
      </c>
      <c r="E11" s="982">
        <f>D11/C11*100</f>
        <v>85.2409638554217</v>
      </c>
    </row>
    <row r="12" spans="1:5" s="277" customFormat="1" ht="19.5" customHeight="1">
      <c r="A12" s="979" t="s">
        <v>985</v>
      </c>
      <c r="B12" s="980" t="s">
        <v>254</v>
      </c>
      <c r="C12" s="981">
        <v>60000</v>
      </c>
      <c r="D12" s="981">
        <v>60000</v>
      </c>
      <c r="E12" s="982">
        <f>D12/C12*100</f>
        <v>100</v>
      </c>
    </row>
    <row r="13" spans="1:5" ht="19.5" customHeight="1">
      <c r="A13" s="957" t="s">
        <v>1171</v>
      </c>
      <c r="B13" s="943" t="s">
        <v>664</v>
      </c>
      <c r="C13" s="978">
        <v>427500</v>
      </c>
      <c r="D13" s="978">
        <v>242824.88</v>
      </c>
      <c r="E13" s="919">
        <f>D13/C13*100</f>
        <v>56.80114152046784</v>
      </c>
    </row>
    <row r="14" spans="1:5" s="277" customFormat="1" ht="19.5" customHeight="1" thickBot="1">
      <c r="A14" s="983" t="s">
        <v>988</v>
      </c>
      <c r="B14" s="984" t="s">
        <v>1296</v>
      </c>
      <c r="C14" s="985">
        <v>105000</v>
      </c>
      <c r="D14" s="985">
        <v>0</v>
      </c>
      <c r="E14" s="302" t="s">
        <v>1142</v>
      </c>
    </row>
    <row r="15" spans="1:5" s="477" customFormat="1" ht="19.5" customHeight="1" thickBot="1">
      <c r="A15" s="1512" t="s">
        <v>160</v>
      </c>
      <c r="B15" s="1513"/>
      <c r="C15" s="986">
        <f>SUM(C8,C9)</f>
        <v>2274053.9</v>
      </c>
      <c r="D15" s="987">
        <f>SUM(D8,D9)</f>
        <v>1844378.7799999998</v>
      </c>
      <c r="E15" s="532">
        <f aca="true" t="shared" si="0" ref="E15:E28">D15/C15*100</f>
        <v>81.10532384478661</v>
      </c>
    </row>
    <row r="16" spans="1:5" s="477" customFormat="1" ht="19.5" customHeight="1">
      <c r="A16" s="291" t="s">
        <v>162</v>
      </c>
      <c r="B16" s="976" t="s">
        <v>505</v>
      </c>
      <c r="C16" s="977">
        <f>SUM(C17,C18,C19,C20,C21,C22,C23,C24,C25,C26,C27,C28)</f>
        <v>2225000</v>
      </c>
      <c r="D16" s="977">
        <f>SUM(D17,D18,D19,D20,D21,D22,D23,D24,D25,D26,D27,D28)</f>
        <v>1310539.4200000002</v>
      </c>
      <c r="E16" s="956">
        <f t="shared" si="0"/>
        <v>58.90064808988765</v>
      </c>
    </row>
    <row r="17" spans="1:5" ht="19.5" customHeight="1">
      <c r="A17" s="957" t="s">
        <v>1170</v>
      </c>
      <c r="B17" s="959" t="s">
        <v>165</v>
      </c>
      <c r="C17" s="978">
        <v>966635</v>
      </c>
      <c r="D17" s="978">
        <v>463249.63</v>
      </c>
      <c r="E17" s="919">
        <f t="shared" si="0"/>
        <v>47.92394543959199</v>
      </c>
    </row>
    <row r="18" spans="1:5" ht="19.5" customHeight="1">
      <c r="A18" s="957" t="s">
        <v>1171</v>
      </c>
      <c r="B18" s="959" t="s">
        <v>612</v>
      </c>
      <c r="C18" s="978">
        <v>157972</v>
      </c>
      <c r="D18" s="978">
        <v>63537.51</v>
      </c>
      <c r="E18" s="919">
        <f t="shared" si="0"/>
        <v>40.220741650419065</v>
      </c>
    </row>
    <row r="19" spans="1:5" ht="19.5" customHeight="1">
      <c r="A19" s="957" t="s">
        <v>1255</v>
      </c>
      <c r="B19" s="959" t="s">
        <v>198</v>
      </c>
      <c r="C19" s="978">
        <v>30175</v>
      </c>
      <c r="D19" s="978">
        <v>25145.02</v>
      </c>
      <c r="E19" s="919">
        <f t="shared" si="0"/>
        <v>83.33063794531897</v>
      </c>
    </row>
    <row r="20" spans="1:5" ht="19.5" customHeight="1">
      <c r="A20" s="957" t="s">
        <v>1262</v>
      </c>
      <c r="B20" s="959" t="s">
        <v>175</v>
      </c>
      <c r="C20" s="978">
        <v>60493</v>
      </c>
      <c r="D20" s="978">
        <v>39549.12</v>
      </c>
      <c r="E20" s="919">
        <f t="shared" si="0"/>
        <v>65.37801067892153</v>
      </c>
    </row>
    <row r="21" spans="1:5" ht="19.5" customHeight="1">
      <c r="A21" s="957" t="s">
        <v>1263</v>
      </c>
      <c r="B21" s="959" t="s">
        <v>176</v>
      </c>
      <c r="C21" s="978">
        <v>300000</v>
      </c>
      <c r="D21" s="978">
        <v>213243.81</v>
      </c>
      <c r="E21" s="919">
        <f t="shared" si="0"/>
        <v>71.08126999999999</v>
      </c>
    </row>
    <row r="22" spans="1:5" ht="19.5" customHeight="1">
      <c r="A22" s="957" t="s">
        <v>1264</v>
      </c>
      <c r="B22" s="959" t="s">
        <v>1178</v>
      </c>
      <c r="C22" s="978">
        <v>12000</v>
      </c>
      <c r="D22" s="978">
        <v>8817.57</v>
      </c>
      <c r="E22" s="919">
        <f t="shared" si="0"/>
        <v>73.47975</v>
      </c>
    </row>
    <row r="23" spans="1:5" ht="19.5" customHeight="1">
      <c r="A23" s="957" t="s">
        <v>1351</v>
      </c>
      <c r="B23" s="959" t="s">
        <v>665</v>
      </c>
      <c r="C23" s="978">
        <v>77900</v>
      </c>
      <c r="D23" s="978">
        <v>52075.93</v>
      </c>
      <c r="E23" s="919">
        <f t="shared" si="0"/>
        <v>66.84971758664955</v>
      </c>
    </row>
    <row r="24" spans="1:5" ht="19.5" customHeight="1">
      <c r="A24" s="957" t="s">
        <v>1352</v>
      </c>
      <c r="B24" s="959" t="s">
        <v>196</v>
      </c>
      <c r="C24" s="978">
        <v>1825</v>
      </c>
      <c r="D24" s="978">
        <v>1286.35</v>
      </c>
      <c r="E24" s="919">
        <f t="shared" si="0"/>
        <v>70.4849315068493</v>
      </c>
    </row>
    <row r="25" spans="1:5" ht="19.5" customHeight="1">
      <c r="A25" s="957" t="s">
        <v>1265</v>
      </c>
      <c r="B25" s="959" t="s">
        <v>197</v>
      </c>
      <c r="C25" s="978">
        <v>56000</v>
      </c>
      <c r="D25" s="978">
        <v>29413.4</v>
      </c>
      <c r="E25" s="919">
        <f t="shared" si="0"/>
        <v>52.52392857142857</v>
      </c>
    </row>
    <row r="26" spans="1:5" ht="19.5" customHeight="1">
      <c r="A26" s="957" t="s">
        <v>1267</v>
      </c>
      <c r="B26" s="959" t="s">
        <v>1179</v>
      </c>
      <c r="C26" s="978">
        <v>61000</v>
      </c>
      <c r="D26" s="978">
        <v>61000</v>
      </c>
      <c r="E26" s="919">
        <f t="shared" si="0"/>
        <v>100</v>
      </c>
    </row>
    <row r="27" spans="1:5" ht="19.5" customHeight="1">
      <c r="A27" s="957" t="s">
        <v>1353</v>
      </c>
      <c r="B27" s="959" t="s">
        <v>1294</v>
      </c>
      <c r="C27" s="978">
        <v>375000</v>
      </c>
      <c r="D27" s="978">
        <v>303136.21</v>
      </c>
      <c r="E27" s="919">
        <f t="shared" si="0"/>
        <v>80.83632266666667</v>
      </c>
    </row>
    <row r="28" spans="1:5" ht="19.5" customHeight="1" thickBot="1">
      <c r="A28" s="957" t="s">
        <v>1268</v>
      </c>
      <c r="B28" s="959" t="s">
        <v>1295</v>
      </c>
      <c r="C28" s="978">
        <v>126000</v>
      </c>
      <c r="D28" s="978">
        <v>50084.87</v>
      </c>
      <c r="E28" s="919">
        <f t="shared" si="0"/>
        <v>39.74989682539683</v>
      </c>
    </row>
    <row r="29" spans="1:5" s="477" customFormat="1" ht="19.5" customHeight="1" thickBot="1">
      <c r="A29" s="988" t="s">
        <v>211</v>
      </c>
      <c r="B29" s="989" t="s">
        <v>1180</v>
      </c>
      <c r="C29" s="990">
        <f>C8+C9-C16</f>
        <v>49053.89999999991</v>
      </c>
      <c r="D29" s="990">
        <f>D8+D9-D16</f>
        <v>533839.3599999996</v>
      </c>
      <c r="E29" s="975" t="s">
        <v>1175</v>
      </c>
    </row>
    <row r="30" spans="1:5" s="477" customFormat="1" ht="20.25" customHeight="1" thickBot="1">
      <c r="A30" s="1530" t="s">
        <v>212</v>
      </c>
      <c r="B30" s="1536"/>
      <c r="C30" s="991">
        <f>SUM(C16,C29)</f>
        <v>2274053.9</v>
      </c>
      <c r="D30" s="991">
        <f>SUM(D16,D29)</f>
        <v>1844378.7799999998</v>
      </c>
      <c r="E30" s="992">
        <f>D30/C30*100</f>
        <v>81.10532384478661</v>
      </c>
    </row>
    <row r="31" spans="2:4" ht="15.75" customHeight="1">
      <c r="B31" s="279" t="s">
        <v>1026</v>
      </c>
      <c r="C31" s="993">
        <f>C15-C30</f>
        <v>0</v>
      </c>
      <c r="D31" s="993">
        <f>D15-D30</f>
        <v>0</v>
      </c>
    </row>
    <row r="32" spans="3:4" ht="15.75" customHeight="1">
      <c r="C32" s="279"/>
      <c r="D32" s="279"/>
    </row>
    <row r="33" spans="3:4" ht="15.75" customHeight="1">
      <c r="C33" s="279"/>
      <c r="D33" s="279"/>
    </row>
    <row r="34" spans="3:4" ht="15.75" customHeight="1">
      <c r="C34" s="279"/>
      <c r="D34" s="279"/>
    </row>
    <row r="35" spans="3:4" ht="15.75" customHeight="1">
      <c r="C35" s="279"/>
      <c r="D35" s="279"/>
    </row>
    <row r="36" spans="3:4" ht="15.75" customHeight="1">
      <c r="C36" s="279"/>
      <c r="D36" s="279"/>
    </row>
    <row r="37" spans="3:4" ht="15.75" customHeight="1">
      <c r="C37" s="279"/>
      <c r="D37" s="279"/>
    </row>
    <row r="38" spans="3:4" ht="15.75" customHeight="1">
      <c r="C38" s="279"/>
      <c r="D38" s="279"/>
    </row>
  </sheetData>
  <sheetProtection password="CF93" sheet="1"/>
  <mergeCells count="5">
    <mergeCell ref="A3:E3"/>
    <mergeCell ref="A15:B15"/>
    <mergeCell ref="A30:B30"/>
    <mergeCell ref="D1:E1"/>
    <mergeCell ref="A5:B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2"/>
  </sheetPr>
  <dimension ref="A1:E34"/>
  <sheetViews>
    <sheetView view="pageBreakPreview" zoomScaleSheetLayoutView="100" zoomScalePageLayoutView="0" workbookViewId="0" topLeftCell="A2">
      <selection activeCell="D26" sqref="D26"/>
    </sheetView>
  </sheetViews>
  <sheetFormatPr defaultColWidth="9.00390625" defaultRowHeight="12.75"/>
  <cols>
    <col min="1" max="1" width="4.875" style="278" customWidth="1"/>
    <col min="2" max="2" width="51.625" style="271" customWidth="1"/>
    <col min="3" max="3" width="12.625" style="994" customWidth="1"/>
    <col min="4" max="4" width="11.625" style="994" customWidth="1"/>
    <col min="5" max="5" width="6.375" style="995" customWidth="1"/>
    <col min="6" max="16384" width="9.125" style="271" customWidth="1"/>
  </cols>
  <sheetData>
    <row r="1" spans="4:5" ht="12.75">
      <c r="D1" s="1396" t="s">
        <v>284</v>
      </c>
      <c r="E1" s="1396"/>
    </row>
    <row r="3" spans="1:5" ht="12.75">
      <c r="A3" s="1351" t="s">
        <v>1248</v>
      </c>
      <c r="B3" s="1351"/>
      <c r="C3" s="1351"/>
      <c r="D3" s="1351"/>
      <c r="E3" s="1351"/>
    </row>
    <row r="5" spans="1:5" ht="13.5" thickBot="1">
      <c r="A5" s="1532" t="s">
        <v>117</v>
      </c>
      <c r="B5" s="1532"/>
      <c r="E5" s="995" t="s">
        <v>818</v>
      </c>
    </row>
    <row r="6" spans="1:5" s="999" customFormat="1" ht="18" customHeight="1">
      <c r="A6" s="996" t="s">
        <v>1167</v>
      </c>
      <c r="B6" s="997" t="s">
        <v>820</v>
      </c>
      <c r="C6" s="998" t="s">
        <v>821</v>
      </c>
      <c r="D6" s="998" t="s">
        <v>822</v>
      </c>
      <c r="E6" s="968" t="s">
        <v>823</v>
      </c>
    </row>
    <row r="7" spans="1:5" s="999" customFormat="1" ht="10.5" customHeight="1" thickBot="1">
      <c r="A7" s="1000">
        <v>1</v>
      </c>
      <c r="B7" s="1001">
        <v>2</v>
      </c>
      <c r="C7" s="1002">
        <v>3</v>
      </c>
      <c r="D7" s="1002">
        <v>4</v>
      </c>
      <c r="E7" s="1003">
        <v>5</v>
      </c>
    </row>
    <row r="8" spans="1:5" s="999" customFormat="1" ht="18" customHeight="1">
      <c r="A8" s="291" t="s">
        <v>154</v>
      </c>
      <c r="B8" s="1004" t="s">
        <v>1181</v>
      </c>
      <c r="C8" s="977">
        <v>0</v>
      </c>
      <c r="D8" s="977">
        <v>30012</v>
      </c>
      <c r="E8" s="931" t="s">
        <v>1175</v>
      </c>
    </row>
    <row r="9" spans="1:5" s="522" customFormat="1" ht="18" customHeight="1">
      <c r="A9" s="945" t="s">
        <v>155</v>
      </c>
      <c r="B9" s="1005" t="s">
        <v>1158</v>
      </c>
      <c r="C9" s="1006">
        <f>SUM(C10,C13)</f>
        <v>1196000</v>
      </c>
      <c r="D9" s="1006">
        <f>SUM(D10,D13)</f>
        <v>612755.75</v>
      </c>
      <c r="E9" s="1007">
        <f aca="true" t="shared" si="0" ref="E9:E31">D9/C9*100</f>
        <v>51.23375836120402</v>
      </c>
    </row>
    <row r="10" spans="1:5" s="629" customFormat="1" ht="18" customHeight="1">
      <c r="A10" s="957" t="s">
        <v>1170</v>
      </c>
      <c r="B10" s="943" t="s">
        <v>508</v>
      </c>
      <c r="C10" s="978">
        <f>SUM(C11,C12)</f>
        <v>40000</v>
      </c>
      <c r="D10" s="978">
        <f>SUM(D11,D12)</f>
        <v>18255.75</v>
      </c>
      <c r="E10" s="964">
        <f t="shared" si="0"/>
        <v>45.639375</v>
      </c>
    </row>
    <row r="11" spans="1:5" s="1009" customFormat="1" ht="18" customHeight="1">
      <c r="A11" s="979" t="s">
        <v>984</v>
      </c>
      <c r="B11" s="1008" t="s">
        <v>1216</v>
      </c>
      <c r="C11" s="981">
        <v>20000</v>
      </c>
      <c r="D11" s="981">
        <v>11046</v>
      </c>
      <c r="E11" s="964">
        <f t="shared" si="0"/>
        <v>55.230000000000004</v>
      </c>
    </row>
    <row r="12" spans="1:5" s="1009" customFormat="1" ht="18" customHeight="1">
      <c r="A12" s="979" t="s">
        <v>985</v>
      </c>
      <c r="B12" s="1008" t="s">
        <v>1266</v>
      </c>
      <c r="C12" s="981">
        <v>20000</v>
      </c>
      <c r="D12" s="981">
        <v>7209.75</v>
      </c>
      <c r="E12" s="964">
        <f t="shared" si="0"/>
        <v>36.04875</v>
      </c>
    </row>
    <row r="13" spans="1:5" s="629" customFormat="1" ht="18" customHeight="1">
      <c r="A13" s="957" t="s">
        <v>1171</v>
      </c>
      <c r="B13" s="959" t="s">
        <v>1176</v>
      </c>
      <c r="C13" s="978">
        <f>SUM(C14,C15)</f>
        <v>1156000</v>
      </c>
      <c r="D13" s="978">
        <f>SUM(D14,D15)</f>
        <v>594500</v>
      </c>
      <c r="E13" s="964">
        <f t="shared" si="0"/>
        <v>51.4273356401384</v>
      </c>
    </row>
    <row r="14" spans="1:5" s="1009" customFormat="1" ht="18" customHeight="1" thickBot="1">
      <c r="A14" s="979" t="s">
        <v>987</v>
      </c>
      <c r="B14" s="1008" t="s">
        <v>1219</v>
      </c>
      <c r="C14" s="981">
        <v>1156000</v>
      </c>
      <c r="D14" s="981">
        <v>594500</v>
      </c>
      <c r="E14" s="964">
        <f t="shared" si="0"/>
        <v>51.4273356401384</v>
      </c>
    </row>
    <row r="15" spans="1:5" s="1009" customFormat="1" ht="18" customHeight="1" hidden="1" thickBot="1">
      <c r="A15" s="983" t="s">
        <v>988</v>
      </c>
      <c r="B15" s="984" t="s">
        <v>1220</v>
      </c>
      <c r="C15" s="985">
        <v>0</v>
      </c>
      <c r="D15" s="985">
        <v>0</v>
      </c>
      <c r="E15" s="1010" t="e">
        <f t="shared" si="0"/>
        <v>#DIV/0!</v>
      </c>
    </row>
    <row r="16" spans="1:5" s="522" customFormat="1" ht="18" customHeight="1" thickBot="1">
      <c r="A16" s="1527" t="s">
        <v>160</v>
      </c>
      <c r="B16" s="1528"/>
      <c r="C16" s="991">
        <f>SUM(C8,C9)</f>
        <v>1196000</v>
      </c>
      <c r="D16" s="991">
        <f>SUM(D8,D9)</f>
        <v>642767.75</v>
      </c>
      <c r="E16" s="1011">
        <f t="shared" si="0"/>
        <v>53.74312290969899</v>
      </c>
    </row>
    <row r="17" spans="1:5" s="522" customFormat="1" ht="18" customHeight="1">
      <c r="A17" s="291" t="s">
        <v>162</v>
      </c>
      <c r="B17" s="976" t="s">
        <v>505</v>
      </c>
      <c r="C17" s="977">
        <f>SUM(C18,C19,C20,C21,C22,C25,C26,C27,C28,C29,C30,C31)</f>
        <v>1196000</v>
      </c>
      <c r="D17" s="977">
        <f>SUM(D18,D19,D20,D21,D22,D25,D26,D27,D28,D29,D30,D31)</f>
        <v>615426.5599999999</v>
      </c>
      <c r="E17" s="293">
        <f t="shared" si="0"/>
        <v>51.45707023411371</v>
      </c>
    </row>
    <row r="18" spans="1:5" s="629" customFormat="1" ht="18" customHeight="1">
      <c r="A18" s="957" t="s">
        <v>1170</v>
      </c>
      <c r="B18" s="943" t="s">
        <v>1004</v>
      </c>
      <c r="C18" s="978">
        <v>82000</v>
      </c>
      <c r="D18" s="978">
        <v>53400.63</v>
      </c>
      <c r="E18" s="964">
        <f t="shared" si="0"/>
        <v>65.12271951219512</v>
      </c>
    </row>
    <row r="19" spans="1:5" ht="18" customHeight="1">
      <c r="A19" s="957" t="s">
        <v>1171</v>
      </c>
      <c r="B19" s="959" t="s">
        <v>609</v>
      </c>
      <c r="C19" s="978">
        <v>59800</v>
      </c>
      <c r="D19" s="978">
        <v>30852</v>
      </c>
      <c r="E19" s="964">
        <f t="shared" si="0"/>
        <v>51.59197324414716</v>
      </c>
    </row>
    <row r="20" spans="1:5" ht="18" customHeight="1">
      <c r="A20" s="957" t="s">
        <v>1255</v>
      </c>
      <c r="B20" s="959" t="s">
        <v>610</v>
      </c>
      <c r="C20" s="978">
        <v>97000</v>
      </c>
      <c r="D20" s="978">
        <v>48558.78</v>
      </c>
      <c r="E20" s="964">
        <f t="shared" si="0"/>
        <v>50.060597938144326</v>
      </c>
    </row>
    <row r="21" spans="1:5" ht="18" customHeight="1">
      <c r="A21" s="957" t="s">
        <v>1262</v>
      </c>
      <c r="B21" s="959" t="s">
        <v>1005</v>
      </c>
      <c r="C21" s="978">
        <v>21300</v>
      </c>
      <c r="D21" s="978">
        <v>11802.1</v>
      </c>
      <c r="E21" s="964">
        <f t="shared" si="0"/>
        <v>55.408920187793434</v>
      </c>
    </row>
    <row r="22" spans="1:5" ht="18" customHeight="1">
      <c r="A22" s="957" t="s">
        <v>1263</v>
      </c>
      <c r="B22" s="959" t="s">
        <v>1006</v>
      </c>
      <c r="C22" s="978">
        <f>SUM(C23:C24)</f>
        <v>708600</v>
      </c>
      <c r="D22" s="978">
        <f>SUM(D23:D24)</f>
        <v>343144.31</v>
      </c>
      <c r="E22" s="964">
        <f t="shared" si="0"/>
        <v>48.42567174710697</v>
      </c>
    </row>
    <row r="23" spans="1:5" s="277" customFormat="1" ht="18" customHeight="1">
      <c r="A23" s="979" t="s">
        <v>574</v>
      </c>
      <c r="B23" s="1008" t="s">
        <v>1217</v>
      </c>
      <c r="C23" s="981">
        <v>690000</v>
      </c>
      <c r="D23" s="981">
        <v>329344.31</v>
      </c>
      <c r="E23" s="1010">
        <f t="shared" si="0"/>
        <v>47.73105942028985</v>
      </c>
    </row>
    <row r="24" spans="1:5" s="277" customFormat="1" ht="18" customHeight="1">
      <c r="A24" s="979" t="s">
        <v>576</v>
      </c>
      <c r="B24" s="1008" t="s">
        <v>1218</v>
      </c>
      <c r="C24" s="981">
        <v>18600</v>
      </c>
      <c r="D24" s="981">
        <v>13800</v>
      </c>
      <c r="E24" s="1010">
        <f t="shared" si="0"/>
        <v>74.19354838709677</v>
      </c>
    </row>
    <row r="25" spans="1:5" ht="18" customHeight="1">
      <c r="A25" s="957" t="s">
        <v>1264</v>
      </c>
      <c r="B25" s="959" t="s">
        <v>612</v>
      </c>
      <c r="C25" s="978">
        <v>127700</v>
      </c>
      <c r="D25" s="978">
        <v>57982.04</v>
      </c>
      <c r="E25" s="964">
        <f t="shared" si="0"/>
        <v>45.40488645262334</v>
      </c>
    </row>
    <row r="26" spans="1:5" ht="18" customHeight="1">
      <c r="A26" s="957" t="s">
        <v>1351</v>
      </c>
      <c r="B26" s="959" t="s">
        <v>1007</v>
      </c>
      <c r="C26" s="978">
        <v>2000</v>
      </c>
      <c r="D26" s="978">
        <v>160.7</v>
      </c>
      <c r="E26" s="964">
        <f t="shared" si="0"/>
        <v>8.034999999999998</v>
      </c>
    </row>
    <row r="27" spans="1:5" ht="18" customHeight="1">
      <c r="A27" s="957" t="s">
        <v>1352</v>
      </c>
      <c r="B27" s="959" t="s">
        <v>1008</v>
      </c>
      <c r="C27" s="978">
        <v>55500</v>
      </c>
      <c r="D27" s="978">
        <v>40069</v>
      </c>
      <c r="E27" s="964">
        <f t="shared" si="0"/>
        <v>72.1963963963964</v>
      </c>
    </row>
    <row r="28" spans="1:5" ht="18" customHeight="1">
      <c r="A28" s="957" t="s">
        <v>1265</v>
      </c>
      <c r="B28" s="959" t="s">
        <v>197</v>
      </c>
      <c r="C28" s="978">
        <v>9000</v>
      </c>
      <c r="D28" s="978">
        <v>3294</v>
      </c>
      <c r="E28" s="964">
        <f t="shared" si="0"/>
        <v>36.6</v>
      </c>
    </row>
    <row r="29" spans="1:5" ht="18.75" customHeight="1">
      <c r="A29" s="957" t="s">
        <v>1267</v>
      </c>
      <c r="B29" s="959" t="s">
        <v>198</v>
      </c>
      <c r="C29" s="978">
        <v>21000</v>
      </c>
      <c r="D29" s="978">
        <v>16000</v>
      </c>
      <c r="E29" s="964">
        <f t="shared" si="0"/>
        <v>76.19047619047619</v>
      </c>
    </row>
    <row r="30" spans="1:5" ht="14.25" customHeight="1" hidden="1">
      <c r="A30" s="957" t="s">
        <v>1353</v>
      </c>
      <c r="B30" s="943" t="s">
        <v>391</v>
      </c>
      <c r="C30" s="1012"/>
      <c r="D30" s="978"/>
      <c r="E30" s="964" t="e">
        <f t="shared" si="0"/>
        <v>#DIV/0!</v>
      </c>
    </row>
    <row r="31" spans="1:5" ht="20.25" customHeight="1" thickBot="1">
      <c r="A31" s="1013" t="s">
        <v>1353</v>
      </c>
      <c r="B31" s="1014" t="s">
        <v>391</v>
      </c>
      <c r="C31" s="1015">
        <v>12100</v>
      </c>
      <c r="D31" s="1015">
        <v>10163</v>
      </c>
      <c r="E31" s="1022">
        <f t="shared" si="0"/>
        <v>83.99173553719008</v>
      </c>
    </row>
    <row r="32" spans="1:5" s="522" customFormat="1" ht="18" customHeight="1" thickBot="1">
      <c r="A32" s="950" t="s">
        <v>211</v>
      </c>
      <c r="B32" s="1016" t="s">
        <v>1180</v>
      </c>
      <c r="C32" s="1017">
        <f>C8+C9-C17</f>
        <v>0</v>
      </c>
      <c r="D32" s="1017">
        <f>D8+D9-D17</f>
        <v>27341.19000000006</v>
      </c>
      <c r="E32" s="954" t="s">
        <v>1175</v>
      </c>
    </row>
    <row r="33" spans="1:5" s="477" customFormat="1" ht="18" customHeight="1" thickBot="1">
      <c r="A33" s="1527" t="s">
        <v>212</v>
      </c>
      <c r="B33" s="1528"/>
      <c r="C33" s="991">
        <f>C17+C32</f>
        <v>1196000</v>
      </c>
      <c r="D33" s="991">
        <f>D17+D32</f>
        <v>642767.75</v>
      </c>
      <c r="E33" s="1011">
        <f>D33/C33*100</f>
        <v>53.74312290969899</v>
      </c>
    </row>
    <row r="34" spans="2:4" ht="12.75">
      <c r="B34" s="279" t="s">
        <v>1026</v>
      </c>
      <c r="C34" s="994">
        <f>C16-C33</f>
        <v>0</v>
      </c>
      <c r="D34" s="994">
        <f>D16-D33</f>
        <v>0</v>
      </c>
    </row>
  </sheetData>
  <sheetProtection password="CF93" sheet="1"/>
  <mergeCells count="5">
    <mergeCell ref="A3:E3"/>
    <mergeCell ref="A16:B16"/>
    <mergeCell ref="A33:B33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2"/>
  </sheetPr>
  <dimension ref="A1:E40"/>
  <sheetViews>
    <sheetView view="pageBreakPreview" zoomScaleSheetLayoutView="100" zoomScalePageLayoutView="0" workbookViewId="0" topLeftCell="A12">
      <selection activeCell="I24" sqref="I24"/>
    </sheetView>
  </sheetViews>
  <sheetFormatPr defaultColWidth="9.00390625" defaultRowHeight="15.75" customHeight="1"/>
  <cols>
    <col min="1" max="1" width="4.875" style="278" customWidth="1"/>
    <col min="2" max="2" width="54.25390625" style="271" customWidth="1"/>
    <col min="3" max="3" width="11.75390625" style="271" customWidth="1"/>
    <col min="4" max="4" width="10.875" style="271" customWidth="1"/>
    <col min="5" max="5" width="5.375" style="271" customWidth="1"/>
    <col min="6" max="16384" width="9.125" style="271" customWidth="1"/>
  </cols>
  <sheetData>
    <row r="1" spans="4:5" ht="15.75" customHeight="1">
      <c r="D1" s="1396" t="s">
        <v>283</v>
      </c>
      <c r="E1" s="1396"/>
    </row>
    <row r="3" spans="1:5" ht="15.75" customHeight="1">
      <c r="A3" s="1351" t="s">
        <v>506</v>
      </c>
      <c r="B3" s="1351"/>
      <c r="C3" s="1351"/>
      <c r="D3" s="1351"/>
      <c r="E3" s="1351"/>
    </row>
    <row r="4" ht="11.25" customHeight="1"/>
    <row r="5" spans="1:5" ht="15.75" customHeight="1" thickBot="1">
      <c r="A5" s="1532" t="s">
        <v>291</v>
      </c>
      <c r="B5" s="1532"/>
      <c r="E5" s="279" t="s">
        <v>818</v>
      </c>
    </row>
    <row r="6" spans="1:5" s="281" customFormat="1" ht="18" customHeight="1">
      <c r="A6" s="283" t="s">
        <v>1167</v>
      </c>
      <c r="B6" s="284" t="s">
        <v>820</v>
      </c>
      <c r="C6" s="284" t="s">
        <v>821</v>
      </c>
      <c r="D6" s="284" t="s">
        <v>822</v>
      </c>
      <c r="E6" s="968" t="s">
        <v>823</v>
      </c>
    </row>
    <row r="7" spans="1:5" s="477" customFormat="1" ht="10.5" customHeight="1" thickBot="1">
      <c r="A7" s="969">
        <v>1</v>
      </c>
      <c r="B7" s="970">
        <v>2</v>
      </c>
      <c r="C7" s="970">
        <v>3</v>
      </c>
      <c r="D7" s="970">
        <v>4</v>
      </c>
      <c r="E7" s="971">
        <v>5</v>
      </c>
    </row>
    <row r="8" spans="1:5" s="477" customFormat="1" ht="19.5" customHeight="1" thickBot="1">
      <c r="A8" s="1018" t="s">
        <v>154</v>
      </c>
      <c r="B8" s="1004" t="s">
        <v>1181</v>
      </c>
      <c r="C8" s="1019">
        <v>220784.38</v>
      </c>
      <c r="D8" s="1019">
        <v>220784.38</v>
      </c>
      <c r="E8" s="1020" t="s">
        <v>1175</v>
      </c>
    </row>
    <row r="9" spans="1:5" ht="19.5" customHeight="1">
      <c r="A9" s="291" t="s">
        <v>155</v>
      </c>
      <c r="B9" s="976" t="s">
        <v>1158</v>
      </c>
      <c r="C9" s="977">
        <f>SUM(C10:C14)</f>
        <v>485000</v>
      </c>
      <c r="D9" s="977">
        <f>SUM(D10:D14)</f>
        <v>243457.88</v>
      </c>
      <c r="E9" s="956">
        <f aca="true" t="shared" si="0" ref="E9:E29">D9/C9*100</f>
        <v>50.19750103092784</v>
      </c>
    </row>
    <row r="10" spans="1:5" ht="19.5" customHeight="1">
      <c r="A10" s="957" t="s">
        <v>1170</v>
      </c>
      <c r="B10" s="943" t="s">
        <v>507</v>
      </c>
      <c r="C10" s="978">
        <v>390000</v>
      </c>
      <c r="D10" s="978">
        <v>200000</v>
      </c>
      <c r="E10" s="919">
        <f t="shared" si="0"/>
        <v>51.28205128205128</v>
      </c>
    </row>
    <row r="11" spans="1:5" ht="19.5" customHeight="1">
      <c r="A11" s="957" t="s">
        <v>1171</v>
      </c>
      <c r="B11" s="959" t="s">
        <v>508</v>
      </c>
      <c r="C11" s="978">
        <v>90000</v>
      </c>
      <c r="D11" s="978">
        <v>25152.01</v>
      </c>
      <c r="E11" s="919">
        <f t="shared" si="0"/>
        <v>27.94667777777778</v>
      </c>
    </row>
    <row r="12" spans="1:5" ht="19.5" customHeight="1">
      <c r="A12" s="957" t="s">
        <v>1255</v>
      </c>
      <c r="B12" s="943" t="s">
        <v>613</v>
      </c>
      <c r="C12" s="978">
        <v>5000</v>
      </c>
      <c r="D12" s="978">
        <v>3305.87</v>
      </c>
      <c r="E12" s="919">
        <f t="shared" si="0"/>
        <v>66.11739999999999</v>
      </c>
    </row>
    <row r="13" spans="1:5" ht="19.5" customHeight="1" hidden="1">
      <c r="A13" s="957" t="s">
        <v>1262</v>
      </c>
      <c r="B13" s="959" t="s">
        <v>816</v>
      </c>
      <c r="C13" s="978">
        <v>0</v>
      </c>
      <c r="D13" s="978">
        <v>0</v>
      </c>
      <c r="E13" s="964" t="s">
        <v>1142</v>
      </c>
    </row>
    <row r="14" spans="1:5" ht="20.25" customHeight="1" thickBot="1">
      <c r="A14" s="1013" t="s">
        <v>1262</v>
      </c>
      <c r="B14" s="1021" t="s">
        <v>290</v>
      </c>
      <c r="C14" s="1015">
        <v>0</v>
      </c>
      <c r="D14" s="1015">
        <v>15000</v>
      </c>
      <c r="E14" s="1022" t="s">
        <v>1142</v>
      </c>
    </row>
    <row r="15" spans="1:5" s="477" customFormat="1" ht="19.5" customHeight="1" thickBot="1">
      <c r="A15" s="1537" t="s">
        <v>160</v>
      </c>
      <c r="B15" s="1538"/>
      <c r="C15" s="1023">
        <f>SUM(C8,C9)</f>
        <v>705784.38</v>
      </c>
      <c r="D15" s="1023">
        <f>SUM(D8,D9)</f>
        <v>464242.26</v>
      </c>
      <c r="E15" s="1024">
        <f t="shared" si="0"/>
        <v>65.7767829885949</v>
      </c>
    </row>
    <row r="16" spans="1:5" s="477" customFormat="1" ht="19.5" customHeight="1">
      <c r="A16" s="291" t="s">
        <v>162</v>
      </c>
      <c r="B16" s="976" t="s">
        <v>505</v>
      </c>
      <c r="C16" s="977">
        <f>SUM(C17:C30)</f>
        <v>485000</v>
      </c>
      <c r="D16" s="977">
        <f>SUM(D17:D30)</f>
        <v>263555.51</v>
      </c>
      <c r="E16" s="956">
        <f t="shared" si="0"/>
        <v>54.34134226804124</v>
      </c>
    </row>
    <row r="17" spans="1:5" ht="19.5" customHeight="1">
      <c r="A17" s="957" t="s">
        <v>1170</v>
      </c>
      <c r="B17" s="959" t="s">
        <v>165</v>
      </c>
      <c r="C17" s="978">
        <v>338876</v>
      </c>
      <c r="D17" s="978">
        <v>163549.53</v>
      </c>
      <c r="E17" s="919">
        <f t="shared" si="0"/>
        <v>48.26235260095138</v>
      </c>
    </row>
    <row r="18" spans="1:5" ht="19.5" customHeight="1">
      <c r="A18" s="957" t="s">
        <v>1171</v>
      </c>
      <c r="B18" s="959" t="s">
        <v>174</v>
      </c>
      <c r="C18" s="978">
        <v>11500</v>
      </c>
      <c r="D18" s="978">
        <v>3310</v>
      </c>
      <c r="E18" s="919">
        <f t="shared" si="0"/>
        <v>28.782608695652172</v>
      </c>
    </row>
    <row r="19" spans="1:5" ht="19.5" customHeight="1">
      <c r="A19" s="957" t="s">
        <v>1255</v>
      </c>
      <c r="B19" s="959" t="s">
        <v>1331</v>
      </c>
      <c r="C19" s="978">
        <v>1000</v>
      </c>
      <c r="D19" s="978">
        <v>476.96</v>
      </c>
      <c r="E19" s="919">
        <f t="shared" si="0"/>
        <v>47.696</v>
      </c>
    </row>
    <row r="20" spans="1:5" ht="19.5" customHeight="1">
      <c r="A20" s="957" t="s">
        <v>1262</v>
      </c>
      <c r="B20" s="959" t="s">
        <v>518</v>
      </c>
      <c r="C20" s="978">
        <v>59919</v>
      </c>
      <c r="D20" s="978">
        <v>29033.04</v>
      </c>
      <c r="E20" s="919">
        <f t="shared" si="0"/>
        <v>48.453812647073555</v>
      </c>
    </row>
    <row r="21" spans="1:5" ht="19.5" customHeight="1">
      <c r="A21" s="957" t="s">
        <v>1263</v>
      </c>
      <c r="B21" s="959" t="s">
        <v>175</v>
      </c>
      <c r="C21" s="978">
        <v>14900</v>
      </c>
      <c r="D21" s="978">
        <v>4199.66</v>
      </c>
      <c r="E21" s="919">
        <f t="shared" si="0"/>
        <v>28.185637583892614</v>
      </c>
    </row>
    <row r="22" spans="1:5" ht="19.5" customHeight="1">
      <c r="A22" s="957" t="s">
        <v>1264</v>
      </c>
      <c r="B22" s="959" t="s">
        <v>519</v>
      </c>
      <c r="C22" s="978">
        <v>10000</v>
      </c>
      <c r="D22" s="978">
        <v>2254.98</v>
      </c>
      <c r="E22" s="919">
        <f t="shared" si="0"/>
        <v>22.5498</v>
      </c>
    </row>
    <row r="23" spans="1:5" ht="19.5" customHeight="1">
      <c r="A23" s="957" t="s">
        <v>1351</v>
      </c>
      <c r="B23" s="959" t="s">
        <v>177</v>
      </c>
      <c r="C23" s="978">
        <v>0</v>
      </c>
      <c r="D23" s="978">
        <v>5825.52</v>
      </c>
      <c r="E23" s="964" t="s">
        <v>1142</v>
      </c>
    </row>
    <row r="24" spans="1:5" ht="19.5" customHeight="1">
      <c r="A24" s="957" t="s">
        <v>1352</v>
      </c>
      <c r="B24" s="959" t="s">
        <v>176</v>
      </c>
      <c r="C24" s="978">
        <v>26700</v>
      </c>
      <c r="D24" s="978">
        <v>16484.32</v>
      </c>
      <c r="E24" s="919">
        <f t="shared" si="0"/>
        <v>61.739026217228464</v>
      </c>
    </row>
    <row r="25" spans="1:5" ht="19.5" customHeight="1">
      <c r="A25" s="957" t="s">
        <v>1265</v>
      </c>
      <c r="B25" s="959" t="s">
        <v>191</v>
      </c>
      <c r="C25" s="978">
        <v>17131</v>
      </c>
      <c r="D25" s="978">
        <v>11224.73</v>
      </c>
      <c r="E25" s="919">
        <f t="shared" si="0"/>
        <v>65.52291168057907</v>
      </c>
    </row>
    <row r="26" spans="1:5" ht="19.5" customHeight="1">
      <c r="A26" s="957" t="s">
        <v>1267</v>
      </c>
      <c r="B26" s="959" t="s">
        <v>520</v>
      </c>
      <c r="C26" s="978">
        <v>1423</v>
      </c>
      <c r="D26" s="978">
        <v>834</v>
      </c>
      <c r="E26" s="919">
        <f t="shared" si="0"/>
        <v>58.60857343640197</v>
      </c>
    </row>
    <row r="27" spans="1:5" ht="19.5" customHeight="1">
      <c r="A27" s="957" t="s">
        <v>1353</v>
      </c>
      <c r="B27" s="959" t="s">
        <v>524</v>
      </c>
      <c r="C27" s="978">
        <v>3500</v>
      </c>
      <c r="D27" s="978">
        <v>1113.59</v>
      </c>
      <c r="E27" s="919">
        <f t="shared" si="0"/>
        <v>31.816857142857142</v>
      </c>
    </row>
    <row r="28" spans="1:5" ht="19.5" customHeight="1">
      <c r="A28" s="957" t="s">
        <v>1268</v>
      </c>
      <c r="B28" s="959" t="s">
        <v>1297</v>
      </c>
      <c r="C28" s="978">
        <v>0</v>
      </c>
      <c r="D28" s="978">
        <v>25015.19</v>
      </c>
      <c r="E28" s="964" t="s">
        <v>1142</v>
      </c>
    </row>
    <row r="29" spans="1:5" ht="19.5" customHeight="1">
      <c r="A29" s="957" t="s">
        <v>1269</v>
      </c>
      <c r="B29" s="959" t="s">
        <v>525</v>
      </c>
      <c r="C29" s="978">
        <v>51</v>
      </c>
      <c r="D29" s="978">
        <v>51</v>
      </c>
      <c r="E29" s="919">
        <f t="shared" si="0"/>
        <v>100</v>
      </c>
    </row>
    <row r="30" spans="1:5" ht="19.5" customHeight="1" thickBot="1">
      <c r="A30" s="957" t="s">
        <v>1354</v>
      </c>
      <c r="B30" s="959" t="s">
        <v>679</v>
      </c>
      <c r="C30" s="978">
        <v>0</v>
      </c>
      <c r="D30" s="978">
        <v>182.99</v>
      </c>
      <c r="E30" s="964" t="s">
        <v>1142</v>
      </c>
    </row>
    <row r="31" spans="1:5" s="477" customFormat="1" ht="19.5" customHeight="1" thickBot="1">
      <c r="A31" s="1018" t="s">
        <v>211</v>
      </c>
      <c r="B31" s="989" t="s">
        <v>1180</v>
      </c>
      <c r="C31" s="1025">
        <f>C8+C9-C16</f>
        <v>220784.38</v>
      </c>
      <c r="D31" s="1025">
        <f>D8+D9-D16</f>
        <v>200686.75</v>
      </c>
      <c r="E31" s="1020" t="s">
        <v>1175</v>
      </c>
    </row>
    <row r="32" spans="1:5" s="477" customFormat="1" ht="20.25" customHeight="1" thickBot="1">
      <c r="A32" s="1530" t="s">
        <v>212</v>
      </c>
      <c r="B32" s="1531"/>
      <c r="C32" s="1026">
        <f>SUM(C16,C31)</f>
        <v>705784.38</v>
      </c>
      <c r="D32" s="1026">
        <f>SUM(D16,D31)</f>
        <v>464242.26</v>
      </c>
      <c r="E32" s="992">
        <f>D32/C32*100</f>
        <v>65.7767829885949</v>
      </c>
    </row>
    <row r="33" spans="2:4" ht="15.75" customHeight="1">
      <c r="B33" s="279" t="s">
        <v>1026</v>
      </c>
      <c r="C33" s="993"/>
      <c r="D33" s="993">
        <f>D15-D32</f>
        <v>0</v>
      </c>
    </row>
    <row r="34" spans="3:4" ht="15.75" customHeight="1">
      <c r="C34" s="279"/>
      <c r="D34" s="279"/>
    </row>
    <row r="35" spans="3:4" ht="15.75" customHeight="1">
      <c r="C35" s="279"/>
      <c r="D35" s="279"/>
    </row>
    <row r="36" spans="3:4" ht="15.75" customHeight="1">
      <c r="C36" s="279"/>
      <c r="D36" s="279"/>
    </row>
    <row r="37" spans="3:4" ht="15.75" customHeight="1">
      <c r="C37" s="279"/>
      <c r="D37" s="279"/>
    </row>
    <row r="38" spans="3:4" ht="15.75" customHeight="1">
      <c r="C38" s="279"/>
      <c r="D38" s="279"/>
    </row>
    <row r="39" spans="3:4" ht="15.75" customHeight="1">
      <c r="C39" s="279"/>
      <c r="D39" s="279"/>
    </row>
    <row r="40" spans="3:4" ht="15.75" customHeight="1">
      <c r="C40" s="279"/>
      <c r="D40" s="279"/>
    </row>
  </sheetData>
  <sheetProtection password="CF93" sheet="1"/>
  <mergeCells count="5">
    <mergeCell ref="A3:E3"/>
    <mergeCell ref="A15:B15"/>
    <mergeCell ref="A32:B32"/>
    <mergeCell ref="D1:E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2"/>
  </sheetPr>
  <dimension ref="A1:G89"/>
  <sheetViews>
    <sheetView view="pageBreakPreview" zoomScaleSheetLayoutView="100" zoomScalePageLayoutView="0" workbookViewId="0" topLeftCell="A1">
      <pane ySplit="6" topLeftCell="A76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6.375" style="1027" customWidth="1"/>
    <col min="2" max="2" width="40.625" style="1028" customWidth="1"/>
    <col min="3" max="3" width="16.00390625" style="1029" customWidth="1"/>
    <col min="4" max="4" width="15.125" style="1029" customWidth="1"/>
    <col min="5" max="5" width="7.375" style="1028" customWidth="1"/>
    <col min="6" max="6" width="10.375" style="1028" bestFit="1" customWidth="1"/>
    <col min="7" max="16384" width="9.125" style="1028" customWidth="1"/>
  </cols>
  <sheetData>
    <row r="1" spans="4:5" ht="12.75">
      <c r="D1" s="1540" t="s">
        <v>282</v>
      </c>
      <c r="E1" s="1540"/>
    </row>
    <row r="2" ht="6" customHeight="1"/>
    <row r="3" spans="1:5" ht="24" customHeight="1">
      <c r="A3" s="1539" t="s">
        <v>1183</v>
      </c>
      <c r="B3" s="1539"/>
      <c r="C3" s="1539"/>
      <c r="D3" s="1539"/>
      <c r="E3" s="1539"/>
    </row>
    <row r="4" spans="4:5" ht="11.25" customHeight="1" thickBot="1">
      <c r="D4" s="1031"/>
      <c r="E4" s="1031" t="s">
        <v>818</v>
      </c>
    </row>
    <row r="5" spans="1:5" s="1027" customFormat="1" ht="15.75" customHeight="1">
      <c r="A5" s="1032" t="s">
        <v>1167</v>
      </c>
      <c r="B5" s="1033" t="s">
        <v>820</v>
      </c>
      <c r="C5" s="1034" t="s">
        <v>821</v>
      </c>
      <c r="D5" s="1035" t="s">
        <v>822</v>
      </c>
      <c r="E5" s="1036" t="s">
        <v>823</v>
      </c>
    </row>
    <row r="6" spans="1:5" s="1042" customFormat="1" ht="9.75" customHeight="1" thickBot="1">
      <c r="A6" s="1037">
        <v>1</v>
      </c>
      <c r="B6" s="1038">
        <v>2</v>
      </c>
      <c r="C6" s="1039">
        <v>3</v>
      </c>
      <c r="D6" s="1040">
        <v>4</v>
      </c>
      <c r="E6" s="1041">
        <v>5</v>
      </c>
    </row>
    <row r="7" spans="1:5" s="1048" customFormat="1" ht="18.75" customHeight="1">
      <c r="A7" s="1043" t="s">
        <v>1170</v>
      </c>
      <c r="B7" s="1044" t="s">
        <v>478</v>
      </c>
      <c r="C7" s="1045">
        <v>153400</v>
      </c>
      <c r="D7" s="1046">
        <v>91535.84</v>
      </c>
      <c r="E7" s="1047">
        <f aca="true" t="shared" si="0" ref="E7:E56">D7/C7*100</f>
        <v>59.67134289439374</v>
      </c>
    </row>
    <row r="8" spans="1:5" s="1048" customFormat="1" ht="18.75" customHeight="1">
      <c r="A8" s="1049" t="s">
        <v>1171</v>
      </c>
      <c r="B8" s="1050" t="s">
        <v>479</v>
      </c>
      <c r="C8" s="1051">
        <f>SUM(C9,C10,C11,C12,C13,C14,C15,C16,C17,C18,C19,C20,C21,C23,C24)</f>
        <v>2256900</v>
      </c>
      <c r="D8" s="1051">
        <f>SUM(D9,D10,D11,D12,D13,D14,D15,D16,D17,D18,D19,D20,D21,D22,D23,D24)</f>
        <v>1033625.7399999999</v>
      </c>
      <c r="E8" s="1052">
        <f t="shared" si="0"/>
        <v>45.79847312685541</v>
      </c>
    </row>
    <row r="9" spans="1:5" ht="15.75" customHeight="1">
      <c r="A9" s="1053" t="s">
        <v>987</v>
      </c>
      <c r="B9" s="1054" t="s">
        <v>674</v>
      </c>
      <c r="C9" s="1055">
        <v>35000</v>
      </c>
      <c r="D9" s="1055">
        <v>11942.7</v>
      </c>
      <c r="E9" s="1056">
        <f t="shared" si="0"/>
        <v>34.122</v>
      </c>
    </row>
    <row r="10" spans="1:5" ht="15.75" customHeight="1">
      <c r="A10" s="1053" t="s">
        <v>988</v>
      </c>
      <c r="B10" s="1054" t="s">
        <v>530</v>
      </c>
      <c r="C10" s="1055">
        <v>600000</v>
      </c>
      <c r="D10" s="1055">
        <v>297033.16</v>
      </c>
      <c r="E10" s="1056">
        <f t="shared" si="0"/>
        <v>49.50552666666666</v>
      </c>
    </row>
    <row r="11" spans="1:5" ht="15.75" customHeight="1">
      <c r="A11" s="1053" t="s">
        <v>991</v>
      </c>
      <c r="B11" s="1054" t="s">
        <v>675</v>
      </c>
      <c r="C11" s="1055">
        <v>88000</v>
      </c>
      <c r="D11" s="1055">
        <v>25475.85</v>
      </c>
      <c r="E11" s="1056">
        <f t="shared" si="0"/>
        <v>28.94982954545454</v>
      </c>
    </row>
    <row r="12" spans="1:5" ht="15.75" customHeight="1">
      <c r="A12" s="1053" t="s">
        <v>998</v>
      </c>
      <c r="B12" s="1054" t="s">
        <v>677</v>
      </c>
      <c r="C12" s="1055">
        <v>10500</v>
      </c>
      <c r="D12" s="1055">
        <v>1875.97</v>
      </c>
      <c r="E12" s="1056">
        <f t="shared" si="0"/>
        <v>17.866380952380954</v>
      </c>
    </row>
    <row r="13" spans="1:5" ht="15.75" customHeight="1">
      <c r="A13" s="1053" t="s">
        <v>1027</v>
      </c>
      <c r="B13" s="1054" t="s">
        <v>668</v>
      </c>
      <c r="C13" s="1055">
        <v>83400</v>
      </c>
      <c r="D13" s="1055">
        <v>32202.78</v>
      </c>
      <c r="E13" s="1056">
        <f t="shared" si="0"/>
        <v>38.61244604316546</v>
      </c>
    </row>
    <row r="14" spans="1:5" ht="15.75" customHeight="1">
      <c r="A14" s="1053" t="s">
        <v>484</v>
      </c>
      <c r="B14" s="1054" t="s">
        <v>486</v>
      </c>
      <c r="C14" s="1055">
        <v>47300</v>
      </c>
      <c r="D14" s="1055">
        <v>10055.02</v>
      </c>
      <c r="E14" s="1056">
        <f t="shared" si="0"/>
        <v>21.257970401691335</v>
      </c>
    </row>
    <row r="15" spans="1:5" ht="15.75" customHeight="1">
      <c r="A15" s="1053" t="s">
        <v>669</v>
      </c>
      <c r="B15" s="1054" t="s">
        <v>531</v>
      </c>
      <c r="C15" s="1055">
        <v>1000</v>
      </c>
      <c r="D15" s="1055">
        <v>1054.52</v>
      </c>
      <c r="E15" s="1056">
        <f t="shared" si="0"/>
        <v>105.45199999999998</v>
      </c>
    </row>
    <row r="16" spans="1:5" ht="15.75" customHeight="1">
      <c r="A16" s="1053" t="s">
        <v>670</v>
      </c>
      <c r="B16" s="1054" t="s">
        <v>532</v>
      </c>
      <c r="C16" s="1055">
        <v>1107000</v>
      </c>
      <c r="D16" s="1055">
        <v>577475.98</v>
      </c>
      <c r="E16" s="1056">
        <f t="shared" si="0"/>
        <v>52.165851851851855</v>
      </c>
    </row>
    <row r="17" spans="1:5" ht="15.75" customHeight="1">
      <c r="A17" s="1053" t="s">
        <v>671</v>
      </c>
      <c r="B17" s="1054" t="s">
        <v>667</v>
      </c>
      <c r="C17" s="1055">
        <v>11500</v>
      </c>
      <c r="D17" s="1055">
        <v>8958.58</v>
      </c>
      <c r="E17" s="1056">
        <f t="shared" si="0"/>
        <v>77.90069565217391</v>
      </c>
    </row>
    <row r="18" spans="1:5" ht="15.75" customHeight="1">
      <c r="A18" s="1053" t="s">
        <v>673</v>
      </c>
      <c r="B18" s="1054" t="s">
        <v>666</v>
      </c>
      <c r="C18" s="1055">
        <v>22900</v>
      </c>
      <c r="D18" s="1055">
        <v>10059.14</v>
      </c>
      <c r="E18" s="1056">
        <f t="shared" si="0"/>
        <v>43.92637554585153</v>
      </c>
    </row>
    <row r="19" spans="1:5" ht="15" customHeight="1">
      <c r="A19" s="1053" t="s">
        <v>535</v>
      </c>
      <c r="B19" s="1054" t="s">
        <v>672</v>
      </c>
      <c r="C19" s="1055">
        <v>102000</v>
      </c>
      <c r="D19" s="1055">
        <v>21415.28</v>
      </c>
      <c r="E19" s="1056">
        <f t="shared" si="0"/>
        <v>20.995372549019606</v>
      </c>
    </row>
    <row r="20" spans="1:5" ht="15" customHeight="1">
      <c r="A20" s="1053" t="s">
        <v>536</v>
      </c>
      <c r="B20" s="1054" t="s">
        <v>533</v>
      </c>
      <c r="C20" s="1055">
        <v>10000</v>
      </c>
      <c r="D20" s="1055">
        <v>3580.21</v>
      </c>
      <c r="E20" s="1056">
        <f t="shared" si="0"/>
        <v>35.802099999999996</v>
      </c>
    </row>
    <row r="21" spans="1:5" ht="15" customHeight="1">
      <c r="A21" s="1053" t="s">
        <v>537</v>
      </c>
      <c r="B21" s="1054" t="s">
        <v>773</v>
      </c>
      <c r="C21" s="1055">
        <v>136900</v>
      </c>
      <c r="D21" s="1055">
        <v>14812</v>
      </c>
      <c r="E21" s="1056">
        <f t="shared" si="0"/>
        <v>10.819576333089847</v>
      </c>
    </row>
    <row r="22" spans="1:5" ht="15" customHeight="1">
      <c r="A22" s="1053" t="s">
        <v>538</v>
      </c>
      <c r="B22" s="1054" t="s">
        <v>1298</v>
      </c>
      <c r="C22" s="1055">
        <v>0</v>
      </c>
      <c r="D22" s="1055">
        <v>10382.47</v>
      </c>
      <c r="E22" s="1060" t="s">
        <v>1142</v>
      </c>
    </row>
    <row r="23" spans="1:5" ht="15" customHeight="1">
      <c r="A23" s="1053" t="s">
        <v>633</v>
      </c>
      <c r="B23" s="1054" t="s">
        <v>1300</v>
      </c>
      <c r="C23" s="1055">
        <v>750</v>
      </c>
      <c r="D23" s="1055">
        <v>6326.08</v>
      </c>
      <c r="E23" s="1056">
        <f t="shared" si="0"/>
        <v>843.4773333333334</v>
      </c>
    </row>
    <row r="24" spans="1:5" ht="15" customHeight="1">
      <c r="A24" s="1053" t="s">
        <v>1299</v>
      </c>
      <c r="B24" s="1057" t="s">
        <v>534</v>
      </c>
      <c r="C24" s="1058">
        <v>650</v>
      </c>
      <c r="D24" s="1058">
        <v>976</v>
      </c>
      <c r="E24" s="1059">
        <f t="shared" si="0"/>
        <v>150.15384615384616</v>
      </c>
    </row>
    <row r="25" spans="1:5" s="1048" customFormat="1" ht="18.75" customHeight="1">
      <c r="A25" s="1061" t="s">
        <v>1255</v>
      </c>
      <c r="B25" s="1062" t="s">
        <v>487</v>
      </c>
      <c r="C25" s="1063">
        <f>SUM(C26:C28)</f>
        <v>665000</v>
      </c>
      <c r="D25" s="1063">
        <f>SUM(D26:D28)</f>
        <v>389819.91000000003</v>
      </c>
      <c r="E25" s="1064">
        <f t="shared" si="0"/>
        <v>58.61953533834588</v>
      </c>
    </row>
    <row r="26" spans="1:5" ht="15.75" customHeight="1">
      <c r="A26" s="1053" t="s">
        <v>488</v>
      </c>
      <c r="B26" s="1054" t="s">
        <v>489</v>
      </c>
      <c r="C26" s="1055">
        <v>350000</v>
      </c>
      <c r="D26" s="1055">
        <v>202058.48</v>
      </c>
      <c r="E26" s="1056">
        <f t="shared" si="0"/>
        <v>57.73099428571429</v>
      </c>
    </row>
    <row r="27" spans="1:5" ht="15.75" customHeight="1">
      <c r="A27" s="1053" t="s">
        <v>490</v>
      </c>
      <c r="B27" s="1054" t="s">
        <v>491</v>
      </c>
      <c r="C27" s="1055">
        <v>14000</v>
      </c>
      <c r="D27" s="1055">
        <v>5125.53</v>
      </c>
      <c r="E27" s="1056">
        <f t="shared" si="0"/>
        <v>36.610928571428566</v>
      </c>
    </row>
    <row r="28" spans="1:5" ht="15.75" customHeight="1">
      <c r="A28" s="1065" t="s">
        <v>492</v>
      </c>
      <c r="B28" s="1057" t="s">
        <v>683</v>
      </c>
      <c r="C28" s="1058">
        <v>301000</v>
      </c>
      <c r="D28" s="1058">
        <v>182635.9</v>
      </c>
      <c r="E28" s="1059">
        <f t="shared" si="0"/>
        <v>60.676378737541526</v>
      </c>
    </row>
    <row r="29" spans="1:5" s="1048" customFormat="1" ht="18.75" customHeight="1">
      <c r="A29" s="1049" t="s">
        <v>1262</v>
      </c>
      <c r="B29" s="1050" t="s">
        <v>494</v>
      </c>
      <c r="C29" s="1051">
        <f>SUM(C30:C56)</f>
        <v>7493270</v>
      </c>
      <c r="D29" s="1051">
        <f>SUM(D30:D56)</f>
        <v>3685529.15</v>
      </c>
      <c r="E29" s="1052">
        <f t="shared" si="0"/>
        <v>49.18452357915836</v>
      </c>
    </row>
    <row r="30" spans="1:5" ht="15.75" customHeight="1">
      <c r="A30" s="1053" t="s">
        <v>495</v>
      </c>
      <c r="B30" s="1054" t="s">
        <v>542</v>
      </c>
      <c r="C30" s="1055">
        <v>280000</v>
      </c>
      <c r="D30" s="1055">
        <v>120703.01</v>
      </c>
      <c r="E30" s="1056">
        <f t="shared" si="0"/>
        <v>43.108217857142854</v>
      </c>
    </row>
    <row r="31" spans="1:5" ht="15.75" customHeight="1">
      <c r="A31" s="1053" t="s">
        <v>497</v>
      </c>
      <c r="B31" s="1054" t="s">
        <v>527</v>
      </c>
      <c r="C31" s="1055">
        <v>33600</v>
      </c>
      <c r="D31" s="1055">
        <v>16510.55</v>
      </c>
      <c r="E31" s="1056">
        <f t="shared" si="0"/>
        <v>49.13854166666666</v>
      </c>
    </row>
    <row r="32" spans="1:5" ht="15.75" customHeight="1">
      <c r="A32" s="1053" t="s">
        <v>499</v>
      </c>
      <c r="B32" s="1054" t="s">
        <v>685</v>
      </c>
      <c r="C32" s="1055">
        <v>54000</v>
      </c>
      <c r="D32" s="1055">
        <v>25436.16</v>
      </c>
      <c r="E32" s="1056">
        <f t="shared" si="0"/>
        <v>47.104</v>
      </c>
    </row>
    <row r="33" spans="1:5" ht="15.75" customHeight="1">
      <c r="A33" s="1053" t="s">
        <v>526</v>
      </c>
      <c r="B33" s="1054" t="s">
        <v>543</v>
      </c>
      <c r="C33" s="1055">
        <v>590000</v>
      </c>
      <c r="D33" s="1055">
        <v>302840</v>
      </c>
      <c r="E33" s="1056">
        <f t="shared" si="0"/>
        <v>51.32881355932203</v>
      </c>
    </row>
    <row r="34" spans="1:5" ht="15.75" customHeight="1">
      <c r="A34" s="1053" t="s">
        <v>528</v>
      </c>
      <c r="B34" s="1054" t="s">
        <v>686</v>
      </c>
      <c r="C34" s="1055">
        <v>30000</v>
      </c>
      <c r="D34" s="1055">
        <v>24375.52</v>
      </c>
      <c r="E34" s="1056">
        <f t="shared" si="0"/>
        <v>81.25173333333333</v>
      </c>
    </row>
    <row r="35" spans="1:5" ht="16.5" customHeight="1">
      <c r="A35" s="1053" t="s">
        <v>568</v>
      </c>
      <c r="B35" s="1054" t="s">
        <v>684</v>
      </c>
      <c r="C35" s="1055">
        <v>70000</v>
      </c>
      <c r="D35" s="1055">
        <v>69441.45</v>
      </c>
      <c r="E35" s="1056">
        <f t="shared" si="0"/>
        <v>99.20207142857143</v>
      </c>
    </row>
    <row r="36" spans="1:5" ht="15.75" customHeight="1">
      <c r="A36" s="1053" t="s">
        <v>569</v>
      </c>
      <c r="B36" s="1054" t="s">
        <v>544</v>
      </c>
      <c r="C36" s="1055">
        <v>95600</v>
      </c>
      <c r="D36" s="1055">
        <v>46080</v>
      </c>
      <c r="E36" s="1056">
        <f t="shared" si="0"/>
        <v>48.20083682008368</v>
      </c>
    </row>
    <row r="37" spans="1:5" ht="15.75" customHeight="1">
      <c r="A37" s="1053" t="s">
        <v>570</v>
      </c>
      <c r="B37" s="1054" t="s">
        <v>498</v>
      </c>
      <c r="C37" s="1055">
        <v>143000</v>
      </c>
      <c r="D37" s="1055">
        <v>60998.9</v>
      </c>
      <c r="E37" s="1056">
        <f t="shared" si="0"/>
        <v>42.65657342657343</v>
      </c>
    </row>
    <row r="38" spans="1:5" ht="15" customHeight="1">
      <c r="A38" s="1053" t="s">
        <v>571</v>
      </c>
      <c r="B38" s="1054" t="s">
        <v>545</v>
      </c>
      <c r="C38" s="1055">
        <v>70800</v>
      </c>
      <c r="D38" s="1055">
        <v>35430.11</v>
      </c>
      <c r="E38" s="1056">
        <f t="shared" si="0"/>
        <v>50.04252824858757</v>
      </c>
    </row>
    <row r="39" spans="1:5" ht="15" customHeight="1">
      <c r="A39" s="1053" t="s">
        <v>699</v>
      </c>
      <c r="B39" s="1054" t="s">
        <v>387</v>
      </c>
      <c r="C39" s="1055">
        <v>319000</v>
      </c>
      <c r="D39" s="1055">
        <v>169892.22</v>
      </c>
      <c r="E39" s="1056">
        <f t="shared" si="0"/>
        <v>53.257749216300944</v>
      </c>
    </row>
    <row r="40" spans="1:5" ht="15" customHeight="1">
      <c r="A40" s="1053" t="s">
        <v>223</v>
      </c>
      <c r="B40" s="1054" t="s">
        <v>1247</v>
      </c>
      <c r="C40" s="1055">
        <v>9720</v>
      </c>
      <c r="D40" s="1055">
        <v>4860</v>
      </c>
      <c r="E40" s="1056">
        <f t="shared" si="0"/>
        <v>50</v>
      </c>
    </row>
    <row r="41" spans="1:5" ht="15" customHeight="1">
      <c r="A41" s="1053" t="s">
        <v>553</v>
      </c>
      <c r="B41" s="1054" t="s">
        <v>687</v>
      </c>
      <c r="C41" s="1055">
        <v>27000</v>
      </c>
      <c r="D41" s="1055">
        <v>13538.23</v>
      </c>
      <c r="E41" s="1056">
        <f t="shared" si="0"/>
        <v>50.14159259259259</v>
      </c>
    </row>
    <row r="42" spans="1:5" ht="15" customHeight="1">
      <c r="A42" s="1053" t="s">
        <v>554</v>
      </c>
      <c r="B42" s="1054" t="s">
        <v>1303</v>
      </c>
      <c r="C42" s="1055">
        <v>0</v>
      </c>
      <c r="D42" s="1055">
        <v>1923.59</v>
      </c>
      <c r="E42" s="1060" t="s">
        <v>1142</v>
      </c>
    </row>
    <row r="43" spans="1:5" ht="15" customHeight="1">
      <c r="A43" s="1053" t="s">
        <v>555</v>
      </c>
      <c r="B43" s="1054" t="s">
        <v>1305</v>
      </c>
      <c r="C43" s="1055">
        <v>0</v>
      </c>
      <c r="D43" s="1055">
        <v>488</v>
      </c>
      <c r="E43" s="1060" t="s">
        <v>1142</v>
      </c>
    </row>
    <row r="44" spans="1:5" ht="15" customHeight="1">
      <c r="A44" s="1053" t="s">
        <v>556</v>
      </c>
      <c r="B44" s="1054" t="s">
        <v>688</v>
      </c>
      <c r="C44" s="1055">
        <v>38700</v>
      </c>
      <c r="D44" s="1055">
        <v>23485</v>
      </c>
      <c r="E44" s="1056">
        <f t="shared" si="0"/>
        <v>60.684754521963825</v>
      </c>
    </row>
    <row r="45" spans="1:5" ht="15" customHeight="1">
      <c r="A45" s="1053" t="s">
        <v>557</v>
      </c>
      <c r="B45" s="1054" t="s">
        <v>546</v>
      </c>
      <c r="C45" s="1055">
        <v>46500</v>
      </c>
      <c r="D45" s="1055">
        <v>24070.26</v>
      </c>
      <c r="E45" s="1056">
        <f t="shared" si="0"/>
        <v>51.763999999999996</v>
      </c>
    </row>
    <row r="46" spans="1:5" ht="15" customHeight="1">
      <c r="A46" s="1053" t="s">
        <v>558</v>
      </c>
      <c r="B46" s="1054" t="s">
        <v>689</v>
      </c>
      <c r="C46" s="1055">
        <v>26400</v>
      </c>
      <c r="D46" s="1055">
        <v>13200</v>
      </c>
      <c r="E46" s="1056">
        <f t="shared" si="0"/>
        <v>50</v>
      </c>
    </row>
    <row r="47" spans="1:5" ht="15" customHeight="1">
      <c r="A47" s="1053" t="s">
        <v>559</v>
      </c>
      <c r="B47" s="1054" t="s">
        <v>1301</v>
      </c>
      <c r="C47" s="1055">
        <v>0</v>
      </c>
      <c r="D47" s="1055">
        <v>2048.62</v>
      </c>
      <c r="E47" s="1060" t="s">
        <v>1142</v>
      </c>
    </row>
    <row r="48" spans="1:5" ht="15" customHeight="1">
      <c r="A48" s="1053" t="s">
        <v>560</v>
      </c>
      <c r="B48" s="1054" t="s">
        <v>1304</v>
      </c>
      <c r="C48" s="1055">
        <v>0</v>
      </c>
      <c r="D48" s="1055">
        <v>15068.88</v>
      </c>
      <c r="E48" s="1060" t="s">
        <v>1142</v>
      </c>
    </row>
    <row r="49" spans="1:5" ht="15" customHeight="1">
      <c r="A49" s="1053" t="s">
        <v>561</v>
      </c>
      <c r="B49" s="1054" t="s">
        <v>1302</v>
      </c>
      <c r="C49" s="1055">
        <v>0</v>
      </c>
      <c r="D49" s="1055">
        <v>13220.8</v>
      </c>
      <c r="E49" s="1060" t="s">
        <v>1142</v>
      </c>
    </row>
    <row r="50" spans="1:5" ht="15" customHeight="1">
      <c r="A50" s="1053" t="s">
        <v>562</v>
      </c>
      <c r="B50" s="1054" t="s">
        <v>1306</v>
      </c>
      <c r="C50" s="1055">
        <v>0</v>
      </c>
      <c r="D50" s="1055">
        <v>12837.05</v>
      </c>
      <c r="E50" s="1060" t="s">
        <v>1142</v>
      </c>
    </row>
    <row r="51" spans="1:5" ht="15" customHeight="1">
      <c r="A51" s="1053" t="s">
        <v>1307</v>
      </c>
      <c r="B51" s="1054" t="s">
        <v>547</v>
      </c>
      <c r="C51" s="1055">
        <v>118700</v>
      </c>
      <c r="D51" s="1055">
        <v>64589.66</v>
      </c>
      <c r="E51" s="1056">
        <f t="shared" si="0"/>
        <v>54.41420387531593</v>
      </c>
    </row>
    <row r="52" spans="1:5" ht="15" customHeight="1">
      <c r="A52" s="1053" t="s">
        <v>1308</v>
      </c>
      <c r="B52" s="1054" t="s">
        <v>548</v>
      </c>
      <c r="C52" s="1055">
        <v>1003950</v>
      </c>
      <c r="D52" s="1055">
        <v>418310.1</v>
      </c>
      <c r="E52" s="1056">
        <f t="shared" si="0"/>
        <v>41.66642761093679</v>
      </c>
    </row>
    <row r="53" spans="1:5" ht="15" customHeight="1" hidden="1">
      <c r="A53" s="1053" t="s">
        <v>1309</v>
      </c>
      <c r="B53" s="1054" t="s">
        <v>549</v>
      </c>
      <c r="C53" s="1055"/>
      <c r="D53" s="1055"/>
      <c r="E53" s="1056" t="e">
        <f t="shared" si="0"/>
        <v>#DIV/0!</v>
      </c>
    </row>
    <row r="54" spans="1:5" ht="15.75" customHeight="1">
      <c r="A54" s="1053" t="s">
        <v>1309</v>
      </c>
      <c r="B54" s="1054" t="s">
        <v>539</v>
      </c>
      <c r="C54" s="1055">
        <v>3357400</v>
      </c>
      <c r="D54" s="1055">
        <v>1608153.4</v>
      </c>
      <c r="E54" s="1056">
        <f t="shared" si="0"/>
        <v>47.89877285995115</v>
      </c>
    </row>
    <row r="55" spans="1:5" ht="15.75" customHeight="1">
      <c r="A55" s="1053" t="s">
        <v>1310</v>
      </c>
      <c r="B55" s="1054" t="s">
        <v>540</v>
      </c>
      <c r="C55" s="1055">
        <v>912900</v>
      </c>
      <c r="D55" s="1055">
        <v>484128.45</v>
      </c>
      <c r="E55" s="1056">
        <f t="shared" si="0"/>
        <v>53.031925731186334</v>
      </c>
    </row>
    <row r="56" spans="1:5" ht="24.75" customHeight="1">
      <c r="A56" s="1065" t="s">
        <v>1311</v>
      </c>
      <c r="B56" s="1057" t="s">
        <v>541</v>
      </c>
      <c r="C56" s="1058">
        <v>266000</v>
      </c>
      <c r="D56" s="1058">
        <v>113899.19</v>
      </c>
      <c r="E56" s="1059">
        <f t="shared" si="0"/>
        <v>42.81924436090226</v>
      </c>
    </row>
    <row r="57" spans="1:5" s="1048" customFormat="1" ht="18.75" customHeight="1">
      <c r="A57" s="1049" t="s">
        <v>1263</v>
      </c>
      <c r="B57" s="1050" t="s">
        <v>573</v>
      </c>
      <c r="C57" s="1051">
        <f>SUM(C58:C59)</f>
        <v>5420100</v>
      </c>
      <c r="D57" s="1051">
        <f>SUM(D58:D59)</f>
        <v>2693592.93</v>
      </c>
      <c r="E57" s="1052">
        <f aca="true" t="shared" si="1" ref="E57:E88">D57/C57*100</f>
        <v>49.696369624176675</v>
      </c>
    </row>
    <row r="58" spans="1:5" ht="15.75" customHeight="1">
      <c r="A58" s="1053" t="s">
        <v>574</v>
      </c>
      <c r="B58" s="1054" t="s">
        <v>550</v>
      </c>
      <c r="C58" s="1055">
        <v>5294600</v>
      </c>
      <c r="D58" s="1055">
        <v>2640996.43</v>
      </c>
      <c r="E58" s="1056">
        <f t="shared" si="1"/>
        <v>49.8809434140445</v>
      </c>
    </row>
    <row r="59" spans="1:5" ht="15.75" customHeight="1">
      <c r="A59" s="1066" t="s">
        <v>576</v>
      </c>
      <c r="B59" s="1057" t="s">
        <v>710</v>
      </c>
      <c r="C59" s="1058">
        <v>125500</v>
      </c>
      <c r="D59" s="1058">
        <v>52596.5</v>
      </c>
      <c r="E59" s="1059">
        <f t="shared" si="1"/>
        <v>41.90956175298805</v>
      </c>
    </row>
    <row r="60" spans="1:5" ht="18.75" customHeight="1">
      <c r="A60" s="1067" t="s">
        <v>1264</v>
      </c>
      <c r="B60" s="1068" t="s">
        <v>577</v>
      </c>
      <c r="C60" s="1069">
        <v>920160</v>
      </c>
      <c r="D60" s="1069">
        <v>471496</v>
      </c>
      <c r="E60" s="1070">
        <f t="shared" si="1"/>
        <v>51.24065379933924</v>
      </c>
    </row>
    <row r="61" spans="1:5" ht="18.75" customHeight="1">
      <c r="A61" s="1049" t="s">
        <v>1351</v>
      </c>
      <c r="B61" s="1050" t="s">
        <v>578</v>
      </c>
      <c r="C61" s="1051">
        <f>SUM(C62:C63)</f>
        <v>189100</v>
      </c>
      <c r="D61" s="1051">
        <f>SUM(D62:D63)</f>
        <v>146091.28</v>
      </c>
      <c r="E61" s="1052">
        <f t="shared" si="1"/>
        <v>77.25609730301429</v>
      </c>
    </row>
    <row r="62" spans="1:5" ht="15.75" customHeight="1">
      <c r="A62" s="1053" t="s">
        <v>711</v>
      </c>
      <c r="B62" s="1054" t="s">
        <v>292</v>
      </c>
      <c r="C62" s="1055">
        <v>139100</v>
      </c>
      <c r="D62" s="1055">
        <v>139034.54</v>
      </c>
      <c r="E62" s="1056">
        <f t="shared" si="1"/>
        <v>99.95294033069734</v>
      </c>
    </row>
    <row r="63" spans="1:5" ht="15.75" customHeight="1">
      <c r="A63" s="1066" t="s">
        <v>712</v>
      </c>
      <c r="B63" s="1057" t="s">
        <v>717</v>
      </c>
      <c r="C63" s="1058">
        <v>50000</v>
      </c>
      <c r="D63" s="1058">
        <v>7056.74</v>
      </c>
      <c r="E63" s="1059">
        <f t="shared" si="1"/>
        <v>14.113480000000001</v>
      </c>
    </row>
    <row r="64" spans="1:5" s="1048" customFormat="1" ht="18.75" customHeight="1">
      <c r="A64" s="1061" t="s">
        <v>1352</v>
      </c>
      <c r="B64" s="1062" t="s">
        <v>579</v>
      </c>
      <c r="C64" s="1063">
        <f>SUM(C65:C67)</f>
        <v>114771</v>
      </c>
      <c r="D64" s="1063">
        <f>SUM(D65:D67)</f>
        <v>63537.35</v>
      </c>
      <c r="E64" s="1064">
        <f t="shared" si="1"/>
        <v>55.36010838975002</v>
      </c>
    </row>
    <row r="65" spans="1:5" ht="15.75" customHeight="1">
      <c r="A65" s="1053" t="s">
        <v>580</v>
      </c>
      <c r="B65" s="1054" t="s">
        <v>581</v>
      </c>
      <c r="C65" s="1055">
        <v>3571</v>
      </c>
      <c r="D65" s="1055">
        <v>3571</v>
      </c>
      <c r="E65" s="1056">
        <f t="shared" si="1"/>
        <v>100</v>
      </c>
    </row>
    <row r="66" spans="1:5" ht="26.25" customHeight="1">
      <c r="A66" s="1053" t="s">
        <v>718</v>
      </c>
      <c r="B66" s="1054" t="s">
        <v>800</v>
      </c>
      <c r="C66" s="1055">
        <v>111000</v>
      </c>
      <c r="D66" s="1055">
        <v>59871</v>
      </c>
      <c r="E66" s="1056">
        <f t="shared" si="1"/>
        <v>53.93783783783784</v>
      </c>
    </row>
    <row r="67" spans="1:5" ht="15.75" customHeight="1">
      <c r="A67" s="1066" t="s">
        <v>719</v>
      </c>
      <c r="B67" s="1057" t="s">
        <v>720</v>
      </c>
      <c r="C67" s="1058">
        <v>200</v>
      </c>
      <c r="D67" s="1058">
        <v>95.35</v>
      </c>
      <c r="E67" s="1059">
        <f t="shared" si="1"/>
        <v>47.675</v>
      </c>
    </row>
    <row r="68" spans="1:5" s="1048" customFormat="1" ht="18.75" customHeight="1">
      <c r="A68" s="1067" t="s">
        <v>1265</v>
      </c>
      <c r="B68" s="1068" t="s">
        <v>584</v>
      </c>
      <c r="C68" s="1069">
        <v>33000</v>
      </c>
      <c r="D68" s="1069">
        <v>23868.55</v>
      </c>
      <c r="E68" s="1070">
        <f t="shared" si="1"/>
        <v>72.3289393939394</v>
      </c>
    </row>
    <row r="69" spans="1:5" s="1048" customFormat="1" ht="18.75" customHeight="1">
      <c r="A69" s="1061" t="s">
        <v>1267</v>
      </c>
      <c r="B69" s="1062" t="s">
        <v>551</v>
      </c>
      <c r="C69" s="1063">
        <v>34000</v>
      </c>
      <c r="D69" s="1063">
        <v>14068.91</v>
      </c>
      <c r="E69" s="1064">
        <f t="shared" si="1"/>
        <v>41.37914705882353</v>
      </c>
    </row>
    <row r="70" spans="1:5" s="1048" customFormat="1" ht="15.75" customHeight="1" hidden="1">
      <c r="A70" s="1053" t="s">
        <v>721</v>
      </c>
      <c r="B70" s="1054" t="s">
        <v>722</v>
      </c>
      <c r="C70" s="1055">
        <v>30000</v>
      </c>
      <c r="D70" s="1055">
        <v>16735.53</v>
      </c>
      <c r="E70" s="1056">
        <f t="shared" si="1"/>
        <v>55.7851</v>
      </c>
    </row>
    <row r="71" spans="1:5" s="1048" customFormat="1" ht="15.75" customHeight="1" hidden="1">
      <c r="A71" s="1066" t="s">
        <v>723</v>
      </c>
      <c r="B71" s="1057" t="s">
        <v>724</v>
      </c>
      <c r="C71" s="1058">
        <v>0</v>
      </c>
      <c r="D71" s="1058">
        <v>0</v>
      </c>
      <c r="E71" s="1059" t="e">
        <f t="shared" si="1"/>
        <v>#DIV/0!</v>
      </c>
    </row>
    <row r="72" spans="1:5" s="1048" customFormat="1" ht="18.75" customHeight="1">
      <c r="A72" s="1061" t="s">
        <v>1353</v>
      </c>
      <c r="B72" s="1062" t="s">
        <v>552</v>
      </c>
      <c r="C72" s="1063">
        <v>140860</v>
      </c>
      <c r="D72" s="1063">
        <v>140857</v>
      </c>
      <c r="E72" s="1064">
        <f t="shared" si="1"/>
        <v>99.99787022575607</v>
      </c>
    </row>
    <row r="73" spans="1:7" s="1048" customFormat="1" ht="18.75" customHeight="1">
      <c r="A73" s="1067" t="s">
        <v>1268</v>
      </c>
      <c r="B73" s="1068" t="s">
        <v>640</v>
      </c>
      <c r="C73" s="1069">
        <f>SUM(C7+C8+C25+C29+C57+C60+C61+C64+C68+C69+C72)</f>
        <v>17420561</v>
      </c>
      <c r="D73" s="1069">
        <f>SUM(D7+D8+D25+D29+D57+D60+D61+D64+D68+D69+D72)</f>
        <v>8754022.66</v>
      </c>
      <c r="E73" s="1070">
        <f t="shared" si="1"/>
        <v>50.251095013530275</v>
      </c>
      <c r="G73" s="1071"/>
    </row>
    <row r="74" spans="1:5" s="1048" customFormat="1" ht="18.75" customHeight="1">
      <c r="A74" s="1061" t="s">
        <v>1269</v>
      </c>
      <c r="B74" s="1062" t="s">
        <v>641</v>
      </c>
      <c r="C74" s="1063">
        <f>SUM(C75,C76,C77)</f>
        <v>16287830</v>
      </c>
      <c r="D74" s="1063">
        <f>SUM(D75,D76,D77)</f>
        <v>7639762.899999999</v>
      </c>
      <c r="E74" s="1064">
        <f t="shared" si="1"/>
        <v>46.9047313239394</v>
      </c>
    </row>
    <row r="75" spans="1:5" ht="15.75" customHeight="1">
      <c r="A75" s="1053" t="s">
        <v>1242</v>
      </c>
      <c r="B75" s="1054" t="s">
        <v>293</v>
      </c>
      <c r="C75" s="1055">
        <v>13582830</v>
      </c>
      <c r="D75" s="1055">
        <v>6511654.21</v>
      </c>
      <c r="E75" s="1056">
        <f t="shared" si="1"/>
        <v>47.94033504063586</v>
      </c>
    </row>
    <row r="76" spans="1:5" ht="15.75" customHeight="1">
      <c r="A76" s="1053" t="s">
        <v>1243</v>
      </c>
      <c r="B76" s="1054" t="s">
        <v>224</v>
      </c>
      <c r="C76" s="1055">
        <v>1580000</v>
      </c>
      <c r="D76" s="1055">
        <v>767610.55</v>
      </c>
      <c r="E76" s="1056">
        <f t="shared" si="1"/>
        <v>48.582946202531645</v>
      </c>
    </row>
    <row r="77" spans="1:5" ht="15.75" customHeight="1">
      <c r="A77" s="1053" t="s">
        <v>1244</v>
      </c>
      <c r="B77" s="1057" t="s">
        <v>725</v>
      </c>
      <c r="C77" s="1058">
        <v>1125000</v>
      </c>
      <c r="D77" s="1058">
        <v>360498.14</v>
      </c>
      <c r="E77" s="1059">
        <f t="shared" si="1"/>
        <v>32.04427911111111</v>
      </c>
    </row>
    <row r="78" spans="1:5" s="1048" customFormat="1" ht="18.75" customHeight="1">
      <c r="A78" s="1067" t="s">
        <v>1354</v>
      </c>
      <c r="B78" s="1068" t="s">
        <v>646</v>
      </c>
      <c r="C78" s="1069">
        <v>2000</v>
      </c>
      <c r="D78" s="1069">
        <v>1761.53</v>
      </c>
      <c r="E78" s="1070">
        <f t="shared" si="1"/>
        <v>88.0765</v>
      </c>
    </row>
    <row r="79" spans="1:5" s="1048" customFormat="1" ht="18.75" customHeight="1">
      <c r="A79" s="1061" t="s">
        <v>1270</v>
      </c>
      <c r="B79" s="1062" t="s">
        <v>647</v>
      </c>
      <c r="C79" s="1063">
        <f>SUM(C80:C81)</f>
        <v>641180</v>
      </c>
      <c r="D79" s="1063">
        <f>SUM(D80:D81)</f>
        <v>538679.21</v>
      </c>
      <c r="E79" s="1064">
        <f t="shared" si="1"/>
        <v>84.01372625471785</v>
      </c>
    </row>
    <row r="80" spans="1:5" ht="15.75" customHeight="1">
      <c r="A80" s="1053" t="s">
        <v>1245</v>
      </c>
      <c r="B80" s="1054" t="s">
        <v>993</v>
      </c>
      <c r="C80" s="1055">
        <v>291180</v>
      </c>
      <c r="D80" s="1055">
        <v>312433.6</v>
      </c>
      <c r="E80" s="1056">
        <f t="shared" si="1"/>
        <v>107.29912768734116</v>
      </c>
    </row>
    <row r="81" spans="1:5" ht="15.75" customHeight="1">
      <c r="A81" s="1066" t="s">
        <v>1246</v>
      </c>
      <c r="B81" s="1057" t="s">
        <v>983</v>
      </c>
      <c r="C81" s="1058">
        <v>350000</v>
      </c>
      <c r="D81" s="1058">
        <v>226245.61</v>
      </c>
      <c r="E81" s="1059">
        <f t="shared" si="1"/>
        <v>64.64160285714286</v>
      </c>
    </row>
    <row r="82" spans="1:5" s="1048" customFormat="1" ht="18.75" customHeight="1">
      <c r="A82" s="1072" t="s">
        <v>1271</v>
      </c>
      <c r="B82" s="1068" t="s">
        <v>726</v>
      </c>
      <c r="C82" s="1069">
        <v>450000</v>
      </c>
      <c r="D82" s="1069">
        <v>226282.99</v>
      </c>
      <c r="E82" s="1070">
        <f t="shared" si="1"/>
        <v>50.285108888888885</v>
      </c>
    </row>
    <row r="83" spans="1:5" s="1048" customFormat="1" ht="18.75" customHeight="1">
      <c r="A83" s="1072" t="s">
        <v>1272</v>
      </c>
      <c r="B83" s="1073" t="s">
        <v>727</v>
      </c>
      <c r="C83" s="1069">
        <v>60000</v>
      </c>
      <c r="D83" s="1069">
        <v>37525.39</v>
      </c>
      <c r="E83" s="1070">
        <f t="shared" si="1"/>
        <v>62.542316666666665</v>
      </c>
    </row>
    <row r="84" spans="1:5" s="1048" customFormat="1" ht="18.75" customHeight="1" hidden="1">
      <c r="A84" s="1072" t="s">
        <v>1273</v>
      </c>
      <c r="B84" s="1073" t="s">
        <v>728</v>
      </c>
      <c r="C84" s="1074">
        <v>0</v>
      </c>
      <c r="D84" s="1069">
        <v>0</v>
      </c>
      <c r="E84" s="1075" t="s">
        <v>1142</v>
      </c>
    </row>
    <row r="85" spans="1:5" s="1048" customFormat="1" ht="18.75" customHeight="1" hidden="1">
      <c r="A85" s="1072" t="s">
        <v>1276</v>
      </c>
      <c r="B85" s="1073" t="s">
        <v>729</v>
      </c>
      <c r="C85" s="1074">
        <v>0</v>
      </c>
      <c r="D85" s="1069">
        <v>0</v>
      </c>
      <c r="E85" s="1075" t="s">
        <v>1142</v>
      </c>
    </row>
    <row r="86" spans="1:7" ht="18.75" customHeight="1">
      <c r="A86" s="1072" t="s">
        <v>1273</v>
      </c>
      <c r="B86" s="1073" t="s">
        <v>732</v>
      </c>
      <c r="C86" s="1074">
        <f>SUM(C73+C82+C83+C85)</f>
        <v>17930561</v>
      </c>
      <c r="D86" s="1069">
        <f>SUM(D73+D82+D83+D85)</f>
        <v>9017831.040000001</v>
      </c>
      <c r="E86" s="1070">
        <f t="shared" si="1"/>
        <v>50.29307805818235</v>
      </c>
      <c r="G86" s="1076"/>
    </row>
    <row r="87" spans="1:5" ht="18.75" customHeight="1">
      <c r="A87" s="1072" t="s">
        <v>1276</v>
      </c>
      <c r="B87" s="1073" t="s">
        <v>649</v>
      </c>
      <c r="C87" s="1069">
        <f>SUM(C74+C78+C79+C84)</f>
        <v>16931010</v>
      </c>
      <c r="D87" s="1069">
        <f>SUM(D74+D78+D79+D84)</f>
        <v>8180203.64</v>
      </c>
      <c r="E87" s="1070">
        <f t="shared" si="1"/>
        <v>48.31491824764146</v>
      </c>
    </row>
    <row r="88" spans="1:5" ht="18.75" customHeight="1">
      <c r="A88" s="1072" t="s">
        <v>1277</v>
      </c>
      <c r="B88" s="1073" t="s">
        <v>733</v>
      </c>
      <c r="C88" s="1074">
        <v>1000000</v>
      </c>
      <c r="D88" s="1069">
        <v>140466.74</v>
      </c>
      <c r="E88" s="1070">
        <f t="shared" si="1"/>
        <v>14.046673999999998</v>
      </c>
    </row>
    <row r="89" spans="1:5" ht="18.75" customHeight="1" thickBot="1">
      <c r="A89" s="1077" t="s">
        <v>1278</v>
      </c>
      <c r="B89" s="1078" t="s">
        <v>734</v>
      </c>
      <c r="C89" s="1079">
        <f>SUM(C87-C86+C88)</f>
        <v>449</v>
      </c>
      <c r="D89" s="1079">
        <f>SUM(D87-D86+D88)</f>
        <v>-697160.6600000013</v>
      </c>
      <c r="E89" s="1080" t="s">
        <v>1142</v>
      </c>
    </row>
  </sheetData>
  <sheetProtection password="CF93" sheet="1"/>
  <mergeCells count="2">
    <mergeCell ref="A3:E3"/>
    <mergeCell ref="D1:E1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2"/>
  </sheetPr>
  <dimension ref="A1:E56"/>
  <sheetViews>
    <sheetView view="pageBreakPreview" zoomScaleSheetLayoutView="100" zoomScalePageLayoutView="0" workbookViewId="0" topLeftCell="A1">
      <pane ySplit="7" topLeftCell="A43" activePane="bottomLeft" state="frozen"/>
      <selection pane="topLeft" activeCell="A1" sqref="A1"/>
      <selection pane="bottomLeft" activeCell="G53" sqref="G52:G53"/>
    </sheetView>
  </sheetViews>
  <sheetFormatPr defaultColWidth="9.00390625" defaultRowHeight="12.75"/>
  <cols>
    <col min="1" max="1" width="5.125" style="1027" customWidth="1"/>
    <col min="2" max="2" width="38.375" style="1028" customWidth="1"/>
    <col min="3" max="3" width="19.25390625" style="1029" customWidth="1"/>
    <col min="4" max="4" width="17.25390625" style="1029" customWidth="1"/>
    <col min="5" max="5" width="6.00390625" style="1028" customWidth="1"/>
    <col min="6" max="16384" width="9.125" style="1028" customWidth="1"/>
  </cols>
  <sheetData>
    <row r="1" spans="4:5" ht="12.75">
      <c r="D1" s="1540" t="s">
        <v>281</v>
      </c>
      <c r="E1" s="1540"/>
    </row>
    <row r="2" ht="39.75" customHeight="1"/>
    <row r="3" spans="1:5" ht="26.25" customHeight="1">
      <c r="A3" s="1539" t="s">
        <v>651</v>
      </c>
      <c r="B3" s="1539"/>
      <c r="C3" s="1539"/>
      <c r="D3" s="1539"/>
      <c r="E3" s="1539"/>
    </row>
    <row r="4" spans="1:5" ht="9" customHeight="1">
      <c r="A4" s="1030"/>
      <c r="B4" s="1030"/>
      <c r="C4" s="1030"/>
      <c r="D4" s="1030"/>
      <c r="E4" s="1030"/>
    </row>
    <row r="5" spans="4:5" ht="13.5" thickBot="1">
      <c r="D5" s="1031"/>
      <c r="E5" s="1031" t="s">
        <v>818</v>
      </c>
    </row>
    <row r="6" spans="1:5" s="1027" customFormat="1" ht="15" customHeight="1">
      <c r="A6" s="1081" t="s">
        <v>1167</v>
      </c>
      <c r="B6" s="1082" t="s">
        <v>820</v>
      </c>
      <c r="C6" s="1035" t="s">
        <v>821</v>
      </c>
      <c r="D6" s="1035" t="s">
        <v>822</v>
      </c>
      <c r="E6" s="1036" t="s">
        <v>823</v>
      </c>
    </row>
    <row r="7" spans="1:5" s="1085" customFormat="1" ht="12" customHeight="1" thickBot="1">
      <c r="A7" s="1083">
        <v>1</v>
      </c>
      <c r="B7" s="1084">
        <v>2</v>
      </c>
      <c r="C7" s="1040">
        <v>3</v>
      </c>
      <c r="D7" s="1040">
        <v>4</v>
      </c>
      <c r="E7" s="1041">
        <v>5</v>
      </c>
    </row>
    <row r="8" spans="1:5" s="1048" customFormat="1" ht="18.75" customHeight="1">
      <c r="A8" s="1086" t="s">
        <v>1170</v>
      </c>
      <c r="B8" s="1087" t="s">
        <v>478</v>
      </c>
      <c r="C8" s="1088">
        <v>27900</v>
      </c>
      <c r="D8" s="1088">
        <v>10326.1</v>
      </c>
      <c r="E8" s="1089">
        <f aca="true" t="shared" si="0" ref="E8:E55">D8/C8*100</f>
        <v>37.01111111111111</v>
      </c>
    </row>
    <row r="9" spans="1:5" s="1048" customFormat="1" ht="18.75" customHeight="1">
      <c r="A9" s="1061" t="s">
        <v>1171</v>
      </c>
      <c r="B9" s="1062" t="s">
        <v>479</v>
      </c>
      <c r="C9" s="1063">
        <f>SUM(C10:C15)</f>
        <v>150275</v>
      </c>
      <c r="D9" s="1063">
        <f>SUM(D10:D15)</f>
        <v>45568.689999999995</v>
      </c>
      <c r="E9" s="1064">
        <f t="shared" si="0"/>
        <v>30.323533521876556</v>
      </c>
    </row>
    <row r="10" spans="1:5" ht="15" customHeight="1">
      <c r="A10" s="1053" t="s">
        <v>987</v>
      </c>
      <c r="B10" s="1054" t="s">
        <v>480</v>
      </c>
      <c r="C10" s="1055">
        <v>45000</v>
      </c>
      <c r="D10" s="1055">
        <v>20301.94</v>
      </c>
      <c r="E10" s="1056">
        <f t="shared" si="0"/>
        <v>45.115422222222215</v>
      </c>
    </row>
    <row r="11" spans="1:5" ht="15" customHeight="1">
      <c r="A11" s="1053" t="s">
        <v>988</v>
      </c>
      <c r="B11" s="1054" t="s">
        <v>481</v>
      </c>
      <c r="C11" s="1055">
        <v>6500</v>
      </c>
      <c r="D11" s="1055">
        <v>5613.68</v>
      </c>
      <c r="E11" s="1056">
        <f t="shared" si="0"/>
        <v>86.36430769230769</v>
      </c>
    </row>
    <row r="12" spans="1:5" ht="15" customHeight="1">
      <c r="A12" s="1053" t="s">
        <v>991</v>
      </c>
      <c r="B12" s="1054" t="s">
        <v>482</v>
      </c>
      <c r="C12" s="1055">
        <v>28000</v>
      </c>
      <c r="D12" s="1055">
        <v>13076.15</v>
      </c>
      <c r="E12" s="1056">
        <f t="shared" si="0"/>
        <v>46.700535714285714</v>
      </c>
    </row>
    <row r="13" spans="1:5" ht="15" customHeight="1">
      <c r="A13" s="1053" t="s">
        <v>998</v>
      </c>
      <c r="B13" s="1054" t="s">
        <v>483</v>
      </c>
      <c r="C13" s="1055">
        <v>6800</v>
      </c>
      <c r="D13" s="1055">
        <v>3352.56</v>
      </c>
      <c r="E13" s="1056">
        <f t="shared" si="0"/>
        <v>49.30235294117647</v>
      </c>
    </row>
    <row r="14" spans="1:5" ht="15" customHeight="1">
      <c r="A14" s="1053" t="s">
        <v>1027</v>
      </c>
      <c r="B14" s="1054" t="s">
        <v>983</v>
      </c>
      <c r="C14" s="1055">
        <v>17000</v>
      </c>
      <c r="D14" s="1055">
        <v>3224.36</v>
      </c>
      <c r="E14" s="1056">
        <f t="shared" si="0"/>
        <v>18.966823529411766</v>
      </c>
    </row>
    <row r="15" spans="1:5" ht="15" customHeight="1">
      <c r="A15" s="1066" t="s">
        <v>484</v>
      </c>
      <c r="B15" s="1057" t="s">
        <v>486</v>
      </c>
      <c r="C15" s="1058">
        <v>46975</v>
      </c>
      <c r="D15" s="1058">
        <v>0</v>
      </c>
      <c r="E15" s="1059">
        <f t="shared" si="0"/>
        <v>0</v>
      </c>
    </row>
    <row r="16" spans="1:5" s="1048" customFormat="1" ht="18.75" customHeight="1">
      <c r="A16" s="1061" t="s">
        <v>1255</v>
      </c>
      <c r="B16" s="1062" t="s">
        <v>487</v>
      </c>
      <c r="C16" s="1063">
        <f>SUM(C17:C19)</f>
        <v>94500</v>
      </c>
      <c r="D16" s="1063">
        <f>SUM(D17:D19)</f>
        <v>54433.24</v>
      </c>
      <c r="E16" s="1064">
        <f t="shared" si="0"/>
        <v>57.601312169312166</v>
      </c>
    </row>
    <row r="17" spans="1:5" ht="15" customHeight="1">
      <c r="A17" s="1053" t="s">
        <v>488</v>
      </c>
      <c r="B17" s="1054" t="s">
        <v>489</v>
      </c>
      <c r="C17" s="1055">
        <v>21000</v>
      </c>
      <c r="D17" s="1055">
        <v>10370.48</v>
      </c>
      <c r="E17" s="1056">
        <f t="shared" si="0"/>
        <v>49.38323809523809</v>
      </c>
    </row>
    <row r="18" spans="1:5" ht="15" customHeight="1">
      <c r="A18" s="1053" t="s">
        <v>490</v>
      </c>
      <c r="B18" s="1054" t="s">
        <v>491</v>
      </c>
      <c r="C18" s="1055">
        <v>7500</v>
      </c>
      <c r="D18" s="1055">
        <v>1560.2</v>
      </c>
      <c r="E18" s="1056">
        <f t="shared" si="0"/>
        <v>20.802666666666667</v>
      </c>
    </row>
    <row r="19" spans="1:5" ht="15" customHeight="1">
      <c r="A19" s="1066" t="s">
        <v>492</v>
      </c>
      <c r="B19" s="1057" t="s">
        <v>493</v>
      </c>
      <c r="C19" s="1090">
        <v>66000</v>
      </c>
      <c r="D19" s="1058">
        <v>42502.56</v>
      </c>
      <c r="E19" s="1059">
        <f t="shared" si="0"/>
        <v>64.39781818181818</v>
      </c>
    </row>
    <row r="20" spans="1:5" s="1048" customFormat="1" ht="18.75" customHeight="1">
      <c r="A20" s="1061" t="s">
        <v>1262</v>
      </c>
      <c r="B20" s="1062" t="s">
        <v>494</v>
      </c>
      <c r="C20" s="1063">
        <f>SUM(C21,C22,C23,C24,C25,C26,C27,C28,C29,C30,C31,C32)</f>
        <v>442800</v>
      </c>
      <c r="D20" s="1063">
        <f>SUM(D21,D22,D23,D24,D25,D26,D27,D28,D29,D30,D31,D32)</f>
        <v>225871.72000000003</v>
      </c>
      <c r="E20" s="1064">
        <f t="shared" si="0"/>
        <v>51.00987353206866</v>
      </c>
    </row>
    <row r="21" spans="1:5" ht="15" customHeight="1">
      <c r="A21" s="1053" t="s">
        <v>495</v>
      </c>
      <c r="B21" s="1054" t="s">
        <v>496</v>
      </c>
      <c r="C21" s="1055">
        <v>5000</v>
      </c>
      <c r="D21" s="1055">
        <v>1224.9</v>
      </c>
      <c r="E21" s="1056">
        <f t="shared" si="0"/>
        <v>24.498000000000005</v>
      </c>
    </row>
    <row r="22" spans="1:5" ht="15" customHeight="1">
      <c r="A22" s="1053" t="s">
        <v>497</v>
      </c>
      <c r="B22" s="1054" t="s">
        <v>498</v>
      </c>
      <c r="C22" s="1055">
        <v>26000</v>
      </c>
      <c r="D22" s="1055">
        <v>13884.23</v>
      </c>
      <c r="E22" s="1056">
        <f t="shared" si="0"/>
        <v>53.40088461538461</v>
      </c>
    </row>
    <row r="23" spans="1:5" ht="15" customHeight="1">
      <c r="A23" s="1053" t="s">
        <v>499</v>
      </c>
      <c r="B23" s="1054" t="s">
        <v>388</v>
      </c>
      <c r="C23" s="1055">
        <v>192000</v>
      </c>
      <c r="D23" s="1055">
        <v>99951.37</v>
      </c>
      <c r="E23" s="1056">
        <f t="shared" si="0"/>
        <v>52.058005208333334</v>
      </c>
    </row>
    <row r="24" spans="1:5" ht="15" customHeight="1">
      <c r="A24" s="1053" t="s">
        <v>526</v>
      </c>
      <c r="B24" s="1054" t="s">
        <v>527</v>
      </c>
      <c r="C24" s="1055">
        <v>6400</v>
      </c>
      <c r="D24" s="1055">
        <v>3702.52</v>
      </c>
      <c r="E24" s="1056">
        <f t="shared" si="0"/>
        <v>57.851875</v>
      </c>
    </row>
    <row r="25" spans="1:5" ht="17.25" customHeight="1">
      <c r="A25" s="1053" t="s">
        <v>528</v>
      </c>
      <c r="B25" s="1054" t="s">
        <v>567</v>
      </c>
      <c r="C25" s="1055">
        <v>15000</v>
      </c>
      <c r="D25" s="1055">
        <v>6237</v>
      </c>
      <c r="E25" s="1056">
        <f t="shared" si="0"/>
        <v>41.58</v>
      </c>
    </row>
    <row r="26" spans="1:5" ht="15" customHeight="1">
      <c r="A26" s="1053" t="s">
        <v>568</v>
      </c>
      <c r="B26" s="1054" t="s">
        <v>1247</v>
      </c>
      <c r="C26" s="1055">
        <v>3000</v>
      </c>
      <c r="D26" s="1055">
        <v>1765.5</v>
      </c>
      <c r="E26" s="1056">
        <f t="shared" si="0"/>
        <v>58.85</v>
      </c>
    </row>
    <row r="27" spans="1:5" ht="15" customHeight="1">
      <c r="A27" s="1053" t="s">
        <v>569</v>
      </c>
      <c r="B27" s="1054" t="s">
        <v>204</v>
      </c>
      <c r="C27" s="1055">
        <v>40000</v>
      </c>
      <c r="D27" s="1055">
        <v>25730</v>
      </c>
      <c r="E27" s="1056">
        <f t="shared" si="0"/>
        <v>64.325</v>
      </c>
    </row>
    <row r="28" spans="1:5" ht="15" customHeight="1">
      <c r="A28" s="1053" t="s">
        <v>570</v>
      </c>
      <c r="B28" s="1054" t="s">
        <v>563</v>
      </c>
      <c r="C28" s="1055">
        <v>2000</v>
      </c>
      <c r="D28" s="1055">
        <v>1325</v>
      </c>
      <c r="E28" s="1056">
        <f t="shared" si="0"/>
        <v>66.25</v>
      </c>
    </row>
    <row r="29" spans="1:5" ht="15" customHeight="1">
      <c r="A29" s="1053" t="s">
        <v>571</v>
      </c>
      <c r="B29" s="1054" t="s">
        <v>205</v>
      </c>
      <c r="C29" s="1055">
        <v>24000</v>
      </c>
      <c r="D29" s="1055">
        <v>12000</v>
      </c>
      <c r="E29" s="1056">
        <f t="shared" si="0"/>
        <v>50</v>
      </c>
    </row>
    <row r="30" spans="1:5" ht="15" customHeight="1">
      <c r="A30" s="1053" t="s">
        <v>699</v>
      </c>
      <c r="B30" s="1054" t="s">
        <v>1038</v>
      </c>
      <c r="C30" s="1055">
        <v>89400</v>
      </c>
      <c r="D30" s="1055">
        <v>52408</v>
      </c>
      <c r="E30" s="1056">
        <f t="shared" si="0"/>
        <v>58.62192393736018</v>
      </c>
    </row>
    <row r="31" spans="1:5" ht="15" customHeight="1">
      <c r="A31" s="1053" t="s">
        <v>223</v>
      </c>
      <c r="B31" s="1054" t="s">
        <v>564</v>
      </c>
      <c r="C31" s="1055">
        <v>8000</v>
      </c>
      <c r="D31" s="1055">
        <v>0</v>
      </c>
      <c r="E31" s="1056">
        <f t="shared" si="0"/>
        <v>0</v>
      </c>
    </row>
    <row r="32" spans="1:5" ht="15" customHeight="1">
      <c r="A32" s="1053" t="s">
        <v>553</v>
      </c>
      <c r="B32" s="1057" t="s">
        <v>572</v>
      </c>
      <c r="C32" s="1058">
        <v>32000</v>
      </c>
      <c r="D32" s="1058">
        <v>7643.2</v>
      </c>
      <c r="E32" s="1059">
        <f t="shared" si="0"/>
        <v>23.885</v>
      </c>
    </row>
    <row r="33" spans="1:5" s="1048" customFormat="1" ht="18.75" customHeight="1">
      <c r="A33" s="1061" t="s">
        <v>1263</v>
      </c>
      <c r="B33" s="1062" t="s">
        <v>573</v>
      </c>
      <c r="C33" s="1063">
        <f>SUM(C34,C35,C36)</f>
        <v>549965</v>
      </c>
      <c r="D33" s="1063">
        <f>SUM(D34,D35,D36)</f>
        <v>292656.93</v>
      </c>
      <c r="E33" s="1064">
        <f t="shared" si="0"/>
        <v>53.21373723782422</v>
      </c>
    </row>
    <row r="34" spans="1:5" ht="15" customHeight="1">
      <c r="A34" s="1066" t="s">
        <v>574</v>
      </c>
      <c r="B34" s="1057" t="s">
        <v>575</v>
      </c>
      <c r="C34" s="1058">
        <v>527600</v>
      </c>
      <c r="D34" s="1058">
        <v>290391.93</v>
      </c>
      <c r="E34" s="1059">
        <f t="shared" si="0"/>
        <v>55.04016868840031</v>
      </c>
    </row>
    <row r="35" spans="1:5" ht="15" customHeight="1">
      <c r="A35" s="1066" t="s">
        <v>576</v>
      </c>
      <c r="B35" s="1057" t="s">
        <v>566</v>
      </c>
      <c r="C35" s="1058">
        <v>7100</v>
      </c>
      <c r="D35" s="1058">
        <v>0</v>
      </c>
      <c r="E35" s="1059">
        <f t="shared" si="0"/>
        <v>0</v>
      </c>
    </row>
    <row r="36" spans="1:5" ht="15" customHeight="1">
      <c r="A36" s="1066" t="s">
        <v>565</v>
      </c>
      <c r="B36" s="1057" t="s">
        <v>222</v>
      </c>
      <c r="C36" s="1058">
        <v>15265</v>
      </c>
      <c r="D36" s="1058">
        <v>2265</v>
      </c>
      <c r="E36" s="1059">
        <f t="shared" si="0"/>
        <v>14.837864395676384</v>
      </c>
    </row>
    <row r="37" spans="1:5" ht="18.75" customHeight="1">
      <c r="A37" s="1067" t="s">
        <v>1264</v>
      </c>
      <c r="B37" s="1068" t="s">
        <v>577</v>
      </c>
      <c r="C37" s="1069">
        <v>92000</v>
      </c>
      <c r="D37" s="1069">
        <v>50926.96</v>
      </c>
      <c r="E37" s="1070">
        <f t="shared" si="0"/>
        <v>55.355391304347826</v>
      </c>
    </row>
    <row r="38" spans="1:5" ht="25.5" customHeight="1">
      <c r="A38" s="1067" t="s">
        <v>1351</v>
      </c>
      <c r="B38" s="1068" t="s">
        <v>578</v>
      </c>
      <c r="C38" s="1069">
        <v>17000</v>
      </c>
      <c r="D38" s="1069">
        <v>850</v>
      </c>
      <c r="E38" s="1070">
        <f t="shared" si="0"/>
        <v>5</v>
      </c>
    </row>
    <row r="39" spans="1:5" s="1048" customFormat="1" ht="18.75" customHeight="1">
      <c r="A39" s="1061" t="s">
        <v>1352</v>
      </c>
      <c r="B39" s="1062" t="s">
        <v>579</v>
      </c>
      <c r="C39" s="1063">
        <v>5044</v>
      </c>
      <c r="D39" s="1063">
        <v>2022</v>
      </c>
      <c r="E39" s="1064">
        <f t="shared" si="0"/>
        <v>40.08723235527359</v>
      </c>
    </row>
    <row r="40" spans="1:5" ht="15" customHeight="1" hidden="1">
      <c r="A40" s="1053" t="s">
        <v>580</v>
      </c>
      <c r="B40" s="1054" t="s">
        <v>581</v>
      </c>
      <c r="C40" s="1055">
        <v>3749</v>
      </c>
      <c r="D40" s="1055">
        <v>3749</v>
      </c>
      <c r="E40" s="1056">
        <f t="shared" si="0"/>
        <v>100</v>
      </c>
    </row>
    <row r="41" spans="1:5" ht="15" customHeight="1" hidden="1">
      <c r="A41" s="1066" t="s">
        <v>582</v>
      </c>
      <c r="B41" s="1057" t="s">
        <v>583</v>
      </c>
      <c r="C41" s="1058"/>
      <c r="D41" s="1058"/>
      <c r="E41" s="1059" t="e">
        <f t="shared" si="0"/>
        <v>#DIV/0!</v>
      </c>
    </row>
    <row r="42" spans="1:5" s="1048" customFormat="1" ht="18.75" customHeight="1">
      <c r="A42" s="1067" t="s">
        <v>1265</v>
      </c>
      <c r="B42" s="1068" t="s">
        <v>584</v>
      </c>
      <c r="C42" s="1069">
        <v>2200</v>
      </c>
      <c r="D42" s="1069">
        <v>837.76</v>
      </c>
      <c r="E42" s="1070">
        <f t="shared" si="0"/>
        <v>38.08</v>
      </c>
    </row>
    <row r="43" spans="1:5" s="1048" customFormat="1" ht="18.75" customHeight="1">
      <c r="A43" s="1067" t="s">
        <v>1267</v>
      </c>
      <c r="B43" s="1068" t="s">
        <v>638</v>
      </c>
      <c r="C43" s="1069">
        <v>2000</v>
      </c>
      <c r="D43" s="1069">
        <v>723.2</v>
      </c>
      <c r="E43" s="1070">
        <f t="shared" si="0"/>
        <v>36.160000000000004</v>
      </c>
    </row>
    <row r="44" spans="1:5" s="1048" customFormat="1" ht="21.75" customHeight="1">
      <c r="A44" s="1067" t="s">
        <v>1353</v>
      </c>
      <c r="B44" s="1068" t="s">
        <v>639</v>
      </c>
      <c r="C44" s="1069">
        <v>6800</v>
      </c>
      <c r="D44" s="1069">
        <v>2584</v>
      </c>
      <c r="E44" s="1070">
        <f t="shared" si="0"/>
        <v>38</v>
      </c>
    </row>
    <row r="45" spans="1:5" s="1048" customFormat="1" ht="21.75" customHeight="1">
      <c r="A45" s="1067" t="s">
        <v>1268</v>
      </c>
      <c r="B45" s="1087" t="s">
        <v>726</v>
      </c>
      <c r="C45" s="1069">
        <v>0</v>
      </c>
      <c r="D45" s="1069">
        <v>27.27</v>
      </c>
      <c r="E45" s="1075" t="s">
        <v>1142</v>
      </c>
    </row>
    <row r="46" spans="1:5" s="1048" customFormat="1" ht="18.75" customHeight="1">
      <c r="A46" s="1067" t="s">
        <v>1269</v>
      </c>
      <c r="B46" s="1068" t="s">
        <v>640</v>
      </c>
      <c r="C46" s="1069">
        <f>SUM(C8+C9+C16+C20+C33+C37+C38+C39+C42+C43+C44+C45)</f>
        <v>1390484</v>
      </c>
      <c r="D46" s="1069">
        <f>SUM(D8+D9+D16+D20+D33+D37+D38+D39+D42+D43+D44+D45)</f>
        <v>686827.8699999999</v>
      </c>
      <c r="E46" s="1070">
        <f t="shared" si="0"/>
        <v>49.39487761096135</v>
      </c>
    </row>
    <row r="47" spans="1:5" s="1048" customFormat="1" ht="18.75" customHeight="1">
      <c r="A47" s="1061" t="s">
        <v>1354</v>
      </c>
      <c r="B47" s="1062" t="s">
        <v>641</v>
      </c>
      <c r="C47" s="1063">
        <f>SUM(C48:C50)</f>
        <v>1165646</v>
      </c>
      <c r="D47" s="1063">
        <f>SUM(D48:D50)</f>
        <v>577426.11</v>
      </c>
      <c r="E47" s="1064">
        <f t="shared" si="0"/>
        <v>49.537004373540505</v>
      </c>
    </row>
    <row r="48" spans="1:5" ht="15" customHeight="1">
      <c r="A48" s="1053" t="s">
        <v>1242</v>
      </c>
      <c r="B48" s="1054" t="s">
        <v>643</v>
      </c>
      <c r="C48" s="1055">
        <v>839646</v>
      </c>
      <c r="D48" s="1055">
        <v>407966</v>
      </c>
      <c r="E48" s="1056">
        <f t="shared" si="0"/>
        <v>48.587857263656346</v>
      </c>
    </row>
    <row r="49" spans="1:5" ht="15" customHeight="1">
      <c r="A49" s="1053" t="s">
        <v>1243</v>
      </c>
      <c r="B49" s="1054" t="s">
        <v>644</v>
      </c>
      <c r="C49" s="1055">
        <v>61000</v>
      </c>
      <c r="D49" s="1055">
        <v>35839.85</v>
      </c>
      <c r="E49" s="1056">
        <f t="shared" si="0"/>
        <v>58.753852459016386</v>
      </c>
    </row>
    <row r="50" spans="1:5" ht="15" customHeight="1">
      <c r="A50" s="1066" t="s">
        <v>1244</v>
      </c>
      <c r="B50" s="1057" t="s">
        <v>645</v>
      </c>
      <c r="C50" s="1058">
        <v>265000</v>
      </c>
      <c r="D50" s="1058">
        <v>133620.26</v>
      </c>
      <c r="E50" s="1059">
        <f t="shared" si="0"/>
        <v>50.42273962264151</v>
      </c>
    </row>
    <row r="51" spans="1:5" s="1048" customFormat="1" ht="18.75" customHeight="1">
      <c r="A51" s="1086" t="s">
        <v>1270</v>
      </c>
      <c r="B51" s="1087" t="s">
        <v>646</v>
      </c>
      <c r="C51" s="1088">
        <v>0</v>
      </c>
      <c r="D51" s="1088">
        <v>2.78</v>
      </c>
      <c r="E51" s="1075" t="s">
        <v>1142</v>
      </c>
    </row>
    <row r="52" spans="1:5" s="1048" customFormat="1" ht="18.75" customHeight="1">
      <c r="A52" s="1061" t="s">
        <v>1271</v>
      </c>
      <c r="B52" s="1062" t="s">
        <v>647</v>
      </c>
      <c r="C52" s="1063">
        <f>SUM(C53:C54)</f>
        <v>105675</v>
      </c>
      <c r="D52" s="1063">
        <f>SUM(D53:D54)</f>
        <v>350</v>
      </c>
      <c r="E52" s="1052">
        <f t="shared" si="0"/>
        <v>0.33120416370948663</v>
      </c>
    </row>
    <row r="53" spans="1:5" ht="15" customHeight="1">
      <c r="A53" s="1053" t="s">
        <v>1245</v>
      </c>
      <c r="B53" s="1054" t="s">
        <v>648</v>
      </c>
      <c r="C53" s="1055">
        <v>105675</v>
      </c>
      <c r="D53" s="1055">
        <v>350</v>
      </c>
      <c r="E53" s="1056">
        <f t="shared" si="0"/>
        <v>0.33120416370948663</v>
      </c>
    </row>
    <row r="54" spans="1:5" ht="15" customHeight="1" hidden="1">
      <c r="A54" s="1066" t="s">
        <v>1246</v>
      </c>
      <c r="B54" s="1057" t="s">
        <v>1347</v>
      </c>
      <c r="C54" s="1058">
        <v>0</v>
      </c>
      <c r="D54" s="1058">
        <v>0</v>
      </c>
      <c r="E54" s="1056" t="e">
        <f t="shared" si="0"/>
        <v>#DIV/0!</v>
      </c>
    </row>
    <row r="55" spans="1:5" s="1048" customFormat="1" ht="18.75" customHeight="1">
      <c r="A55" s="1067" t="s">
        <v>1272</v>
      </c>
      <c r="B55" s="1068" t="s">
        <v>649</v>
      </c>
      <c r="C55" s="1069">
        <f>SUM(C47+C51+C52)</f>
        <v>1271321</v>
      </c>
      <c r="D55" s="1069">
        <f>SUM(D47+D51+D52)</f>
        <v>577778.89</v>
      </c>
      <c r="E55" s="1070">
        <f t="shared" si="0"/>
        <v>45.44712861661217</v>
      </c>
    </row>
    <row r="56" spans="1:5" s="1048" customFormat="1" ht="18.75" customHeight="1" thickBot="1">
      <c r="A56" s="1091" t="s">
        <v>1273</v>
      </c>
      <c r="B56" s="1092" t="s">
        <v>650</v>
      </c>
      <c r="C56" s="1093">
        <f>SUM(C55-C46)</f>
        <v>-119163</v>
      </c>
      <c r="D56" s="1093">
        <f>SUM(D55-D46)</f>
        <v>-109048.97999999986</v>
      </c>
      <c r="E56" s="1080" t="s">
        <v>1142</v>
      </c>
    </row>
  </sheetData>
  <sheetProtection password="CF93" sheet="1"/>
  <mergeCells count="2">
    <mergeCell ref="A3:E3"/>
    <mergeCell ref="D1:E1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G143"/>
  <sheetViews>
    <sheetView view="pageBreakPreview" zoomScaleSheetLayoutView="100" zoomScalePageLayoutView="0" workbookViewId="0" topLeftCell="A26">
      <selection activeCell="B29" sqref="B29"/>
    </sheetView>
  </sheetViews>
  <sheetFormatPr defaultColWidth="9.00390625" defaultRowHeight="12.75"/>
  <cols>
    <col min="1" max="1" width="3.625" style="1" customWidth="1"/>
    <col min="2" max="2" width="34.375" style="2" customWidth="1"/>
    <col min="3" max="3" width="13.625" style="2" customWidth="1"/>
    <col min="4" max="4" width="13.875" style="2" customWidth="1"/>
    <col min="5" max="5" width="9.125" style="3" customWidth="1"/>
    <col min="6" max="6" width="8.125" style="2" customWidth="1"/>
    <col min="7" max="7" width="9.125" style="2" customWidth="1"/>
    <col min="8" max="8" width="28.375" style="2" customWidth="1"/>
    <col min="9" max="16384" width="9.125" style="2" customWidth="1"/>
  </cols>
  <sheetData>
    <row r="1" spans="1:6" s="159" customFormat="1" ht="12.75">
      <c r="A1" s="166"/>
      <c r="D1" s="161"/>
      <c r="E1" s="1328" t="s">
        <v>999</v>
      </c>
      <c r="F1" s="1328"/>
    </row>
    <row r="2" spans="1:5" s="159" customFormat="1" ht="11.25" customHeight="1">
      <c r="A2" s="166"/>
      <c r="D2" s="241"/>
      <c r="E2" s="241"/>
    </row>
    <row r="3" spans="1:6" s="159" customFormat="1" ht="13.5" customHeight="1">
      <c r="A3" s="1332" t="s">
        <v>521</v>
      </c>
      <c r="B3" s="1332"/>
      <c r="C3" s="1332"/>
      <c r="D3" s="1332"/>
      <c r="E3" s="1332"/>
      <c r="F3" s="1332"/>
    </row>
    <row r="4" spans="1:5" s="159" customFormat="1" ht="2.25" customHeight="1">
      <c r="A4" s="1329"/>
      <c r="B4" s="1329"/>
      <c r="C4" s="1329"/>
      <c r="D4" s="1329"/>
      <c r="E4" s="1329"/>
    </row>
    <row r="5" spans="1:6" s="159" customFormat="1" ht="13.5" thickBot="1">
      <c r="A5" s="242"/>
      <c r="B5" s="242"/>
      <c r="C5" s="242"/>
      <c r="D5" s="242"/>
      <c r="E5" s="246"/>
      <c r="F5" s="246" t="s">
        <v>818</v>
      </c>
    </row>
    <row r="6" spans="1:6" s="159" customFormat="1" ht="15" customHeight="1">
      <c r="A6" s="1333" t="s">
        <v>1167</v>
      </c>
      <c r="B6" s="1335" t="s">
        <v>1091</v>
      </c>
      <c r="C6" s="1330" t="s">
        <v>1232</v>
      </c>
      <c r="D6" s="1331"/>
      <c r="E6" s="1337" t="s">
        <v>1083</v>
      </c>
      <c r="F6" s="1339" t="s">
        <v>1084</v>
      </c>
    </row>
    <row r="7" spans="1:6" s="159" customFormat="1" ht="12.75">
      <c r="A7" s="1334"/>
      <c r="B7" s="1336"/>
      <c r="C7" s="247" t="s">
        <v>821</v>
      </c>
      <c r="D7" s="248" t="s">
        <v>822</v>
      </c>
      <c r="E7" s="1338"/>
      <c r="F7" s="1340"/>
    </row>
    <row r="8" spans="1:6" s="251" customFormat="1" ht="12" customHeight="1" thickBot="1">
      <c r="A8" s="249">
        <v>1</v>
      </c>
      <c r="B8" s="170">
        <v>2</v>
      </c>
      <c r="C8" s="170">
        <v>3</v>
      </c>
      <c r="D8" s="170">
        <v>4</v>
      </c>
      <c r="E8" s="169">
        <v>5</v>
      </c>
      <c r="F8" s="250">
        <v>6</v>
      </c>
    </row>
    <row r="9" spans="1:6" s="159" customFormat="1" ht="18" customHeight="1">
      <c r="A9" s="252" t="s">
        <v>1168</v>
      </c>
      <c r="B9" s="253" t="s">
        <v>1169</v>
      </c>
      <c r="C9" s="254">
        <f>SUM(C10,C15)</f>
        <v>208778856.63</v>
      </c>
      <c r="D9" s="254">
        <f>SUM(D10,D15)</f>
        <v>95512504.01</v>
      </c>
      <c r="E9" s="255">
        <f>D9*100/C9</f>
        <v>45.74816892462833</v>
      </c>
      <c r="F9" s="256">
        <f>D9/D$9*100</f>
        <v>100</v>
      </c>
    </row>
    <row r="10" spans="1:6" s="429" customFormat="1" ht="18" customHeight="1">
      <c r="A10" s="650" t="s">
        <v>1170</v>
      </c>
      <c r="B10" s="654" t="s">
        <v>981</v>
      </c>
      <c r="C10" s="427">
        <f>SUM(C11,C12,C13,C14)</f>
        <v>167432214.63</v>
      </c>
      <c r="D10" s="427">
        <f>SUM(D11,D12,D13,D14)</f>
        <v>91744142.94000001</v>
      </c>
      <c r="E10" s="655">
        <f aca="true" t="shared" si="0" ref="E10:E17">D10*100/C10</f>
        <v>54.79479749028033</v>
      </c>
      <c r="F10" s="653">
        <f aca="true" t="shared" si="1" ref="F10:F17">D10/D$9*100</f>
        <v>96.05458875876037</v>
      </c>
    </row>
    <row r="11" spans="1:6" s="271" customFormat="1" ht="27.75" customHeight="1">
      <c r="A11" s="656" t="s">
        <v>984</v>
      </c>
      <c r="B11" s="657" t="s">
        <v>255</v>
      </c>
      <c r="C11" s="658">
        <f>SUM(6D!E10,6D!E64,6D!E65,6D!E80,6D!E103,6D!E105,6D!E110,6D!E129,6D!E159,6D!E166,6D!E167,6D!E170,6D!E183,6D!E184,6D!E185,6D!E200,6D!E201,6D!E211,6D!E218,6D!E222,6D!E223,6D!E227,6D!E228,6D!E233,6D!E237,6D!E241,6D!E244,6D!E245,6D!E258,6D!E306)+6D!E325+6D!E329+6D!E332+6D!E334+6D!E337+6D!E344+6D!E364+6D!E378+6D!E384+6D!E389+6D!E391+6D!E395+6D!E398+6D!E416+6D!E153+6D!E355+6D!E157+6D!E359+6D!E361+6D!E366+6D!E374+6D!E393+6D!E404+6D!E412+6D!E414+6D!E348+6D!E345+6D!E422</f>
        <v>101845870.63</v>
      </c>
      <c r="D11" s="658">
        <f>SUM(6D!F10,6D!F64,6D!F65,6D!F80,6D!F103,6D!F105,6D!F110,6D!F129,6D!F159,6D!F166,6D!F167,6D!F170,6D!F183,6D!F184,6D!F185,6D!F200,6D!F201,6D!F211,6D!F218,6D!F222,6D!F223,6D!F227,6D!F228,6D!F233,6D!F237,6D!F241,6D!F244,6D!F245,6D!F258,6D!F306)+6D!F325+6D!F329+6D!F332+6D!F334+6D!F337+6D!F344+6D!F364+6D!F378+6D!F384+6D!F389+6D!F391+6D!F395+6D!F398+6D!F416+6D!F153+6D!F355+6D!F157+6D!F359+6D!F361+6D!F366+6D!F374+6D!F393+6D!F404+6D!F412+6D!F414+6D!F348+6D!F345+6D!F422</f>
        <v>51627297.629999995</v>
      </c>
      <c r="E11" s="659">
        <f t="shared" si="0"/>
        <v>50.69159634125855</v>
      </c>
      <c r="F11" s="660">
        <f t="shared" si="1"/>
        <v>54.05292025910524</v>
      </c>
    </row>
    <row r="12" spans="1:6" s="271" customFormat="1" ht="26.25" customHeight="1">
      <c r="A12" s="656" t="s">
        <v>985</v>
      </c>
      <c r="B12" s="661" t="s">
        <v>676</v>
      </c>
      <c r="C12" s="658">
        <f>SUM(6D!E94,6D!E96,6D!E115,6D!E251,6D!E253,6D!E295,6D!E369,6D!E371,6D!E387,6D!E406,6D!E408,6D!E417,6D!E419)</f>
        <v>3288529</v>
      </c>
      <c r="D12" s="658">
        <f>SUM(6D!F94,6D!F96,6D!F115,6D!F251,6D!F253,6D!F295,6D!F369,6D!F371,6D!F387,6D!F406,6D!F408,6D!F417,6D!F419)</f>
        <v>1454093.4900000002</v>
      </c>
      <c r="E12" s="659">
        <f t="shared" si="0"/>
        <v>44.21714055129209</v>
      </c>
      <c r="F12" s="660">
        <f t="shared" si="1"/>
        <v>1.522411651827031</v>
      </c>
    </row>
    <row r="13" spans="1:6" s="271" customFormat="1" ht="18" customHeight="1">
      <c r="A13" s="656" t="s">
        <v>986</v>
      </c>
      <c r="B13" s="661" t="s">
        <v>982</v>
      </c>
      <c r="C13" s="658">
        <f>SUM(6D!E43,6D!E98,6D!E99,6D!E116,6D!E178,6D!E186)</f>
        <v>100000</v>
      </c>
      <c r="D13" s="658">
        <f>SUM(6D!F43,6D!F98,6D!F99,6D!F116,6D!F178,6D!F186)</f>
        <v>37205.58</v>
      </c>
      <c r="E13" s="659">
        <f>D13*100/C13</f>
        <v>37.20558</v>
      </c>
      <c r="F13" s="660">
        <f>D13/D$9*100</f>
        <v>0.03895362223579086</v>
      </c>
    </row>
    <row r="14" spans="1:6" s="271" customFormat="1" ht="18" customHeight="1">
      <c r="A14" s="656" t="s">
        <v>992</v>
      </c>
      <c r="B14" s="661" t="s">
        <v>983</v>
      </c>
      <c r="C14" s="658">
        <f>C47-C15-C11-C12-C13</f>
        <v>62197815</v>
      </c>
      <c r="D14" s="658">
        <f>D47-D15-D11-D12-D13</f>
        <v>38625546.24000002</v>
      </c>
      <c r="E14" s="659">
        <f>D14*100/C14</f>
        <v>62.101130465756746</v>
      </c>
      <c r="F14" s="660">
        <f>D14/D$9*100</f>
        <v>40.44030322559231</v>
      </c>
    </row>
    <row r="15" spans="1:6" s="429" customFormat="1" ht="18" customHeight="1">
      <c r="A15" s="650" t="s">
        <v>1171</v>
      </c>
      <c r="B15" s="651" t="s">
        <v>980</v>
      </c>
      <c r="C15" s="427">
        <f>SUM(C16:C19)</f>
        <v>41346642</v>
      </c>
      <c r="D15" s="427">
        <f>SUM(D16:D19)</f>
        <v>3768361.07</v>
      </c>
      <c r="E15" s="652">
        <f t="shared" si="0"/>
        <v>9.114068005812902</v>
      </c>
      <c r="F15" s="653">
        <f t="shared" si="1"/>
        <v>3.945411241239637</v>
      </c>
    </row>
    <row r="16" spans="1:6" s="271" customFormat="1" ht="27" customHeight="1">
      <c r="A16" s="656" t="s">
        <v>987</v>
      </c>
      <c r="B16" s="661" t="s">
        <v>1329</v>
      </c>
      <c r="C16" s="658">
        <f>SUM(6D!E14,6D!E26,6D!E40,6D!E60,6D!E61,6D!E85,6D!E163,6D!E261,6D!E278)</f>
        <v>33126000</v>
      </c>
      <c r="D16" s="658">
        <f>SUM(6D!F14,6D!F26,6D!F40,6D!F60,6D!F61,6D!F85,6D!F163,6D!F261,6D!F278)</f>
        <v>3520079</v>
      </c>
      <c r="E16" s="662">
        <f>D16*100/C16</f>
        <v>10.62633278995351</v>
      </c>
      <c r="F16" s="660">
        <f>D16/D$9*100</f>
        <v>3.6854640515250794</v>
      </c>
    </row>
    <row r="17" spans="1:6" s="271" customFormat="1" ht="18.75" customHeight="1">
      <c r="A17" s="656" t="s">
        <v>988</v>
      </c>
      <c r="B17" s="661" t="s">
        <v>260</v>
      </c>
      <c r="C17" s="658">
        <f>SUM(6D!E50,6D!E187,6D!E297,6D!E320,6D!E322,6D!E326,6D!E349,6D!E375,6D!E423,6D!E362)</f>
        <v>122</v>
      </c>
      <c r="D17" s="658">
        <f>SUM(6D!F50,6D!F187,6D!F297,6D!F320,6D!F322,6D!F326,6D!F349,6D!F375,6D!F423,6D!F362)</f>
        <v>122</v>
      </c>
      <c r="E17" s="662">
        <f t="shared" si="0"/>
        <v>100</v>
      </c>
      <c r="F17" s="660">
        <f t="shared" si="1"/>
        <v>0.00012773196689223727</v>
      </c>
    </row>
    <row r="18" spans="1:6" s="271" customFormat="1" ht="18" customHeight="1" hidden="1">
      <c r="A18" s="656" t="s">
        <v>991</v>
      </c>
      <c r="B18" s="661" t="s">
        <v>1214</v>
      </c>
      <c r="C18" s="663">
        <f>SUM(6D!E264,6D!E267)</f>
        <v>0</v>
      </c>
      <c r="D18" s="663">
        <f>SUM(6D!F264,6D!F267)</f>
        <v>0</v>
      </c>
      <c r="E18" s="662" t="e">
        <f>D18*100/C18</f>
        <v>#DIV/0!</v>
      </c>
      <c r="F18" s="660">
        <f>D18/D$9*100</f>
        <v>0</v>
      </c>
    </row>
    <row r="19" spans="1:6" s="271" customFormat="1" ht="24.75" customHeight="1">
      <c r="A19" s="656" t="s">
        <v>991</v>
      </c>
      <c r="B19" s="661" t="s">
        <v>1215</v>
      </c>
      <c r="C19" s="663">
        <f>SUM(6D!E34,6D!E36,6D!E48,6D!E69,6D!E246,6D!E268,6D!E296,6D!E310,6D!E317,6D!E318)</f>
        <v>8220520</v>
      </c>
      <c r="D19" s="663">
        <f>SUM(6D!F34,6D!F36,6D!F48,6D!F69,6D!F246,6D!F268,6D!F296,6D!F310,6D!F317,6D!F318)</f>
        <v>248160.07</v>
      </c>
      <c r="E19" s="662">
        <f>D19*100/C19</f>
        <v>3.0187879842151104</v>
      </c>
      <c r="F19" s="660">
        <f>D19/D$9*100</f>
        <v>0.2598194577476663</v>
      </c>
    </row>
    <row r="20" spans="1:6" s="159" customFormat="1" ht="18" customHeight="1">
      <c r="A20" s="675" t="s">
        <v>1172</v>
      </c>
      <c r="B20" s="676" t="s">
        <v>1173</v>
      </c>
      <c r="C20" s="443">
        <f>SUM(C21,C31)</f>
        <v>206526856.63</v>
      </c>
      <c r="D20" s="443">
        <f>SUM(D21,D31)</f>
        <v>82295145.41999999</v>
      </c>
      <c r="E20" s="677">
        <f aca="true" t="shared" si="2" ref="E20:E31">D20*100/C20</f>
        <v>39.84718828478302</v>
      </c>
      <c r="F20" s="678">
        <f>D20/D$20*100</f>
        <v>100</v>
      </c>
    </row>
    <row r="21" spans="1:6" s="429" customFormat="1" ht="18" customHeight="1">
      <c r="A21" s="650" t="s">
        <v>1170</v>
      </c>
      <c r="B21" s="664" t="s">
        <v>1186</v>
      </c>
      <c r="C21" s="427">
        <f>SUM(C22,C25,C27,C28,C29,C30)</f>
        <v>157346672.63</v>
      </c>
      <c r="D21" s="427">
        <f>SUM(D22,D25,D27,D28,D29,D30)</f>
        <v>76607138.82</v>
      </c>
      <c r="E21" s="665">
        <f t="shared" si="2"/>
        <v>48.686850213948496</v>
      </c>
      <c r="F21" s="653">
        <f aca="true" t="shared" si="3" ref="F21:F34">D21/D$20*100</f>
        <v>93.08828416187761</v>
      </c>
    </row>
    <row r="22" spans="1:6" s="159" customFormat="1" ht="18" customHeight="1">
      <c r="A22" s="257" t="s">
        <v>984</v>
      </c>
      <c r="B22" s="432" t="s">
        <v>1012</v>
      </c>
      <c r="C22" s="259">
        <f>SUM(9W!D709)</f>
        <v>118935069.63</v>
      </c>
      <c r="D22" s="259">
        <f>SUM(9W!E709)</f>
        <v>57338731.669999994</v>
      </c>
      <c r="E22" s="666">
        <f t="shared" si="2"/>
        <v>48.21011317215134</v>
      </c>
      <c r="F22" s="264">
        <f>D22/D$20*100</f>
        <v>69.6745006979052</v>
      </c>
    </row>
    <row r="23" spans="1:6" s="159" customFormat="1" ht="18" customHeight="1">
      <c r="A23" s="257"/>
      <c r="B23" s="667" t="s">
        <v>1013</v>
      </c>
      <c r="C23" s="430">
        <f>SUM(9W!D710)</f>
        <v>54823957.629999995</v>
      </c>
      <c r="D23" s="430">
        <f>SUM(9W!E710)</f>
        <v>25094911.959999993</v>
      </c>
      <c r="E23" s="666">
        <f t="shared" si="2"/>
        <v>45.77362351211929</v>
      </c>
      <c r="F23" s="264">
        <f>D23/D$20*100</f>
        <v>30.493793809982428</v>
      </c>
    </row>
    <row r="24" spans="1:7" s="159" customFormat="1" ht="15.75" customHeight="1">
      <c r="A24" s="261"/>
      <c r="B24" s="262" t="s">
        <v>1009</v>
      </c>
      <c r="C24" s="263">
        <f>SUM(9W!D711)</f>
        <v>64111112</v>
      </c>
      <c r="D24" s="263">
        <f>SUM(9W!E711)</f>
        <v>32243819.71</v>
      </c>
      <c r="E24" s="666">
        <f t="shared" si="2"/>
        <v>50.29365222989737</v>
      </c>
      <c r="F24" s="264">
        <f>D24/D$20*100</f>
        <v>39.18070688792278</v>
      </c>
      <c r="G24" s="159" t="s">
        <v>229</v>
      </c>
    </row>
    <row r="25" spans="1:6" s="159" customFormat="1" ht="16.5" customHeight="1">
      <c r="A25" s="257" t="s">
        <v>985</v>
      </c>
      <c r="B25" s="417" t="s">
        <v>1014</v>
      </c>
      <c r="C25" s="259">
        <f>SUM(9W!D712)</f>
        <v>20280</v>
      </c>
      <c r="D25" s="259">
        <f>SUM(9W!E712)</f>
        <v>6180.51</v>
      </c>
      <c r="E25" s="668">
        <f t="shared" si="2"/>
        <v>30.475887573964496</v>
      </c>
      <c r="F25" s="260">
        <f>D25/D$20*100</f>
        <v>0.007510175683458925</v>
      </c>
    </row>
    <row r="26" spans="1:6" s="277" customFormat="1" ht="16.5" customHeight="1">
      <c r="A26" s="1289"/>
      <c r="B26" s="1288" t="s">
        <v>451</v>
      </c>
      <c r="C26" s="430">
        <v>20280</v>
      </c>
      <c r="D26" s="430">
        <v>6180.51</v>
      </c>
      <c r="E26" s="1290">
        <f t="shared" si="2"/>
        <v>30.475887573964496</v>
      </c>
      <c r="F26" s="1291">
        <f>D26/D$20*100</f>
        <v>0.007510175683458925</v>
      </c>
    </row>
    <row r="27" spans="1:7" s="159" customFormat="1" ht="18" customHeight="1">
      <c r="A27" s="257" t="s">
        <v>986</v>
      </c>
      <c r="B27" s="432" t="s">
        <v>1010</v>
      </c>
      <c r="C27" s="259">
        <f>SUM(9W!D714)</f>
        <v>17378631</v>
      </c>
      <c r="D27" s="259">
        <f>SUM(9W!E714)</f>
        <v>9986191.07</v>
      </c>
      <c r="E27" s="668">
        <f t="shared" si="2"/>
        <v>57.46247256184909</v>
      </c>
      <c r="F27" s="260">
        <f t="shared" si="3"/>
        <v>12.134605290548622</v>
      </c>
      <c r="G27" s="159" t="s">
        <v>642</v>
      </c>
    </row>
    <row r="28" spans="1:6" s="159" customFormat="1" ht="18" customHeight="1">
      <c r="A28" s="257" t="s">
        <v>992</v>
      </c>
      <c r="B28" s="432" t="s">
        <v>1015</v>
      </c>
      <c r="C28" s="259">
        <f>SUM(9W!D715)</f>
        <v>13116308</v>
      </c>
      <c r="D28" s="259">
        <f>SUM(9W!E715)</f>
        <v>6449746.030000001</v>
      </c>
      <c r="E28" s="668">
        <f t="shared" si="2"/>
        <v>49.173487158124075</v>
      </c>
      <c r="F28" s="260">
        <f t="shared" si="3"/>
        <v>7.83733475052896</v>
      </c>
    </row>
    <row r="29" spans="1:6" s="159" customFormat="1" ht="18" customHeight="1">
      <c r="A29" s="257" t="s">
        <v>1017</v>
      </c>
      <c r="B29" s="432" t="s">
        <v>262</v>
      </c>
      <c r="C29" s="259">
        <f>9W!D716</f>
        <v>4171384</v>
      </c>
      <c r="D29" s="259">
        <f>9W!E716</f>
        <v>1436591.6</v>
      </c>
      <c r="E29" s="668">
        <f>D29*100/C29</f>
        <v>34.43920770660289</v>
      </c>
      <c r="F29" s="260">
        <f>D29/D$20*100</f>
        <v>1.7456577695661606</v>
      </c>
    </row>
    <row r="30" spans="1:6" s="159" customFormat="1" ht="18" customHeight="1">
      <c r="A30" s="257" t="s">
        <v>261</v>
      </c>
      <c r="B30" s="432" t="s">
        <v>994</v>
      </c>
      <c r="C30" s="259">
        <f>SUM(9W!D717)</f>
        <v>3725000</v>
      </c>
      <c r="D30" s="259">
        <f>SUM(9W!E717)</f>
        <v>1389697.94</v>
      </c>
      <c r="E30" s="668">
        <f t="shared" si="2"/>
        <v>37.307327248322146</v>
      </c>
      <c r="F30" s="260">
        <f t="shared" si="3"/>
        <v>1.6886754776452038</v>
      </c>
    </row>
    <row r="31" spans="1:6" s="429" customFormat="1" ht="18" customHeight="1">
      <c r="A31" s="650" t="s">
        <v>1171</v>
      </c>
      <c r="B31" s="664" t="s">
        <v>736</v>
      </c>
      <c r="C31" s="427">
        <f>SUM(C32,C33,C34)</f>
        <v>49180184</v>
      </c>
      <c r="D31" s="427">
        <f>SUM(D32,D33,D34)</f>
        <v>5688006.6</v>
      </c>
      <c r="E31" s="665">
        <f t="shared" si="2"/>
        <v>11.565647253373433</v>
      </c>
      <c r="F31" s="653">
        <f t="shared" si="3"/>
        <v>6.911715838122399</v>
      </c>
    </row>
    <row r="32" spans="1:6" s="271" customFormat="1" ht="18" customHeight="1">
      <c r="A32" s="656" t="s">
        <v>987</v>
      </c>
      <c r="B32" s="657" t="s">
        <v>1016</v>
      </c>
      <c r="C32" s="669">
        <f>SUM(9W!D719)</f>
        <v>43945800</v>
      </c>
      <c r="D32" s="669">
        <f>SUM(9W!E719)</f>
        <v>4243742.36</v>
      </c>
      <c r="E32" s="670">
        <f>D32*100/C32</f>
        <v>9.65676437793828</v>
      </c>
      <c r="F32" s="660">
        <f t="shared" si="3"/>
        <v>5.156734748254851</v>
      </c>
    </row>
    <row r="33" spans="1:6" s="271" customFormat="1" ht="18" customHeight="1">
      <c r="A33" s="656" t="s">
        <v>988</v>
      </c>
      <c r="B33" s="671" t="s">
        <v>993</v>
      </c>
      <c r="C33" s="669">
        <f>SUM(9W!D720)</f>
        <v>1755325</v>
      </c>
      <c r="D33" s="669">
        <f>SUM(9W!E720)</f>
        <v>754304.35</v>
      </c>
      <c r="E33" s="670">
        <f>D33*100/C33</f>
        <v>42.97234700126757</v>
      </c>
      <c r="F33" s="660">
        <f t="shared" si="3"/>
        <v>0.9165842604084922</v>
      </c>
    </row>
    <row r="34" spans="1:6" s="271" customFormat="1" ht="18" customHeight="1">
      <c r="A34" s="294" t="s">
        <v>991</v>
      </c>
      <c r="B34" s="672" t="s">
        <v>1054</v>
      </c>
      <c r="C34" s="514">
        <f>SUM(9W!D721)</f>
        <v>3479059</v>
      </c>
      <c r="D34" s="514">
        <f>SUM(9W!E721)</f>
        <v>689959.89</v>
      </c>
      <c r="E34" s="673">
        <f>D34*100/C34</f>
        <v>19.831796183968137</v>
      </c>
      <c r="F34" s="674">
        <f t="shared" si="3"/>
        <v>0.8383968294590568</v>
      </c>
    </row>
    <row r="35" spans="1:6" s="159" customFormat="1" ht="18" customHeight="1">
      <c r="A35" s="686" t="s">
        <v>1174</v>
      </c>
      <c r="B35" s="687" t="s">
        <v>1063</v>
      </c>
      <c r="C35" s="231">
        <f>C9-C20</f>
        <v>2252000</v>
      </c>
      <c r="D35" s="231">
        <f>D9-D20</f>
        <v>13217358.590000018</v>
      </c>
      <c r="E35" s="688" t="s">
        <v>1175</v>
      </c>
      <c r="F35" s="689" t="s">
        <v>1175</v>
      </c>
    </row>
    <row r="36" spans="1:6" s="159" customFormat="1" ht="18.75" customHeight="1">
      <c r="A36" s="686" t="s">
        <v>1184</v>
      </c>
      <c r="B36" s="687" t="s">
        <v>1355</v>
      </c>
      <c r="C36" s="231">
        <f>C37-C41</f>
        <v>-2252000</v>
      </c>
      <c r="D36" s="231">
        <f>D37-D41</f>
        <v>2256440.49</v>
      </c>
      <c r="E36" s="688" t="s">
        <v>1175</v>
      </c>
      <c r="F36" s="690" t="s">
        <v>1175</v>
      </c>
    </row>
    <row r="37" spans="1:6" s="159" customFormat="1" ht="18" customHeight="1">
      <c r="A37" s="679" t="s">
        <v>1170</v>
      </c>
      <c r="B37" s="680" t="s">
        <v>1158</v>
      </c>
      <c r="C37" s="413">
        <f>SUM(C38,C39,C40)</f>
        <v>6548000</v>
      </c>
      <c r="D37" s="413">
        <f>SUM(D38,D39,D40)</f>
        <v>6656440.49</v>
      </c>
      <c r="E37" s="682">
        <f aca="true" t="shared" si="4" ref="E37:E44">D37/C37*100</f>
        <v>101.65608567501528</v>
      </c>
      <c r="F37" s="691">
        <f>D37/D$37*100</f>
        <v>100</v>
      </c>
    </row>
    <row r="38" spans="1:6" s="159" customFormat="1" ht="18" customHeight="1" hidden="1">
      <c r="A38" s="679"/>
      <c r="B38" s="684" t="s">
        <v>463</v>
      </c>
      <c r="C38" s="259">
        <f>5PiR!D9</f>
        <v>0</v>
      </c>
      <c r="D38" s="259">
        <f>5PiR!E9</f>
        <v>0</v>
      </c>
      <c r="E38" s="668" t="e">
        <f t="shared" si="4"/>
        <v>#DIV/0!</v>
      </c>
      <c r="F38" s="260">
        <f>D38/D$37*100</f>
        <v>0</v>
      </c>
    </row>
    <row r="39" spans="1:6" s="159" customFormat="1" ht="18" customHeight="1" hidden="1">
      <c r="A39" s="679"/>
      <c r="B39" s="684" t="s">
        <v>1064</v>
      </c>
      <c r="C39" s="259">
        <f>5PiR!D10</f>
        <v>0</v>
      </c>
      <c r="D39" s="259">
        <f>5PiR!E10</f>
        <v>0</v>
      </c>
      <c r="E39" s="692" t="s">
        <v>1142</v>
      </c>
      <c r="F39" s="260">
        <f>D39/D$37*100</f>
        <v>0</v>
      </c>
    </row>
    <row r="40" spans="1:6" s="159" customFormat="1" ht="18" customHeight="1">
      <c r="A40" s="679"/>
      <c r="B40" s="684" t="s">
        <v>1266</v>
      </c>
      <c r="C40" s="259">
        <f>SUM(5PiR!D11)</f>
        <v>6548000</v>
      </c>
      <c r="D40" s="259">
        <f>SUM(5PiR!E11)</f>
        <v>6656440.49</v>
      </c>
      <c r="E40" s="668">
        <f t="shared" si="4"/>
        <v>101.65608567501528</v>
      </c>
      <c r="F40" s="260">
        <f>D40/D$37*100</f>
        <v>100</v>
      </c>
    </row>
    <row r="41" spans="1:6" s="159" customFormat="1" ht="18" customHeight="1">
      <c r="A41" s="679" t="s">
        <v>1171</v>
      </c>
      <c r="B41" s="680" t="s">
        <v>757</v>
      </c>
      <c r="C41" s="681">
        <f>SUM(C42,C43,C44)</f>
        <v>8800000</v>
      </c>
      <c r="D41" s="681">
        <f>SUM(D42,D43,D44)</f>
        <v>4400000</v>
      </c>
      <c r="E41" s="682">
        <f t="shared" si="4"/>
        <v>50</v>
      </c>
      <c r="F41" s="683">
        <f>D41/D$41*100</f>
        <v>100</v>
      </c>
    </row>
    <row r="42" spans="1:6" s="159" customFormat="1" ht="18" customHeight="1">
      <c r="A42" s="679"/>
      <c r="B42" s="684" t="s">
        <v>989</v>
      </c>
      <c r="C42" s="685">
        <f>SUM(5PiR!D15)</f>
        <v>2800000</v>
      </c>
      <c r="D42" s="685">
        <f>SUM(5PiR!E15)</f>
        <v>1400000</v>
      </c>
      <c r="E42" s="668">
        <f t="shared" si="4"/>
        <v>50</v>
      </c>
      <c r="F42" s="260">
        <f>D42/D$41*100</f>
        <v>31.818181818181817</v>
      </c>
    </row>
    <row r="43" spans="1:6" s="159" customFormat="1" ht="18" customHeight="1" hidden="1">
      <c r="A43" s="679"/>
      <c r="B43" s="684" t="s">
        <v>990</v>
      </c>
      <c r="C43" s="685">
        <f>SUM(5PiR!D13)</f>
        <v>0</v>
      </c>
      <c r="D43" s="685">
        <f>SUM(5PiR!E13)</f>
        <v>0</v>
      </c>
      <c r="E43" s="668" t="e">
        <f t="shared" si="4"/>
        <v>#DIV/0!</v>
      </c>
      <c r="F43" s="260">
        <f>D43/D$41*100</f>
        <v>0</v>
      </c>
    </row>
    <row r="44" spans="1:6" s="159" customFormat="1" ht="18" customHeight="1">
      <c r="A44" s="679"/>
      <c r="B44" s="684" t="s">
        <v>1070</v>
      </c>
      <c r="C44" s="685">
        <f>SUM(5PiR!D14)</f>
        <v>6000000</v>
      </c>
      <c r="D44" s="685">
        <f>SUM(5PiR!E14)</f>
        <v>3000000</v>
      </c>
      <c r="E44" s="668">
        <f t="shared" si="4"/>
        <v>50</v>
      </c>
      <c r="F44" s="260">
        <f>D44/D$41*100</f>
        <v>68.18181818181817</v>
      </c>
    </row>
    <row r="45" spans="1:6" s="159" customFormat="1" ht="0.75" customHeight="1" thickBot="1">
      <c r="A45" s="693"/>
      <c r="B45" s="694"/>
      <c r="C45" s="695"/>
      <c r="D45" s="695"/>
      <c r="E45" s="696"/>
      <c r="F45" s="697"/>
    </row>
    <row r="46" spans="1:5" s="159" customFormat="1" ht="14.25" customHeight="1">
      <c r="A46" s="242"/>
      <c r="B46" s="698"/>
      <c r="C46" s="699"/>
      <c r="D46" s="699"/>
      <c r="E46" s="246"/>
    </row>
    <row r="47" spans="1:5" s="159" customFormat="1" ht="15.75" customHeight="1">
      <c r="A47" s="166"/>
      <c r="B47" s="700" t="s">
        <v>996</v>
      </c>
      <c r="C47" s="71">
        <v>208778856.63</v>
      </c>
      <c r="D47" s="71">
        <v>95512504.01</v>
      </c>
      <c r="E47" s="404"/>
    </row>
    <row r="48" spans="1:5" s="159" customFormat="1" ht="15.75" customHeight="1">
      <c r="A48" s="166"/>
      <c r="B48" s="700" t="s">
        <v>997</v>
      </c>
      <c r="C48" s="701">
        <f>C9</f>
        <v>208778856.63</v>
      </c>
      <c r="D48" s="701">
        <f>D9</f>
        <v>95512504.01</v>
      </c>
      <c r="E48" s="404"/>
    </row>
    <row r="49" spans="1:5" s="159" customFormat="1" ht="15.75" customHeight="1" thickBot="1">
      <c r="A49" s="166"/>
      <c r="B49" s="700" t="s">
        <v>785</v>
      </c>
      <c r="C49" s="702">
        <f>C47-C48</f>
        <v>0</v>
      </c>
      <c r="D49" s="702">
        <f>D47-D48</f>
        <v>0</v>
      </c>
      <c r="E49" s="404"/>
    </row>
    <row r="50" spans="1:5" s="159" customFormat="1" ht="15.75" customHeight="1" thickTop="1">
      <c r="A50" s="166"/>
      <c r="B50" s="700"/>
      <c r="C50" s="703"/>
      <c r="D50" s="703"/>
      <c r="E50" s="404"/>
    </row>
    <row r="51" spans="1:5" s="159" customFormat="1" ht="15.75" customHeight="1">
      <c r="A51" s="166"/>
      <c r="B51" s="700" t="s">
        <v>995</v>
      </c>
      <c r="C51" s="703">
        <v>206526856.63</v>
      </c>
      <c r="D51" s="703">
        <v>82295145.42</v>
      </c>
      <c r="E51" s="404"/>
    </row>
    <row r="52" spans="1:5" s="159" customFormat="1" ht="15.75" customHeight="1">
      <c r="A52" s="166"/>
      <c r="B52" s="700" t="s">
        <v>997</v>
      </c>
      <c r="C52" s="704">
        <f>SUM(C20)</f>
        <v>206526856.63</v>
      </c>
      <c r="D52" s="704">
        <f>SUM(D20)</f>
        <v>82295145.41999999</v>
      </c>
      <c r="E52" s="404"/>
    </row>
    <row r="53" spans="1:5" s="159" customFormat="1" ht="13.5" thickBot="1">
      <c r="A53" s="166"/>
      <c r="B53" s="700" t="s">
        <v>785</v>
      </c>
      <c r="C53" s="705">
        <f>C51-C52</f>
        <v>0</v>
      </c>
      <c r="D53" s="705">
        <f>D51-D52</f>
        <v>0</v>
      </c>
      <c r="E53" s="404"/>
    </row>
    <row r="54" spans="2:4" ht="13.5" thickTop="1">
      <c r="B54" s="5"/>
      <c r="C54" s="4"/>
      <c r="D54" s="4"/>
    </row>
    <row r="55" spans="2:4" ht="12.75">
      <c r="B55" s="5"/>
      <c r="C55" s="4"/>
      <c r="D55" s="4"/>
    </row>
    <row r="56" spans="2:4" ht="12.75">
      <c r="B56" s="5"/>
      <c r="C56" s="4"/>
      <c r="D56" s="4"/>
    </row>
    <row r="57" spans="2:4" ht="12.75">
      <c r="B57" s="5"/>
      <c r="C57" s="4"/>
      <c r="D57" s="4"/>
    </row>
    <row r="58" spans="2:4" ht="12.75">
      <c r="B58" s="5"/>
      <c r="C58" s="4"/>
      <c r="D58" s="4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2.75">
      <c r="B66" s="5"/>
    </row>
    <row r="67" ht="12.75">
      <c r="B67" s="5"/>
    </row>
    <row r="68" ht="12.75">
      <c r="B68" s="5"/>
    </row>
    <row r="69" ht="12.75">
      <c r="B69" s="5"/>
    </row>
    <row r="70" ht="12.75">
      <c r="B70" s="5"/>
    </row>
    <row r="71" ht="12.75">
      <c r="B71" s="5"/>
    </row>
    <row r="72" ht="12.75">
      <c r="B72" s="5"/>
    </row>
    <row r="73" ht="12.75">
      <c r="B73" s="5"/>
    </row>
    <row r="74" ht="12.75">
      <c r="B74" s="5"/>
    </row>
    <row r="75" ht="12.75">
      <c r="B75" s="5"/>
    </row>
    <row r="76" ht="12.75">
      <c r="B76" s="5"/>
    </row>
    <row r="77" ht="12.75">
      <c r="B77" s="5"/>
    </row>
    <row r="78" ht="12.75">
      <c r="B78" s="5"/>
    </row>
    <row r="79" ht="12.75">
      <c r="B79" s="5"/>
    </row>
    <row r="80" ht="12.75">
      <c r="B80" s="5"/>
    </row>
    <row r="81" ht="12.75">
      <c r="B81" s="5"/>
    </row>
    <row r="82" ht="12.75">
      <c r="B82" s="5"/>
    </row>
    <row r="83" ht="12.75">
      <c r="B83" s="5"/>
    </row>
    <row r="84" ht="12.75">
      <c r="B84" s="5"/>
    </row>
    <row r="85" ht="12.75">
      <c r="B85" s="5"/>
    </row>
    <row r="86" ht="12.75">
      <c r="B86" s="5"/>
    </row>
    <row r="87" ht="12.75">
      <c r="B87" s="5"/>
    </row>
    <row r="88" ht="12.75">
      <c r="B88" s="5"/>
    </row>
    <row r="89" ht="12.75">
      <c r="B89" s="5"/>
    </row>
    <row r="90" ht="12.75">
      <c r="B90" s="5"/>
    </row>
    <row r="91" ht="12.75">
      <c r="B91" s="5"/>
    </row>
    <row r="92" ht="12.75">
      <c r="B92" s="5"/>
    </row>
    <row r="93" ht="12.75">
      <c r="B93" s="5"/>
    </row>
    <row r="94" ht="12.75">
      <c r="B94" s="5"/>
    </row>
    <row r="95" ht="12.75">
      <c r="B95" s="5"/>
    </row>
    <row r="96" ht="12.75">
      <c r="B96" s="5"/>
    </row>
    <row r="97" ht="12.75">
      <c r="B97" s="5"/>
    </row>
    <row r="98" ht="12.75">
      <c r="B98" s="5"/>
    </row>
    <row r="99" ht="12.75">
      <c r="B99" s="5"/>
    </row>
    <row r="100" ht="12.75">
      <c r="B100" s="5"/>
    </row>
    <row r="101" ht="12.75">
      <c r="B101" s="5"/>
    </row>
    <row r="102" ht="12.75">
      <c r="B102" s="5"/>
    </row>
    <row r="103" ht="12.75">
      <c r="B103" s="5"/>
    </row>
    <row r="104" ht="12.75">
      <c r="B104" s="5"/>
    </row>
    <row r="105" ht="12.75">
      <c r="B105" s="5"/>
    </row>
    <row r="106" ht="12.75">
      <c r="B106" s="5"/>
    </row>
    <row r="107" ht="12.75">
      <c r="B107" s="5"/>
    </row>
    <row r="108" ht="12.75">
      <c r="B108" s="5"/>
    </row>
    <row r="109" ht="12.75">
      <c r="B109" s="5"/>
    </row>
    <row r="110" ht="12.75">
      <c r="B110" s="5"/>
    </row>
    <row r="111" ht="12.75">
      <c r="B111" s="5"/>
    </row>
    <row r="112" ht="12.75">
      <c r="B112" s="5"/>
    </row>
    <row r="113" ht="12.75">
      <c r="B113" s="5"/>
    </row>
    <row r="114" ht="12.75">
      <c r="B114" s="5"/>
    </row>
    <row r="115" ht="12.75">
      <c r="B115" s="5"/>
    </row>
    <row r="116" ht="12.75">
      <c r="B116" s="5"/>
    </row>
    <row r="117" ht="12.75">
      <c r="B117" s="5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2.75">
      <c r="B125" s="5"/>
    </row>
    <row r="126" ht="12.75">
      <c r="B126" s="5"/>
    </row>
    <row r="127" ht="12.75">
      <c r="B127" s="5"/>
    </row>
    <row r="128" ht="12.75">
      <c r="B128" s="5"/>
    </row>
    <row r="129" ht="12.75">
      <c r="B129" s="5"/>
    </row>
    <row r="130" ht="12.75">
      <c r="B130" s="5"/>
    </row>
    <row r="131" ht="12.75">
      <c r="B131" s="5"/>
    </row>
    <row r="132" ht="12.75">
      <c r="B132" s="5"/>
    </row>
    <row r="133" ht="12.75">
      <c r="B133" s="5"/>
    </row>
    <row r="134" ht="12.75">
      <c r="B134" s="5"/>
    </row>
    <row r="135" ht="12.75">
      <c r="B135" s="5"/>
    </row>
    <row r="136" ht="12.75">
      <c r="B136" s="5"/>
    </row>
    <row r="137" ht="12.75">
      <c r="B137" s="5"/>
    </row>
    <row r="138" ht="12.75">
      <c r="B138" s="5"/>
    </row>
    <row r="139" ht="12.75">
      <c r="B139" s="5"/>
    </row>
    <row r="140" ht="12.75">
      <c r="B140" s="5"/>
    </row>
    <row r="141" ht="12.75">
      <c r="B141" s="5"/>
    </row>
    <row r="142" ht="12.75">
      <c r="B142" s="5"/>
    </row>
    <row r="143" ht="12.75">
      <c r="B143" s="5"/>
    </row>
  </sheetData>
  <sheetProtection password="CF93" sheet="1"/>
  <mergeCells count="8">
    <mergeCell ref="E1:F1"/>
    <mergeCell ref="A4:E4"/>
    <mergeCell ref="C6:D6"/>
    <mergeCell ref="A3:F3"/>
    <mergeCell ref="A6:A7"/>
    <mergeCell ref="B6:B7"/>
    <mergeCell ref="E6:E7"/>
    <mergeCell ref="F6:F7"/>
  </mergeCells>
  <printOptions/>
  <pageMargins left="0.984251968503937" right="0.90551181102362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L20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4.375" style="72" customWidth="1"/>
    <col min="2" max="2" width="27.625" style="73" customWidth="1"/>
    <col min="3" max="3" width="13.25390625" style="73" customWidth="1"/>
    <col min="4" max="4" width="13.625" style="73" customWidth="1"/>
    <col min="5" max="5" width="5.625" style="74" customWidth="1"/>
    <col min="6" max="7" width="13.375" style="73" customWidth="1"/>
    <col min="8" max="8" width="6.00390625" style="74" customWidth="1"/>
    <col min="9" max="9" width="14.375" style="73" customWidth="1"/>
    <col min="10" max="16384" width="9.125" style="73" customWidth="1"/>
  </cols>
  <sheetData>
    <row r="1" spans="7:8" ht="18.75" customHeight="1">
      <c r="G1" s="1342" t="s">
        <v>273</v>
      </c>
      <c r="H1" s="1342"/>
    </row>
    <row r="2" ht="26.25" customHeight="1"/>
    <row r="3" spans="1:10" ht="12.75">
      <c r="A3" s="1350" t="s">
        <v>1123</v>
      </c>
      <c r="B3" s="1350"/>
      <c r="C3" s="1350"/>
      <c r="D3" s="1350"/>
      <c r="E3" s="1350"/>
      <c r="F3" s="1350"/>
      <c r="G3" s="1350"/>
      <c r="H3" s="1350"/>
      <c r="I3" s="75"/>
      <c r="J3" s="75"/>
    </row>
    <row r="4" spans="1:8" ht="10.5" customHeight="1" thickBot="1">
      <c r="A4" s="76"/>
      <c r="B4" s="77"/>
      <c r="C4" s="77"/>
      <c r="D4" s="77"/>
      <c r="E4" s="77"/>
      <c r="F4" s="77"/>
      <c r="G4" s="77"/>
      <c r="H4" s="78" t="s">
        <v>818</v>
      </c>
    </row>
    <row r="5" spans="1:9" ht="15" customHeight="1">
      <c r="A5" s="1343" t="s">
        <v>1090</v>
      </c>
      <c r="B5" s="1345" t="s">
        <v>1193</v>
      </c>
      <c r="C5" s="1347" t="s">
        <v>1194</v>
      </c>
      <c r="D5" s="1348"/>
      <c r="E5" s="1348"/>
      <c r="F5" s="1347" t="s">
        <v>1159</v>
      </c>
      <c r="G5" s="1348"/>
      <c r="H5" s="1349"/>
      <c r="I5" s="117"/>
    </row>
    <row r="6" spans="1:8" ht="14.25" customHeight="1">
      <c r="A6" s="1344"/>
      <c r="B6" s="1346"/>
      <c r="C6" s="79" t="s">
        <v>1160</v>
      </c>
      <c r="D6" s="80" t="s">
        <v>822</v>
      </c>
      <c r="E6" s="80" t="s">
        <v>823</v>
      </c>
      <c r="F6" s="79" t="s">
        <v>1160</v>
      </c>
      <c r="G6" s="80" t="s">
        <v>822</v>
      </c>
      <c r="H6" s="81" t="s">
        <v>823</v>
      </c>
    </row>
    <row r="7" spans="1:8" s="85" customFormat="1" ht="11.25" thickBot="1">
      <c r="A7" s="82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4">
        <v>8</v>
      </c>
    </row>
    <row r="8" spans="1:8" ht="4.5" customHeight="1">
      <c r="A8" s="86"/>
      <c r="B8" s="87"/>
      <c r="C8" s="87"/>
      <c r="D8" s="87"/>
      <c r="E8" s="88"/>
      <c r="F8" s="120"/>
      <c r="G8" s="120"/>
      <c r="H8" s="121"/>
    </row>
    <row r="9" spans="1:8" ht="19.5" customHeight="1">
      <c r="A9" s="60" t="s">
        <v>824</v>
      </c>
      <c r="B9" s="87" t="s">
        <v>1195</v>
      </c>
      <c r="C9" s="42">
        <f>SUM(6D!E8,6D!E304)</f>
        <v>19106.63</v>
      </c>
      <c r="D9" s="42">
        <f>SUM(6D!F8,6D!F304)</f>
        <v>19106.63</v>
      </c>
      <c r="E9" s="89">
        <f>D9*100/C9</f>
        <v>100</v>
      </c>
      <c r="F9" s="42">
        <f>SUM(9W!D8)</f>
        <v>93373.63</v>
      </c>
      <c r="G9" s="42">
        <f>SUM(9W!E8)</f>
        <v>20834.809999999998</v>
      </c>
      <c r="H9" s="44">
        <f aca="true" t="shared" si="0" ref="H9:H21">G9*100/F9</f>
        <v>22.313376913803175</v>
      </c>
    </row>
    <row r="10" spans="1:8" ht="19.5" customHeight="1">
      <c r="A10" s="60" t="s">
        <v>826</v>
      </c>
      <c r="B10" s="87" t="s">
        <v>1196</v>
      </c>
      <c r="C10" s="42">
        <f>SUM(6D!E11)</f>
        <v>41500</v>
      </c>
      <c r="D10" s="42">
        <f>SUM(6D!F11)</f>
        <v>18738.399999999998</v>
      </c>
      <c r="E10" s="89">
        <f>D10*100/C10</f>
        <v>45.152771084337346</v>
      </c>
      <c r="F10" s="42">
        <f>SUM(9W!D21)</f>
        <v>36020</v>
      </c>
      <c r="G10" s="42">
        <f>SUM(9W!E21)</f>
        <v>0</v>
      </c>
      <c r="H10" s="44">
        <f t="shared" si="0"/>
        <v>0</v>
      </c>
    </row>
    <row r="11" spans="1:8" ht="27.75" customHeight="1">
      <c r="A11" s="60" t="s">
        <v>1241</v>
      </c>
      <c r="B11" s="90" t="s">
        <v>763</v>
      </c>
      <c r="C11" s="42">
        <f>6D!E16</f>
        <v>0</v>
      </c>
      <c r="D11" s="42">
        <f>6D!F16</f>
        <v>30536.51</v>
      </c>
      <c r="E11" s="89" t="s">
        <v>1142</v>
      </c>
      <c r="F11" s="42">
        <f>SUM(9W!D26)</f>
        <v>5451737</v>
      </c>
      <c r="G11" s="42">
        <f>SUM(9W!E26)</f>
        <v>2524859.39</v>
      </c>
      <c r="H11" s="44">
        <f>G11/F11*100</f>
        <v>46.31293457479699</v>
      </c>
    </row>
    <row r="12" spans="1:8" ht="19.5" customHeight="1">
      <c r="A12" s="60" t="s">
        <v>828</v>
      </c>
      <c r="B12" s="87" t="s">
        <v>1197</v>
      </c>
      <c r="C12" s="42">
        <v>0</v>
      </c>
      <c r="D12" s="42">
        <v>0</v>
      </c>
      <c r="E12" s="89" t="s">
        <v>1142</v>
      </c>
      <c r="F12" s="42">
        <f>SUM(9W!D31)</f>
        <v>400000</v>
      </c>
      <c r="G12" s="42">
        <f>SUM(9W!E31)</f>
        <v>171478.25</v>
      </c>
      <c r="H12" s="44">
        <f t="shared" si="0"/>
        <v>42.8695625</v>
      </c>
    </row>
    <row r="13" spans="1:8" ht="19.5" customHeight="1" hidden="1">
      <c r="A13" s="60" t="s">
        <v>1209</v>
      </c>
      <c r="B13" s="87" t="s">
        <v>1210</v>
      </c>
      <c r="C13" s="42">
        <f>SUM(6D!E19)</f>
        <v>0</v>
      </c>
      <c r="D13" s="42">
        <f>SUM(6D!F19)</f>
        <v>0</v>
      </c>
      <c r="E13" s="89" t="s">
        <v>1142</v>
      </c>
      <c r="F13" s="42">
        <v>0</v>
      </c>
      <c r="G13" s="42">
        <v>0</v>
      </c>
      <c r="H13" s="44" t="s">
        <v>1142</v>
      </c>
    </row>
    <row r="14" spans="1:8" ht="19.5" customHeight="1">
      <c r="A14" s="60" t="s">
        <v>902</v>
      </c>
      <c r="B14" s="87" t="s">
        <v>1187</v>
      </c>
      <c r="C14" s="42">
        <f>SUM(6D!E22,6D!E307)</f>
        <v>3306030</v>
      </c>
      <c r="D14" s="42">
        <f>SUM(6D!F22,6D!F307)</f>
        <v>361884.91000000003</v>
      </c>
      <c r="E14" s="89">
        <f>D14*100/C14</f>
        <v>10.946207687165574</v>
      </c>
      <c r="F14" s="42">
        <f>SUM(9W!D37,9W!D434)</f>
        <v>51629450</v>
      </c>
      <c r="G14" s="42">
        <f>SUM(9W!E37,9W!E434)</f>
        <v>17025477.72</v>
      </c>
      <c r="H14" s="44">
        <f t="shared" si="0"/>
        <v>32.97629108967847</v>
      </c>
    </row>
    <row r="15" spans="1:8" ht="19.5" customHeight="1">
      <c r="A15" s="60" t="s">
        <v>907</v>
      </c>
      <c r="B15" s="87" t="s">
        <v>1198</v>
      </c>
      <c r="C15" s="42">
        <f>SUM(6D!E38)</f>
        <v>2080000</v>
      </c>
      <c r="D15" s="42">
        <f>SUM(6D!F38)</f>
        <v>24382.12</v>
      </c>
      <c r="E15" s="89">
        <f>D15*100/C15</f>
        <v>1.1722173076923077</v>
      </c>
      <c r="F15" s="42">
        <f>SUM(9W!D56)</f>
        <v>5891100</v>
      </c>
      <c r="G15" s="42">
        <f>SUM(9W!E56)</f>
        <v>179577.26</v>
      </c>
      <c r="H15" s="44">
        <f t="shared" si="0"/>
        <v>3.048280626708085</v>
      </c>
    </row>
    <row r="16" spans="1:8" ht="19.5" customHeight="1">
      <c r="A16" s="60" t="s">
        <v>909</v>
      </c>
      <c r="B16" s="90" t="s">
        <v>1199</v>
      </c>
      <c r="C16" s="42">
        <f>SUM(6D!E51,6D!E323)</f>
        <v>36665100</v>
      </c>
      <c r="D16" s="42">
        <f>SUM(6D!F51,6D!F323)</f>
        <v>5990687.93</v>
      </c>
      <c r="E16" s="89">
        <f>D16*100/C16</f>
        <v>16.338937927347803</v>
      </c>
      <c r="F16" s="42">
        <f>SUM(9W!D66,9W!D443)</f>
        <v>5642256</v>
      </c>
      <c r="G16" s="42">
        <f>SUM(9W!E66,9W!E443)</f>
        <v>1414741.4799999997</v>
      </c>
      <c r="H16" s="44">
        <f t="shared" si="0"/>
        <v>25.074039178654775</v>
      </c>
    </row>
    <row r="17" spans="1:8" ht="19.5" customHeight="1">
      <c r="A17" s="60" t="s">
        <v>913</v>
      </c>
      <c r="B17" s="90" t="s">
        <v>1200</v>
      </c>
      <c r="C17" s="42">
        <f>SUM(6D!E70,6D!E327)</f>
        <v>603083</v>
      </c>
      <c r="D17" s="42">
        <f>SUM(6D!F70,6D!F327)</f>
        <v>340771.97</v>
      </c>
      <c r="E17" s="89">
        <f>D17*100/C17</f>
        <v>56.50498687577</v>
      </c>
      <c r="F17" s="42">
        <f>SUM(9W!D81,9W!D450)</f>
        <v>1986978</v>
      </c>
      <c r="G17" s="42">
        <f>SUM(9W!E81,9W!E450)</f>
        <v>415113.85000000003</v>
      </c>
      <c r="H17" s="44">
        <f t="shared" si="0"/>
        <v>20.89171847901688</v>
      </c>
    </row>
    <row r="18" spans="1:9" ht="19.5" customHeight="1">
      <c r="A18" s="60" t="s">
        <v>925</v>
      </c>
      <c r="B18" s="90" t="s">
        <v>1201</v>
      </c>
      <c r="C18" s="42">
        <f>SUM(6D!E78,6D!E335)</f>
        <v>2137689</v>
      </c>
      <c r="D18" s="42">
        <f>SUM(6D!F78,6D!F335)</f>
        <v>1650909.62</v>
      </c>
      <c r="E18" s="89">
        <f>D18/C18*100</f>
        <v>77.22870913402278</v>
      </c>
      <c r="F18" s="42">
        <f>SUM(9W!D97,9W!D465)</f>
        <v>17434001</v>
      </c>
      <c r="G18" s="42">
        <f>SUM(9W!E97,9W!E465)</f>
        <v>7394714.63</v>
      </c>
      <c r="H18" s="44">
        <f t="shared" si="0"/>
        <v>42.41547668834021</v>
      </c>
      <c r="I18" s="117"/>
    </row>
    <row r="19" spans="1:8" ht="39" customHeight="1">
      <c r="A19" s="60" t="s">
        <v>1162</v>
      </c>
      <c r="B19" s="90" t="s">
        <v>752</v>
      </c>
      <c r="C19" s="42">
        <f>SUM(6D!E101)</f>
        <v>99475</v>
      </c>
      <c r="D19" s="42">
        <f>SUM(6D!F101)</f>
        <v>95995</v>
      </c>
      <c r="E19" s="89">
        <f>D19/C19*100</f>
        <v>96.50163357627545</v>
      </c>
      <c r="F19" s="42">
        <f>SUM(9W!D134)</f>
        <v>99475</v>
      </c>
      <c r="G19" s="42">
        <f>SUM(9W!E134)</f>
        <v>31969.22</v>
      </c>
      <c r="H19" s="44">
        <f t="shared" si="0"/>
        <v>32.13794420708721</v>
      </c>
    </row>
    <row r="20" spans="1:8" ht="30" customHeight="1">
      <c r="A20" s="60" t="s">
        <v>940</v>
      </c>
      <c r="B20" s="90" t="s">
        <v>1202</v>
      </c>
      <c r="C20" s="42">
        <f>SUM(6D!E106,6D!E346)</f>
        <v>4105084</v>
      </c>
      <c r="D20" s="42">
        <f>SUM(6D!F106,6D!F346)</f>
        <v>2464749.59</v>
      </c>
      <c r="E20" s="89">
        <f>D20/C20*100</f>
        <v>60.04139233204484</v>
      </c>
      <c r="F20" s="42">
        <f>SUM(9W!D145,9W!D481)</f>
        <v>4657650</v>
      </c>
      <c r="G20" s="42">
        <f>SUM(9W!E145,9W!E481)</f>
        <v>2435704.6399999997</v>
      </c>
      <c r="H20" s="44">
        <f t="shared" si="0"/>
        <v>52.2947117108413</v>
      </c>
    </row>
    <row r="21" spans="1:8" ht="65.25" customHeight="1">
      <c r="A21" s="60" t="s">
        <v>1203</v>
      </c>
      <c r="B21" s="90" t="s">
        <v>762</v>
      </c>
      <c r="C21" s="42">
        <f>SUM(6D!E350,6D!E117)</f>
        <v>72566462</v>
      </c>
      <c r="D21" s="42">
        <f>SUM(6D!F350,6D!F117)</f>
        <v>36354035.62</v>
      </c>
      <c r="E21" s="89">
        <f>D21*100/C21</f>
        <v>50.09757209880233</v>
      </c>
      <c r="F21" s="42">
        <f>SUM(9W!D168)</f>
        <v>408000</v>
      </c>
      <c r="G21" s="42">
        <f>SUM(9W!E168)</f>
        <v>127041.99</v>
      </c>
      <c r="H21" s="44">
        <f t="shared" si="0"/>
        <v>31.137742647058822</v>
      </c>
    </row>
    <row r="22" spans="1:8" ht="19.5" customHeight="1">
      <c r="A22" s="60" t="s">
        <v>944</v>
      </c>
      <c r="B22" s="87" t="s">
        <v>1204</v>
      </c>
      <c r="C22" s="42">
        <v>0</v>
      </c>
      <c r="D22" s="42">
        <v>0</v>
      </c>
      <c r="E22" s="89" t="s">
        <v>1142</v>
      </c>
      <c r="F22" s="42">
        <f>SUM(9W!D174)</f>
        <v>3725000</v>
      </c>
      <c r="G22" s="42">
        <f>SUM(9W!E174)</f>
        <v>1389697.94</v>
      </c>
      <c r="H22" s="44">
        <f aca="true" t="shared" si="1" ref="H22:H31">G22*100/F22</f>
        <v>37.307327248322146</v>
      </c>
    </row>
    <row r="23" spans="1:8" ht="19.5" customHeight="1">
      <c r="A23" s="60" t="s">
        <v>945</v>
      </c>
      <c r="B23" s="87" t="s">
        <v>1205</v>
      </c>
      <c r="C23" s="42">
        <f>SUM(6D!E155,6D!E357)</f>
        <v>59643605</v>
      </c>
      <c r="D23" s="42">
        <f>SUM(6D!F155,6D!F357)</f>
        <v>32753883.630000003</v>
      </c>
      <c r="E23" s="89">
        <f aca="true" t="shared" si="2" ref="E23:E31">D23*100/C23</f>
        <v>54.91600252868687</v>
      </c>
      <c r="F23" s="42">
        <f>SUM(9W!D178)</f>
        <v>276129</v>
      </c>
      <c r="G23" s="42">
        <f>SUM(9W!E178)</f>
        <v>0</v>
      </c>
      <c r="H23" s="44">
        <f t="shared" si="1"/>
        <v>0</v>
      </c>
    </row>
    <row r="24" spans="1:9" ht="19.5" customHeight="1">
      <c r="A24" s="60" t="s">
        <v>947</v>
      </c>
      <c r="B24" s="87" t="s">
        <v>1188</v>
      </c>
      <c r="C24" s="42">
        <f>SUM(6D!E168,6D!E367)</f>
        <v>1238364</v>
      </c>
      <c r="D24" s="42">
        <f>SUM(6D!F168,6D!F367)</f>
        <v>2500</v>
      </c>
      <c r="E24" s="89">
        <f t="shared" si="2"/>
        <v>0.20187925359587328</v>
      </c>
      <c r="F24" s="42">
        <f>SUM(9W!D183,9W!D498)</f>
        <v>42646688</v>
      </c>
      <c r="G24" s="42">
        <f>SUM(9W!E183,9W!E498)</f>
        <v>22648275.599999998</v>
      </c>
      <c r="H24" s="44">
        <f t="shared" si="1"/>
        <v>53.10676317935874</v>
      </c>
      <c r="I24" s="1174"/>
    </row>
    <row r="25" spans="1:9" ht="19.5" customHeight="1">
      <c r="A25" s="60" t="s">
        <v>956</v>
      </c>
      <c r="B25" s="87" t="s">
        <v>1189</v>
      </c>
      <c r="C25" s="42">
        <f>SUM(6D!E188,6D!E376)</f>
        <v>841000</v>
      </c>
      <c r="D25" s="42">
        <f>SUM(6D!F188,6D!F376)</f>
        <v>480861.15</v>
      </c>
      <c r="E25" s="89">
        <f t="shared" si="2"/>
        <v>57.17730677764566</v>
      </c>
      <c r="F25" s="42">
        <f>SUM(9W!D236,9W!D544)</f>
        <v>2929400</v>
      </c>
      <c r="G25" s="42">
        <f>SUM(9W!E236,9W!E544)</f>
        <v>1174826.81</v>
      </c>
      <c r="H25" s="44">
        <f t="shared" si="1"/>
        <v>40.10469072164948</v>
      </c>
      <c r="I25" s="117"/>
    </row>
    <row r="26" spans="1:8" ht="19.5" customHeight="1">
      <c r="A26" s="60" t="s">
        <v>110</v>
      </c>
      <c r="B26" s="87" t="s">
        <v>126</v>
      </c>
      <c r="C26" s="42">
        <f>SUM(6D!E202,6D!E380)</f>
        <v>8723388</v>
      </c>
      <c r="D26" s="42">
        <f>SUM(6D!F202,6D!F380)</f>
        <v>4504042.99</v>
      </c>
      <c r="E26" s="89">
        <f t="shared" si="2"/>
        <v>51.63180853585786</v>
      </c>
      <c r="F26" s="42">
        <f>SUM(9W!D262,9W!D562)</f>
        <v>16488425</v>
      </c>
      <c r="G26" s="42">
        <f>SUM(9W!E262,9W!E562)</f>
        <v>7571582.090000001</v>
      </c>
      <c r="H26" s="44">
        <f t="shared" si="1"/>
        <v>45.92059029288729</v>
      </c>
    </row>
    <row r="27" spans="1:8" ht="27" customHeight="1">
      <c r="A27" s="60" t="s">
        <v>960</v>
      </c>
      <c r="B27" s="91" t="s">
        <v>760</v>
      </c>
      <c r="C27" s="42">
        <f>SUM(6D!E247,6D!E396)</f>
        <v>1346457</v>
      </c>
      <c r="D27" s="42">
        <f>SUM(6D!F247,6D!F396)</f>
        <v>1240215.94</v>
      </c>
      <c r="E27" s="89">
        <f t="shared" si="2"/>
        <v>92.10958389313583</v>
      </c>
      <c r="F27" s="42">
        <f>SUM(9W!D320,9W!D602)</f>
        <v>4194816</v>
      </c>
      <c r="G27" s="42">
        <f>SUM(9W!E320,9W!E602)</f>
        <v>2030791.0299999998</v>
      </c>
      <c r="H27" s="44">
        <f t="shared" si="1"/>
        <v>48.41192152409068</v>
      </c>
    </row>
    <row r="28" spans="1:8" ht="19.5" customHeight="1">
      <c r="A28" s="60" t="s">
        <v>970</v>
      </c>
      <c r="B28" s="87" t="s">
        <v>1206</v>
      </c>
      <c r="C28" s="42">
        <f>SUM(6D!E256,6D!E410)</f>
        <v>65206</v>
      </c>
      <c r="D28" s="42">
        <f>SUM(6D!F256,6D!F410)</f>
        <v>65206</v>
      </c>
      <c r="E28" s="89">
        <f t="shared" si="2"/>
        <v>100</v>
      </c>
      <c r="F28" s="42">
        <f>SUM(9W!D335,9W!D626)</f>
        <v>5909682</v>
      </c>
      <c r="G28" s="42">
        <f>SUM(9W!E335,9W!E626)</f>
        <v>2964273.26</v>
      </c>
      <c r="H28" s="44">
        <f t="shared" si="1"/>
        <v>50.159606895937884</v>
      </c>
    </row>
    <row r="29" spans="1:9" ht="27.75" customHeight="1">
      <c r="A29" s="60" t="s">
        <v>1049</v>
      </c>
      <c r="B29" s="90" t="s">
        <v>1190</v>
      </c>
      <c r="C29" s="42">
        <f>SUM(6D!E259,6D!E424)</f>
        <v>15249307</v>
      </c>
      <c r="D29" s="42">
        <f>SUM(6D!F259,6D!F424)</f>
        <v>9045685.36</v>
      </c>
      <c r="E29" s="89">
        <f t="shared" si="2"/>
        <v>59.318665169505735</v>
      </c>
      <c r="F29" s="42">
        <f>SUM(9W!D362,9W!D665)</f>
        <v>19266376</v>
      </c>
      <c r="G29" s="42">
        <f>SUM(9W!E362,9W!E665)</f>
        <v>5277289.09</v>
      </c>
      <c r="H29" s="44">
        <f t="shared" si="1"/>
        <v>27.391187060815174</v>
      </c>
      <c r="I29" s="117"/>
    </row>
    <row r="30" spans="1:9" ht="26.25" customHeight="1">
      <c r="A30" s="60" t="s">
        <v>1080</v>
      </c>
      <c r="B30" s="90" t="s">
        <v>1191</v>
      </c>
      <c r="C30" s="42">
        <f>6D!E281</f>
        <v>0</v>
      </c>
      <c r="D30" s="42">
        <f>6D!F281</f>
        <v>17788.21</v>
      </c>
      <c r="E30" s="89" t="s">
        <v>1142</v>
      </c>
      <c r="F30" s="42">
        <f>SUM(9W!D394)</f>
        <v>5085300</v>
      </c>
      <c r="G30" s="42">
        <f>SUM(9W!E394)</f>
        <v>3599045.2600000002</v>
      </c>
      <c r="H30" s="44">
        <f t="shared" si="1"/>
        <v>70.77350913417104</v>
      </c>
      <c r="I30" s="117"/>
    </row>
    <row r="31" spans="1:8" ht="19.5" customHeight="1" thickBot="1">
      <c r="A31" s="92" t="s">
        <v>1081</v>
      </c>
      <c r="B31" s="93" t="s">
        <v>1192</v>
      </c>
      <c r="C31" s="94">
        <f>SUM(6D!E290)</f>
        <v>48000</v>
      </c>
      <c r="D31" s="94">
        <f>SUM(6D!F290)</f>
        <v>50522.43</v>
      </c>
      <c r="E31" s="706">
        <f t="shared" si="2"/>
        <v>105.2550625</v>
      </c>
      <c r="F31" s="94">
        <f>SUM(9W!D420)</f>
        <v>12275000</v>
      </c>
      <c r="G31" s="94">
        <f>SUM(9W!E420)</f>
        <v>3897851.1</v>
      </c>
      <c r="H31" s="707">
        <f t="shared" si="1"/>
        <v>31.754387780040734</v>
      </c>
    </row>
    <row r="32" spans="1:8" ht="3" customHeight="1">
      <c r="A32" s="95"/>
      <c r="B32" s="96"/>
      <c r="C32" s="97"/>
      <c r="D32" s="97"/>
      <c r="E32" s="98"/>
      <c r="F32" s="97"/>
      <c r="G32" s="97"/>
      <c r="H32" s="122"/>
    </row>
    <row r="33" spans="1:8" s="124" customFormat="1" ht="21" customHeight="1" thickBot="1">
      <c r="A33" s="99"/>
      <c r="B33" s="100" t="s">
        <v>1207</v>
      </c>
      <c r="C33" s="101">
        <f>SUM(C9:C31)</f>
        <v>208778856.63</v>
      </c>
      <c r="D33" s="101">
        <f>SUM(D9:D31)</f>
        <v>95512504.01</v>
      </c>
      <c r="E33" s="102">
        <f>D33*100/C33</f>
        <v>45.74816892462833</v>
      </c>
      <c r="F33" s="101">
        <f>SUM(F9:F31)</f>
        <v>206526856.63</v>
      </c>
      <c r="G33" s="101">
        <f>SUM(G9:G31)</f>
        <v>82295145.42000002</v>
      </c>
      <c r="H33" s="123">
        <f>G33*100/F33</f>
        <v>39.84718828478304</v>
      </c>
    </row>
    <row r="34" spans="1:8" s="119" customFormat="1" ht="13.5" customHeight="1" hidden="1">
      <c r="A34" s="103"/>
      <c r="B34" s="104" t="s">
        <v>1185</v>
      </c>
      <c r="C34" s="105"/>
      <c r="D34" s="105"/>
      <c r="E34" s="106"/>
      <c r="F34" s="105"/>
      <c r="G34" s="105"/>
      <c r="H34" s="125"/>
    </row>
    <row r="35" spans="1:9" ht="15" customHeight="1" hidden="1">
      <c r="A35" s="107" t="s">
        <v>1170</v>
      </c>
      <c r="B35" s="108" t="s">
        <v>1028</v>
      </c>
      <c r="C35" s="43">
        <f>C33-C36-C37-C38</f>
        <v>197116793</v>
      </c>
      <c r="D35" s="43">
        <f>D33-D36-D37-D38</f>
        <v>89013348.32000001</v>
      </c>
      <c r="E35" s="109">
        <f>D35/C35*100</f>
        <v>45.15766869238787</v>
      </c>
      <c r="F35" s="43" t="e">
        <f>F33-F36-F37-F38</f>
        <v>#REF!</v>
      </c>
      <c r="G35" s="43" t="e">
        <f>G33-G36-G37-G38</f>
        <v>#REF!</v>
      </c>
      <c r="H35" s="8" t="e">
        <f>G35/F35*100</f>
        <v>#REF!</v>
      </c>
      <c r="I35" s="117"/>
    </row>
    <row r="36" spans="1:9" ht="28.5" customHeight="1" hidden="1">
      <c r="A36" s="107" t="s">
        <v>1171</v>
      </c>
      <c r="B36" s="110" t="s">
        <v>1032</v>
      </c>
      <c r="C36" s="43">
        <f>SUM(6D!E10,6D!E64,6D!E80,6D!E103,6D!E105,6D!E110,6D!E183,6D!E200,6D!E211,6D!E218,6D!E222,6D!E227,6D!E241,6D!E306,6D!E325,6D!E329,6D!E332,6D!E334,6D!E337,6D!E344,6D!E348,6D!E349,6D!E378,6D!E384,6D!E398)</f>
        <v>11543426.629999999</v>
      </c>
      <c r="D36" s="43">
        <f>SUM(6D!F10,6D!F64,6D!F80,6D!F103,6D!F105,6D!F110,6D!F183,6D!F200,6D!F211,6D!F218,6D!F222,6D!F227,6D!F241,6D!F306,6D!F325,6D!F329,6D!F332,6D!F334,6D!F337,6D!F344,6D!F348,6D!F349,6D!F378,6D!F384,6D!F398)</f>
        <v>6434207.63</v>
      </c>
      <c r="E36" s="109">
        <f>D36/C36*100</f>
        <v>55.73914779583955</v>
      </c>
      <c r="F36" s="43">
        <f>SUM('13DiW zlecone'!D58)</f>
        <v>11861548.629999999</v>
      </c>
      <c r="G36" s="43">
        <f>SUM('13DiW zlecone'!D59)</f>
        <v>5942947.26</v>
      </c>
      <c r="H36" s="8">
        <f>G36/F36*100</f>
        <v>50.102625258975145</v>
      </c>
      <c r="I36" s="117"/>
    </row>
    <row r="37" spans="1:12" ht="40.5" customHeight="1" hidden="1">
      <c r="A37" s="107" t="s">
        <v>1255</v>
      </c>
      <c r="B37" s="110" t="s">
        <v>1031</v>
      </c>
      <c r="C37" s="43">
        <f>SUM(6D!E65,6D!E201,6D!E184,6D!E244,6D!E320,6D!E345)</f>
        <v>44000</v>
      </c>
      <c r="D37" s="43">
        <f>SUM(6D!F65,6D!F201,6D!F184,6D!F244,6D!F320,6D!F345)</f>
        <v>36750</v>
      </c>
      <c r="E37" s="111">
        <f>D37/C37*100</f>
        <v>83.52272727272727</v>
      </c>
      <c r="F37" s="43" t="e">
        <f>SUM(#REF!)</f>
        <v>#REF!</v>
      </c>
      <c r="G37" s="43" t="e">
        <f>SUM(#REF!)</f>
        <v>#REF!</v>
      </c>
      <c r="H37" s="8" t="e">
        <f>G37/F37*100</f>
        <v>#REF!</v>
      </c>
      <c r="I37" s="126" t="e">
        <f>D37-G37</f>
        <v>#REF!</v>
      </c>
      <c r="J37" s="127"/>
      <c r="K37" s="127"/>
      <c r="L37" s="127"/>
    </row>
    <row r="38" spans="1:12" ht="51.75" customHeight="1" hidden="1" thickBot="1">
      <c r="A38" s="112" t="s">
        <v>1262</v>
      </c>
      <c r="B38" s="113" t="s">
        <v>1035</v>
      </c>
      <c r="C38" s="114">
        <f>SUM(6D!E115,6D!E387,6D!E417,6D!E419)</f>
        <v>74637</v>
      </c>
      <c r="D38" s="114">
        <f>SUM(6D!F115,6D!F387,6D!F417,6D!F419)</f>
        <v>28198.06</v>
      </c>
      <c r="E38" s="115">
        <f>D38/C38*100</f>
        <v>37.78026983935582</v>
      </c>
      <c r="F38" s="114">
        <f>SUM('15DiW porozumienia z jst'!D13)</f>
        <v>74637</v>
      </c>
      <c r="G38" s="114">
        <f>SUM('15DiW porozumienia z jst'!D14)</f>
        <v>28329.77</v>
      </c>
      <c r="H38" s="128">
        <f>G38/F38*100</f>
        <v>37.95673727507805</v>
      </c>
      <c r="I38" s="126"/>
      <c r="J38" s="127"/>
      <c r="K38" s="127"/>
      <c r="L38" s="127"/>
    </row>
    <row r="39" spans="1:10" ht="42" customHeight="1">
      <c r="A39" s="116"/>
      <c r="B39" s="72" t="s">
        <v>1036</v>
      </c>
      <c r="C39" s="71">
        <v>208778856.63</v>
      </c>
      <c r="D39" s="71">
        <v>95512504.01</v>
      </c>
      <c r="E39" s="117"/>
      <c r="F39" s="129">
        <v>206526856.63</v>
      </c>
      <c r="G39" s="129">
        <v>82295145.42</v>
      </c>
      <c r="H39" s="130">
        <f>G39/F39*100</f>
        <v>39.84718828478303</v>
      </c>
      <c r="I39" s="1341"/>
      <c r="J39" s="1341"/>
    </row>
    <row r="40" spans="1:8" ht="12.75">
      <c r="A40" s="116"/>
      <c r="B40" s="72" t="s">
        <v>785</v>
      </c>
      <c r="C40" s="117">
        <f>C33-C39</f>
        <v>0</v>
      </c>
      <c r="D40" s="117">
        <f>D33-D39</f>
        <v>0</v>
      </c>
      <c r="E40" s="118"/>
      <c r="F40" s="118">
        <f>F33-F39</f>
        <v>0</v>
      </c>
      <c r="G40" s="117">
        <f>G33-G39</f>
        <v>0</v>
      </c>
      <c r="H40" s="130"/>
    </row>
    <row r="41" spans="1:8" ht="12.75">
      <c r="A41" s="116"/>
      <c r="B41" s="72"/>
      <c r="C41" s="118"/>
      <c r="D41" s="118"/>
      <c r="E41" s="130"/>
      <c r="F41" s="118"/>
      <c r="G41" s="118"/>
      <c r="H41" s="130"/>
    </row>
    <row r="42" spans="1:8" ht="12.75" hidden="1">
      <c r="A42" s="116"/>
      <c r="B42" s="72"/>
      <c r="C42" s="118"/>
      <c r="D42" s="118"/>
      <c r="E42" s="130"/>
      <c r="F42" s="118"/>
      <c r="G42" s="118"/>
      <c r="H42" s="130"/>
    </row>
    <row r="43" spans="1:8" ht="12.75" hidden="1">
      <c r="A43" s="116"/>
      <c r="B43" s="72" t="s">
        <v>1230</v>
      </c>
      <c r="C43" s="117">
        <f>SUM(C35:C38)</f>
        <v>208778856.63</v>
      </c>
      <c r="D43" s="117">
        <f>SUM(D35:D38)</f>
        <v>95512504.01</v>
      </c>
      <c r="E43" s="117"/>
      <c r="F43" s="117" t="e">
        <f>SUM(F35:F38)</f>
        <v>#REF!</v>
      </c>
      <c r="G43" s="117" t="e">
        <f>SUM(G35:G38)</f>
        <v>#REF!</v>
      </c>
      <c r="H43" s="117"/>
    </row>
    <row r="44" spans="1:8" s="117" customFormat="1" ht="12.75" hidden="1">
      <c r="A44" s="131"/>
      <c r="B44" s="117" t="s">
        <v>785</v>
      </c>
      <c r="C44" s="117">
        <f>C43-C39</f>
        <v>0</v>
      </c>
      <c r="D44" s="117">
        <f>D43-D39</f>
        <v>0</v>
      </c>
      <c r="F44" s="117" t="e">
        <f>F43-F39</f>
        <v>#REF!</v>
      </c>
      <c r="G44" s="117" t="e">
        <f>G43-G39</f>
        <v>#REF!</v>
      </c>
      <c r="H44" s="132"/>
    </row>
    <row r="45" spans="1:8" ht="12.75" hidden="1">
      <c r="A45" s="116"/>
      <c r="B45" s="72"/>
      <c r="C45" s="118"/>
      <c r="D45" s="118"/>
      <c r="E45" s="130"/>
      <c r="F45" s="118"/>
      <c r="G45" s="118"/>
      <c r="H45" s="130"/>
    </row>
    <row r="46" spans="1:8" ht="12.75" hidden="1">
      <c r="A46" s="116"/>
      <c r="B46" s="72"/>
      <c r="C46" s="118"/>
      <c r="D46" s="118"/>
      <c r="E46" s="130"/>
      <c r="F46" s="118"/>
      <c r="G46" s="118"/>
      <c r="H46" s="130"/>
    </row>
    <row r="47" spans="1:8" ht="12.75">
      <c r="A47" s="116"/>
      <c r="B47" s="72"/>
      <c r="C47" s="118"/>
      <c r="D47" s="118"/>
      <c r="E47" s="130"/>
      <c r="F47" s="118"/>
      <c r="G47" s="118"/>
      <c r="H47" s="130"/>
    </row>
    <row r="48" spans="1:8" ht="12.75">
      <c r="A48" s="116"/>
      <c r="B48" s="72"/>
      <c r="C48" s="118"/>
      <c r="D48" s="118"/>
      <c r="E48" s="130"/>
      <c r="F48" s="118"/>
      <c r="G48" s="118"/>
      <c r="H48" s="130"/>
    </row>
    <row r="49" spans="1:8" ht="12.75">
      <c r="A49" s="116"/>
      <c r="B49" s="72"/>
      <c r="C49" s="118"/>
      <c r="D49" s="118"/>
      <c r="E49" s="130"/>
      <c r="F49" s="118"/>
      <c r="G49" s="118"/>
      <c r="H49" s="130"/>
    </row>
    <row r="50" spans="1:8" ht="12.75">
      <c r="A50" s="116"/>
      <c r="C50" s="118"/>
      <c r="D50" s="118"/>
      <c r="E50" s="130"/>
      <c r="F50" s="118"/>
      <c r="G50" s="118"/>
      <c r="H50" s="130"/>
    </row>
    <row r="51" spans="1:8" ht="12.75">
      <c r="A51" s="116"/>
      <c r="C51" s="118"/>
      <c r="D51" s="118"/>
      <c r="E51" s="130"/>
      <c r="F51" s="118"/>
      <c r="G51" s="118"/>
      <c r="H51" s="130"/>
    </row>
    <row r="52" spans="1:8" ht="12.75">
      <c r="A52" s="116"/>
      <c r="E52" s="130"/>
      <c r="F52" s="118"/>
      <c r="G52" s="118"/>
      <c r="H52" s="130"/>
    </row>
    <row r="53" spans="1:8" ht="12.75">
      <c r="A53" s="116"/>
      <c r="E53" s="130"/>
      <c r="F53" s="118"/>
      <c r="G53" s="118"/>
      <c r="H53" s="130"/>
    </row>
    <row r="54" spans="1:8" ht="12.75">
      <c r="A54" s="116"/>
      <c r="E54" s="130"/>
      <c r="F54" s="118"/>
      <c r="G54" s="118"/>
      <c r="H54" s="130"/>
    </row>
    <row r="55" spans="1:8" ht="12.75">
      <c r="A55" s="116"/>
      <c r="E55" s="130"/>
      <c r="F55" s="118"/>
      <c r="G55" s="118"/>
      <c r="H55" s="130"/>
    </row>
    <row r="56" spans="1:8" ht="12.75">
      <c r="A56" s="116"/>
      <c r="E56" s="130"/>
      <c r="F56" s="118"/>
      <c r="G56" s="118"/>
      <c r="H56" s="130"/>
    </row>
    <row r="57" spans="1:8" ht="12.75">
      <c r="A57" s="116"/>
      <c r="E57" s="130"/>
      <c r="F57" s="118"/>
      <c r="G57" s="118"/>
      <c r="H57" s="130"/>
    </row>
    <row r="58" spans="1:8" ht="12.75">
      <c r="A58" s="116"/>
      <c r="E58" s="130"/>
      <c r="F58" s="118"/>
      <c r="G58" s="118"/>
      <c r="H58" s="130"/>
    </row>
    <row r="59" spans="1:8" ht="12.75">
      <c r="A59" s="116"/>
      <c r="E59" s="130"/>
      <c r="F59" s="118"/>
      <c r="G59" s="118"/>
      <c r="H59" s="130"/>
    </row>
    <row r="60" spans="1:8" ht="12.75">
      <c r="A60" s="116"/>
      <c r="E60" s="130"/>
      <c r="F60" s="118"/>
      <c r="G60" s="118"/>
      <c r="H60" s="130"/>
    </row>
    <row r="61" spans="1:8" ht="12.75">
      <c r="A61" s="116"/>
      <c r="E61" s="130"/>
      <c r="F61" s="118"/>
      <c r="G61" s="118"/>
      <c r="H61" s="130"/>
    </row>
    <row r="62" spans="1:8" ht="12.75">
      <c r="A62" s="116"/>
      <c r="E62" s="130"/>
      <c r="F62" s="118"/>
      <c r="G62" s="118"/>
      <c r="H62" s="130"/>
    </row>
    <row r="63" spans="1:8" ht="12.75">
      <c r="A63" s="116"/>
      <c r="E63" s="130"/>
      <c r="F63" s="118"/>
      <c r="G63" s="118"/>
      <c r="H63" s="130"/>
    </row>
    <row r="64" spans="1:8" ht="12.75">
      <c r="A64" s="116"/>
      <c r="E64" s="130"/>
      <c r="F64" s="118"/>
      <c r="G64" s="118"/>
      <c r="H64" s="130"/>
    </row>
    <row r="65" spans="1:8" ht="12.75">
      <c r="A65" s="116"/>
      <c r="E65" s="130"/>
      <c r="F65" s="118"/>
      <c r="G65" s="118"/>
      <c r="H65" s="130"/>
    </row>
    <row r="66" spans="1:8" ht="12.75">
      <c r="A66" s="116"/>
      <c r="E66" s="130"/>
      <c r="F66" s="118"/>
      <c r="G66" s="118"/>
      <c r="H66" s="130"/>
    </row>
    <row r="67" spans="1:8" ht="12.75">
      <c r="A67" s="116"/>
      <c r="E67" s="130"/>
      <c r="F67" s="118"/>
      <c r="G67" s="118"/>
      <c r="H67" s="130"/>
    </row>
    <row r="68" spans="1:8" ht="12.75">
      <c r="A68" s="116"/>
      <c r="E68" s="130"/>
      <c r="F68" s="118"/>
      <c r="G68" s="118"/>
      <c r="H68" s="130"/>
    </row>
    <row r="69" spans="1:8" ht="12.75">
      <c r="A69" s="116"/>
      <c r="E69" s="130"/>
      <c r="F69" s="118"/>
      <c r="G69" s="118"/>
      <c r="H69" s="130"/>
    </row>
    <row r="70" spans="1:8" ht="12.75">
      <c r="A70" s="116"/>
      <c r="E70" s="130"/>
      <c r="F70" s="118"/>
      <c r="G70" s="118"/>
      <c r="H70" s="130"/>
    </row>
    <row r="71" spans="1:8" ht="12.75">
      <c r="A71" s="116"/>
      <c r="E71" s="130"/>
      <c r="F71" s="118"/>
      <c r="G71" s="118"/>
      <c r="H71" s="130"/>
    </row>
    <row r="72" spans="1:8" ht="12.75">
      <c r="A72" s="116"/>
      <c r="E72" s="130"/>
      <c r="F72" s="118"/>
      <c r="G72" s="118"/>
      <c r="H72" s="130"/>
    </row>
    <row r="73" spans="1:8" ht="12.75">
      <c r="A73" s="116"/>
      <c r="E73" s="130"/>
      <c r="F73" s="118"/>
      <c r="G73" s="118"/>
      <c r="H73" s="130"/>
    </row>
    <row r="74" spans="1:8" ht="12.75">
      <c r="A74" s="116"/>
      <c r="E74" s="130"/>
      <c r="F74" s="118"/>
      <c r="G74" s="118"/>
      <c r="H74" s="130"/>
    </row>
    <row r="75" spans="1:8" ht="12.75">
      <c r="A75" s="116"/>
      <c r="E75" s="130"/>
      <c r="F75" s="118"/>
      <c r="G75" s="118"/>
      <c r="H75" s="130"/>
    </row>
    <row r="76" spans="1:8" ht="12.75">
      <c r="A76" s="116"/>
      <c r="E76" s="130"/>
      <c r="F76" s="118"/>
      <c r="G76" s="118"/>
      <c r="H76" s="130"/>
    </row>
    <row r="77" spans="1:8" ht="12.75">
      <c r="A77" s="116"/>
      <c r="E77" s="130"/>
      <c r="F77" s="118"/>
      <c r="G77" s="118"/>
      <c r="H77" s="130"/>
    </row>
    <row r="78" spans="1:8" ht="12.75">
      <c r="A78" s="116"/>
      <c r="E78" s="130"/>
      <c r="F78" s="118"/>
      <c r="G78" s="118"/>
      <c r="H78" s="130"/>
    </row>
    <row r="79" spans="1:8" ht="12.75">
      <c r="A79" s="116"/>
      <c r="E79" s="130"/>
      <c r="F79" s="118"/>
      <c r="G79" s="118"/>
      <c r="H79" s="130"/>
    </row>
    <row r="80" spans="1:8" ht="12.75">
      <c r="A80" s="116"/>
      <c r="E80" s="130"/>
      <c r="F80" s="118"/>
      <c r="G80" s="118"/>
      <c r="H80" s="130"/>
    </row>
    <row r="81" spans="1:8" ht="12.75">
      <c r="A81" s="116"/>
      <c r="E81" s="130"/>
      <c r="F81" s="118"/>
      <c r="G81" s="118"/>
      <c r="H81" s="130"/>
    </row>
    <row r="82" spans="1:8" ht="12.75">
      <c r="A82" s="116"/>
      <c r="E82" s="130"/>
      <c r="F82" s="118"/>
      <c r="G82" s="118"/>
      <c r="H82" s="130"/>
    </row>
    <row r="83" spans="1:8" ht="12.75">
      <c r="A83" s="116"/>
      <c r="E83" s="130"/>
      <c r="F83" s="118"/>
      <c r="G83" s="118"/>
      <c r="H83" s="130"/>
    </row>
    <row r="84" spans="1:8" ht="12.75">
      <c r="A84" s="116"/>
      <c r="E84" s="130"/>
      <c r="F84" s="118"/>
      <c r="G84" s="118"/>
      <c r="H84" s="130"/>
    </row>
    <row r="85" spans="1:8" ht="12.75">
      <c r="A85" s="116"/>
      <c r="E85" s="130"/>
      <c r="F85" s="118"/>
      <c r="G85" s="118"/>
      <c r="H85" s="130"/>
    </row>
    <row r="86" spans="1:8" ht="12.75">
      <c r="A86" s="116"/>
      <c r="E86" s="130"/>
      <c r="F86" s="118"/>
      <c r="G86" s="118"/>
      <c r="H86" s="130"/>
    </row>
    <row r="87" spans="1:8" ht="12.75">
      <c r="A87" s="116"/>
      <c r="E87" s="130"/>
      <c r="H87" s="130"/>
    </row>
    <row r="88" spans="1:8" ht="12.75">
      <c r="A88" s="116"/>
      <c r="E88" s="130"/>
      <c r="H88" s="130"/>
    </row>
    <row r="89" spans="1:8" ht="12.75">
      <c r="A89" s="116"/>
      <c r="E89" s="130"/>
      <c r="H89" s="130"/>
    </row>
    <row r="90" spans="1:8" ht="12.75">
      <c r="A90" s="116"/>
      <c r="E90" s="130"/>
      <c r="H90" s="130"/>
    </row>
    <row r="91" spans="1:8" ht="12.75">
      <c r="A91" s="116"/>
      <c r="E91" s="130"/>
      <c r="H91" s="130"/>
    </row>
    <row r="92" spans="1:8" ht="12.75">
      <c r="A92" s="116"/>
      <c r="E92" s="130"/>
      <c r="H92" s="130"/>
    </row>
    <row r="93" spans="1:8" ht="12.75">
      <c r="A93" s="116"/>
      <c r="E93" s="130"/>
      <c r="H93" s="130"/>
    </row>
    <row r="94" spans="1:8" ht="12.75">
      <c r="A94" s="116"/>
      <c r="E94" s="130"/>
      <c r="H94" s="130"/>
    </row>
    <row r="95" spans="5:8" ht="12.75">
      <c r="E95" s="130"/>
      <c r="H95" s="130"/>
    </row>
    <row r="96" spans="5:8" ht="12.75">
      <c r="E96" s="130"/>
      <c r="H96" s="130"/>
    </row>
    <row r="97" spans="5:8" ht="12.75">
      <c r="E97" s="130"/>
      <c r="H97" s="130"/>
    </row>
    <row r="98" spans="5:8" ht="12.75">
      <c r="E98" s="130"/>
      <c r="H98" s="130"/>
    </row>
    <row r="99" spans="5:8" ht="12.75">
      <c r="E99" s="130"/>
      <c r="H99" s="130"/>
    </row>
    <row r="100" spans="5:8" ht="12.75">
      <c r="E100" s="130"/>
      <c r="H100" s="130"/>
    </row>
    <row r="101" spans="5:8" ht="12.75">
      <c r="E101" s="130"/>
      <c r="H101" s="130"/>
    </row>
    <row r="102" spans="5:8" ht="12.75">
      <c r="E102" s="130"/>
      <c r="H102" s="130"/>
    </row>
    <row r="103" spans="5:8" ht="12.75">
      <c r="E103" s="130"/>
      <c r="H103" s="130"/>
    </row>
    <row r="104" spans="5:8" ht="12.75">
      <c r="E104" s="130"/>
      <c r="H104" s="130"/>
    </row>
    <row r="105" spans="5:8" ht="12.75">
      <c r="E105" s="130"/>
      <c r="H105" s="130"/>
    </row>
    <row r="106" spans="5:8" ht="12.75">
      <c r="E106" s="130"/>
      <c r="H106" s="130"/>
    </row>
    <row r="107" spans="5:8" ht="12.75">
      <c r="E107" s="130"/>
      <c r="H107" s="130"/>
    </row>
    <row r="108" spans="5:8" ht="12.75">
      <c r="E108" s="130"/>
      <c r="H108" s="130"/>
    </row>
    <row r="109" spans="5:8" ht="12.75">
      <c r="E109" s="130"/>
      <c r="H109" s="130"/>
    </row>
    <row r="110" spans="5:8" ht="12.75">
      <c r="E110" s="130"/>
      <c r="H110" s="130"/>
    </row>
    <row r="111" spans="5:8" ht="12.75">
      <c r="E111" s="130"/>
      <c r="H111" s="130"/>
    </row>
    <row r="112" spans="5:8" ht="12.75">
      <c r="E112" s="130"/>
      <c r="H112" s="130"/>
    </row>
    <row r="113" spans="5:8" ht="12.75">
      <c r="E113" s="130"/>
      <c r="H113" s="130"/>
    </row>
    <row r="114" spans="5:8" ht="12.75">
      <c r="E114" s="130"/>
      <c r="H114" s="130"/>
    </row>
    <row r="115" spans="5:8" ht="12.75">
      <c r="E115" s="130"/>
      <c r="H115" s="130"/>
    </row>
    <row r="116" spans="5:8" ht="12.75">
      <c r="E116" s="130"/>
      <c r="H116" s="130"/>
    </row>
    <row r="117" spans="5:8" ht="12.75">
      <c r="E117" s="130"/>
      <c r="H117" s="130"/>
    </row>
    <row r="118" spans="5:8" ht="12.75">
      <c r="E118" s="130"/>
      <c r="H118" s="130"/>
    </row>
    <row r="119" spans="5:8" ht="12.75">
      <c r="E119" s="130"/>
      <c r="H119" s="130"/>
    </row>
    <row r="120" spans="5:8" ht="12.75">
      <c r="E120" s="130"/>
      <c r="H120" s="130"/>
    </row>
    <row r="121" spans="5:8" ht="12.75">
      <c r="E121" s="130"/>
      <c r="H121" s="130"/>
    </row>
    <row r="122" spans="5:8" ht="12.75">
      <c r="E122" s="130"/>
      <c r="H122" s="130"/>
    </row>
    <row r="123" spans="5:8" ht="12.75">
      <c r="E123" s="130"/>
      <c r="H123" s="130"/>
    </row>
    <row r="124" spans="5:8" ht="12.75">
      <c r="E124" s="130"/>
      <c r="H124" s="130"/>
    </row>
    <row r="125" spans="5:8" ht="12.75">
      <c r="E125" s="130"/>
      <c r="H125" s="130"/>
    </row>
    <row r="126" spans="5:8" ht="12.75">
      <c r="E126" s="130"/>
      <c r="H126" s="130"/>
    </row>
    <row r="127" spans="5:8" ht="12.75">
      <c r="E127" s="130"/>
      <c r="H127" s="130"/>
    </row>
    <row r="128" spans="5:8" ht="12.75">
      <c r="E128" s="130"/>
      <c r="H128" s="130"/>
    </row>
    <row r="129" spans="5:8" ht="12.75">
      <c r="E129" s="130"/>
      <c r="H129" s="130"/>
    </row>
    <row r="130" spans="5:8" ht="12.75">
      <c r="E130" s="130"/>
      <c r="H130" s="130"/>
    </row>
    <row r="131" spans="5:8" ht="12.75">
      <c r="E131" s="130"/>
      <c r="H131" s="130"/>
    </row>
    <row r="132" spans="5:8" ht="12.75">
      <c r="E132" s="130"/>
      <c r="H132" s="130"/>
    </row>
    <row r="133" spans="5:8" ht="12.75">
      <c r="E133" s="130"/>
      <c r="H133" s="130"/>
    </row>
    <row r="134" spans="5:8" ht="12.75">
      <c r="E134" s="130"/>
      <c r="H134" s="130"/>
    </row>
    <row r="135" spans="5:8" ht="12.75">
      <c r="E135" s="130"/>
      <c r="H135" s="130"/>
    </row>
    <row r="136" spans="5:8" ht="12.75">
      <c r="E136" s="130"/>
      <c r="H136" s="130"/>
    </row>
    <row r="137" spans="5:8" ht="12.75">
      <c r="E137" s="130"/>
      <c r="H137" s="130"/>
    </row>
    <row r="138" spans="5:8" ht="12.75">
      <c r="E138" s="130"/>
      <c r="H138" s="130"/>
    </row>
    <row r="139" spans="5:8" ht="12.75">
      <c r="E139" s="130"/>
      <c r="H139" s="130"/>
    </row>
    <row r="140" spans="5:8" ht="12.75">
      <c r="E140" s="130"/>
      <c r="H140" s="130"/>
    </row>
    <row r="141" spans="5:8" ht="12.75">
      <c r="E141" s="130"/>
      <c r="H141" s="130"/>
    </row>
    <row r="142" spans="5:8" ht="12.75">
      <c r="E142" s="130"/>
      <c r="H142" s="130"/>
    </row>
    <row r="143" spans="5:8" ht="12.75">
      <c r="E143" s="130"/>
      <c r="H143" s="130"/>
    </row>
    <row r="144" spans="5:8" ht="12.75">
      <c r="E144" s="130"/>
      <c r="H144" s="130"/>
    </row>
    <row r="145" spans="5:8" ht="12.75">
      <c r="E145" s="130"/>
      <c r="H145" s="130"/>
    </row>
    <row r="146" spans="5:8" ht="12.75">
      <c r="E146" s="130"/>
      <c r="H146" s="130"/>
    </row>
    <row r="147" spans="5:8" ht="12.75">
      <c r="E147" s="130"/>
      <c r="H147" s="130"/>
    </row>
    <row r="148" spans="5:8" ht="12.75">
      <c r="E148" s="130"/>
      <c r="H148" s="130"/>
    </row>
    <row r="149" spans="5:8" ht="12.75">
      <c r="E149" s="130"/>
      <c r="H149" s="130"/>
    </row>
    <row r="150" spans="5:8" ht="12.75">
      <c r="E150" s="130"/>
      <c r="H150" s="130"/>
    </row>
    <row r="151" spans="5:8" ht="12.75">
      <c r="E151" s="130"/>
      <c r="H151" s="130"/>
    </row>
    <row r="152" spans="5:8" ht="12.75">
      <c r="E152" s="130"/>
      <c r="H152" s="130"/>
    </row>
    <row r="153" spans="5:8" ht="12.75">
      <c r="E153" s="130"/>
      <c r="H153" s="130"/>
    </row>
    <row r="154" spans="5:8" ht="12.75">
      <c r="E154" s="130"/>
      <c r="H154" s="130"/>
    </row>
    <row r="155" spans="5:8" ht="12.75">
      <c r="E155" s="130"/>
      <c r="H155" s="130"/>
    </row>
    <row r="156" spans="5:8" ht="12.75">
      <c r="E156" s="130"/>
      <c r="H156" s="130"/>
    </row>
    <row r="157" spans="5:8" ht="12.75">
      <c r="E157" s="130"/>
      <c r="H157" s="130"/>
    </row>
    <row r="158" spans="5:8" ht="12.75">
      <c r="E158" s="130"/>
      <c r="H158" s="130"/>
    </row>
    <row r="159" spans="5:8" ht="12.75">
      <c r="E159" s="130"/>
      <c r="H159" s="130"/>
    </row>
    <row r="160" spans="5:8" ht="12.75">
      <c r="E160" s="130"/>
      <c r="H160" s="130"/>
    </row>
    <row r="161" spans="5:8" ht="12.75">
      <c r="E161" s="130"/>
      <c r="H161" s="130"/>
    </row>
    <row r="162" spans="5:8" ht="12.75">
      <c r="E162" s="130"/>
      <c r="H162" s="130"/>
    </row>
    <row r="163" spans="5:8" ht="12.75">
      <c r="E163" s="130"/>
      <c r="H163" s="130"/>
    </row>
    <row r="164" spans="5:8" ht="12.75">
      <c r="E164" s="130"/>
      <c r="H164" s="130"/>
    </row>
    <row r="165" spans="5:8" ht="12.75">
      <c r="E165" s="130"/>
      <c r="H165" s="130"/>
    </row>
    <row r="166" spans="5:8" ht="12.75">
      <c r="E166" s="130"/>
      <c r="H166" s="130"/>
    </row>
    <row r="167" spans="5:8" ht="12.75">
      <c r="E167" s="130"/>
      <c r="H167" s="130"/>
    </row>
    <row r="168" spans="5:8" ht="12.75">
      <c r="E168" s="130"/>
      <c r="H168" s="130"/>
    </row>
    <row r="169" spans="5:8" ht="12.75">
      <c r="E169" s="130"/>
      <c r="H169" s="130"/>
    </row>
    <row r="170" spans="5:8" ht="12.75">
      <c r="E170" s="130"/>
      <c r="H170" s="130"/>
    </row>
    <row r="171" spans="5:8" ht="12.75">
      <c r="E171" s="130"/>
      <c r="H171" s="130"/>
    </row>
    <row r="172" spans="5:8" ht="12.75">
      <c r="E172" s="130"/>
      <c r="H172" s="130"/>
    </row>
    <row r="173" spans="5:8" ht="12.75">
      <c r="E173" s="130"/>
      <c r="H173" s="130"/>
    </row>
    <row r="174" spans="5:8" ht="12.75">
      <c r="E174" s="130"/>
      <c r="H174" s="130"/>
    </row>
    <row r="175" spans="5:8" ht="12.75">
      <c r="E175" s="130"/>
      <c r="H175" s="130"/>
    </row>
    <row r="176" spans="5:8" ht="12.75">
      <c r="E176" s="130"/>
      <c r="H176" s="130"/>
    </row>
    <row r="177" spans="5:8" ht="12.75">
      <c r="E177" s="130"/>
      <c r="H177" s="130"/>
    </row>
    <row r="178" spans="5:8" ht="12.75">
      <c r="E178" s="130"/>
      <c r="H178" s="130"/>
    </row>
    <row r="179" spans="5:8" ht="12.75">
      <c r="E179" s="130"/>
      <c r="H179" s="130"/>
    </row>
    <row r="180" spans="5:8" ht="12.75">
      <c r="E180" s="130"/>
      <c r="H180" s="130"/>
    </row>
    <row r="181" spans="5:8" ht="12.75">
      <c r="E181" s="130"/>
      <c r="H181" s="130"/>
    </row>
    <row r="182" spans="5:8" ht="12.75">
      <c r="E182" s="130"/>
      <c r="H182" s="130"/>
    </row>
    <row r="183" spans="5:8" ht="12.75">
      <c r="E183" s="130"/>
      <c r="H183" s="130"/>
    </row>
    <row r="184" spans="5:8" ht="12.75">
      <c r="E184" s="130"/>
      <c r="H184" s="130"/>
    </row>
    <row r="185" spans="5:8" ht="12.75">
      <c r="E185" s="130"/>
      <c r="H185" s="130"/>
    </row>
    <row r="186" spans="5:8" ht="12.75">
      <c r="E186" s="130"/>
      <c r="H186" s="130"/>
    </row>
    <row r="187" spans="5:8" ht="12.75">
      <c r="E187" s="130"/>
      <c r="H187" s="130"/>
    </row>
    <row r="188" spans="5:8" ht="12.75">
      <c r="E188" s="130"/>
      <c r="H188" s="130"/>
    </row>
    <row r="189" spans="5:8" ht="12.75">
      <c r="E189" s="130"/>
      <c r="H189" s="130"/>
    </row>
    <row r="190" spans="5:8" ht="12.75">
      <c r="E190" s="130"/>
      <c r="H190" s="130"/>
    </row>
    <row r="191" spans="5:8" ht="12.75">
      <c r="E191" s="130"/>
      <c r="H191" s="130"/>
    </row>
    <row r="192" spans="5:8" ht="12.75">
      <c r="E192" s="130"/>
      <c r="H192" s="130"/>
    </row>
    <row r="193" spans="5:8" ht="12.75">
      <c r="E193" s="130"/>
      <c r="H193" s="130"/>
    </row>
    <row r="194" spans="5:8" ht="12.75">
      <c r="E194" s="130"/>
      <c r="H194" s="130"/>
    </row>
    <row r="195" spans="5:8" ht="12.75">
      <c r="E195" s="130"/>
      <c r="H195" s="130"/>
    </row>
    <row r="196" spans="5:8" ht="12.75">
      <c r="E196" s="130"/>
      <c r="H196" s="130"/>
    </row>
    <row r="197" spans="5:8" ht="12.75">
      <c r="E197" s="130"/>
      <c r="H197" s="130"/>
    </row>
    <row r="198" spans="5:8" ht="12.75">
      <c r="E198" s="130"/>
      <c r="H198" s="130"/>
    </row>
    <row r="199" spans="5:8" ht="12.75">
      <c r="E199" s="130"/>
      <c r="H199" s="130"/>
    </row>
    <row r="200" spans="5:8" ht="12.75">
      <c r="E200" s="130"/>
      <c r="H200" s="130"/>
    </row>
    <row r="201" spans="5:8" ht="12.75">
      <c r="E201" s="130"/>
      <c r="H201" s="130"/>
    </row>
    <row r="202" spans="5:8" ht="12.75">
      <c r="E202" s="130"/>
      <c r="H202" s="130"/>
    </row>
    <row r="203" spans="5:8" ht="12.75">
      <c r="E203" s="130"/>
      <c r="H203" s="130"/>
    </row>
    <row r="204" spans="5:8" ht="12.75">
      <c r="E204" s="130"/>
      <c r="H204" s="130"/>
    </row>
    <row r="205" ht="12.75">
      <c r="H205" s="130"/>
    </row>
  </sheetData>
  <sheetProtection password="CF93" sheet="1"/>
  <mergeCells count="7">
    <mergeCell ref="I39:J39"/>
    <mergeCell ref="G1:H1"/>
    <mergeCell ref="A5:A6"/>
    <mergeCell ref="B5:B6"/>
    <mergeCell ref="C5:E5"/>
    <mergeCell ref="F5:H5"/>
    <mergeCell ref="A3:H3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G17"/>
  <sheetViews>
    <sheetView showGridLines="0" view="pageBreakPreview" zoomScaleSheetLayoutView="100" zoomScalePageLayoutView="0" workbookViewId="0" topLeftCell="A1">
      <selection activeCell="J14" sqref="J14"/>
    </sheetView>
  </sheetViews>
  <sheetFormatPr defaultColWidth="9.00390625" defaultRowHeight="12.75"/>
  <cols>
    <col min="1" max="1" width="4.75390625" style="278" bestFit="1" customWidth="1"/>
    <col min="2" max="2" width="35.375" style="271" customWidth="1"/>
    <col min="3" max="3" width="11.25390625" style="271" customWidth="1"/>
    <col min="4" max="4" width="13.375" style="279" customWidth="1"/>
    <col min="5" max="5" width="13.00390625" style="279" customWidth="1"/>
    <col min="6" max="6" width="8.375" style="279" customWidth="1"/>
    <col min="7" max="7" width="12.00390625" style="271" customWidth="1"/>
    <col min="8" max="16384" width="9.125" style="271" customWidth="1"/>
  </cols>
  <sheetData>
    <row r="1" spans="5:6" ht="12.75">
      <c r="E1" s="1354" t="s">
        <v>1250</v>
      </c>
      <c r="F1" s="1354"/>
    </row>
    <row r="2" spans="5:6" ht="23.25" customHeight="1">
      <c r="E2" s="280"/>
      <c r="F2" s="280"/>
    </row>
    <row r="3" spans="1:6" ht="12" customHeight="1">
      <c r="A3" s="1351" t="s">
        <v>919</v>
      </c>
      <c r="B3" s="1351"/>
      <c r="C3" s="1351"/>
      <c r="D3" s="1351"/>
      <c r="E3" s="1351"/>
      <c r="F3" s="1351"/>
    </row>
    <row r="4" spans="1:6" ht="4.5" customHeight="1">
      <c r="A4" s="281"/>
      <c r="B4" s="281"/>
      <c r="C4" s="281"/>
      <c r="D4" s="282"/>
      <c r="E4" s="282"/>
      <c r="F4" s="282"/>
    </row>
    <row r="5" ht="12" customHeight="1" thickBot="1">
      <c r="F5" s="279" t="s">
        <v>818</v>
      </c>
    </row>
    <row r="6" spans="1:6" ht="31.5" customHeight="1">
      <c r="A6" s="283" t="s">
        <v>1167</v>
      </c>
      <c r="B6" s="284" t="s">
        <v>820</v>
      </c>
      <c r="C6" s="285" t="s">
        <v>1075</v>
      </c>
      <c r="D6" s="285" t="s">
        <v>821</v>
      </c>
      <c r="E6" s="284" t="s">
        <v>822</v>
      </c>
      <c r="F6" s="286" t="s">
        <v>823</v>
      </c>
    </row>
    <row r="7" spans="1:6" s="290" customFormat="1" ht="12" customHeight="1" thickBot="1">
      <c r="A7" s="287">
        <v>1</v>
      </c>
      <c r="B7" s="288">
        <v>2</v>
      </c>
      <c r="C7" s="288">
        <v>3</v>
      </c>
      <c r="D7" s="288">
        <v>4</v>
      </c>
      <c r="E7" s="288">
        <v>5</v>
      </c>
      <c r="F7" s="289">
        <v>6</v>
      </c>
    </row>
    <row r="8" spans="1:6" ht="24.75" customHeight="1">
      <c r="A8" s="291" t="s">
        <v>154</v>
      </c>
      <c r="B8" s="1352" t="s">
        <v>920</v>
      </c>
      <c r="C8" s="1353"/>
      <c r="D8" s="292">
        <f>SUM(D9,D10,D11)</f>
        <v>6548000</v>
      </c>
      <c r="E8" s="292">
        <f>SUM(E9,E10,E11)</f>
        <v>6656440.49</v>
      </c>
      <c r="F8" s="293">
        <f aca="true" t="shared" si="0" ref="F8:F16">E8/D8*100</f>
        <v>101.65608567501528</v>
      </c>
    </row>
    <row r="9" spans="1:7" ht="33.75" customHeight="1" hidden="1">
      <c r="A9" s="294" t="s">
        <v>1170</v>
      </c>
      <c r="B9" s="295" t="s">
        <v>87</v>
      </c>
      <c r="C9" s="296" t="s">
        <v>86</v>
      </c>
      <c r="D9" s="297"/>
      <c r="E9" s="297"/>
      <c r="F9" s="298" t="e">
        <f t="shared" si="0"/>
        <v>#DIV/0!</v>
      </c>
      <c r="G9" s="270">
        <f aca="true" t="shared" si="1" ref="G9:G17">E9-D9</f>
        <v>0</v>
      </c>
    </row>
    <row r="10" spans="1:7" ht="33.75" customHeight="1" hidden="1">
      <c r="A10" s="294" t="s">
        <v>1255</v>
      </c>
      <c r="B10" s="295" t="s">
        <v>461</v>
      </c>
      <c r="C10" s="296" t="s">
        <v>462</v>
      </c>
      <c r="D10" s="297">
        <v>0</v>
      </c>
      <c r="E10" s="297"/>
      <c r="F10" s="298">
        <v>0</v>
      </c>
      <c r="G10" s="270">
        <f t="shared" si="1"/>
        <v>0</v>
      </c>
    </row>
    <row r="11" spans="1:7" ht="34.5" customHeight="1" thickBot="1">
      <c r="A11" s="294" t="s">
        <v>1170</v>
      </c>
      <c r="B11" s="266" t="s">
        <v>587</v>
      </c>
      <c r="C11" s="267" t="s">
        <v>1076</v>
      </c>
      <c r="D11" s="268">
        <v>6548000</v>
      </c>
      <c r="E11" s="268">
        <v>6656440.49</v>
      </c>
      <c r="F11" s="269">
        <f t="shared" si="0"/>
        <v>101.65608567501528</v>
      </c>
      <c r="G11" s="270">
        <f t="shared" si="1"/>
        <v>108440.49000000022</v>
      </c>
    </row>
    <row r="12" spans="1:7" ht="24.75" customHeight="1">
      <c r="A12" s="291" t="s">
        <v>155</v>
      </c>
      <c r="B12" s="1352" t="s">
        <v>921</v>
      </c>
      <c r="C12" s="1353"/>
      <c r="D12" s="292">
        <f>SUM(D13,D14,D15)</f>
        <v>8800000</v>
      </c>
      <c r="E12" s="292">
        <f>SUM(E13,E14,E15)</f>
        <v>4400000</v>
      </c>
      <c r="F12" s="293">
        <f t="shared" si="0"/>
        <v>50</v>
      </c>
      <c r="G12" s="270">
        <f t="shared" si="1"/>
        <v>-4400000</v>
      </c>
    </row>
    <row r="13" spans="1:7" ht="54.75" customHeight="1" hidden="1">
      <c r="A13" s="265" t="s">
        <v>1170</v>
      </c>
      <c r="B13" s="266" t="s">
        <v>1348</v>
      </c>
      <c r="C13" s="267" t="s">
        <v>1344</v>
      </c>
      <c r="D13" s="268"/>
      <c r="E13" s="268"/>
      <c r="F13" s="269" t="e">
        <f t="shared" si="0"/>
        <v>#DIV/0!</v>
      </c>
      <c r="G13" s="270">
        <f t="shared" si="1"/>
        <v>0</v>
      </c>
    </row>
    <row r="14" spans="1:7" ht="33" customHeight="1">
      <c r="A14" s="265" t="s">
        <v>1170</v>
      </c>
      <c r="B14" s="266" t="s">
        <v>586</v>
      </c>
      <c r="C14" s="267" t="s">
        <v>1078</v>
      </c>
      <c r="D14" s="268">
        <v>6000000</v>
      </c>
      <c r="E14" s="268">
        <v>3000000</v>
      </c>
      <c r="F14" s="269">
        <f t="shared" si="0"/>
        <v>50</v>
      </c>
      <c r="G14" s="270">
        <f t="shared" si="1"/>
        <v>-3000000</v>
      </c>
    </row>
    <row r="15" spans="1:7" ht="43.5" customHeight="1">
      <c r="A15" s="265" t="s">
        <v>1171</v>
      </c>
      <c r="B15" s="266" t="s">
        <v>356</v>
      </c>
      <c r="C15" s="267" t="s">
        <v>1077</v>
      </c>
      <c r="D15" s="268">
        <f>SUM(D16,D17)</f>
        <v>2800000</v>
      </c>
      <c r="E15" s="268">
        <v>1400000</v>
      </c>
      <c r="F15" s="269">
        <f t="shared" si="0"/>
        <v>50</v>
      </c>
      <c r="G15" s="270">
        <f t="shared" si="1"/>
        <v>-1400000</v>
      </c>
    </row>
    <row r="16" spans="1:7" s="277" customFormat="1" ht="19.5" customHeight="1" thickBot="1">
      <c r="A16" s="272" t="s">
        <v>1345</v>
      </c>
      <c r="B16" s="273" t="s">
        <v>1034</v>
      </c>
      <c r="C16" s="274" t="s">
        <v>1077</v>
      </c>
      <c r="D16" s="275">
        <v>2800000</v>
      </c>
      <c r="E16" s="275">
        <v>1400000</v>
      </c>
      <c r="F16" s="276">
        <f t="shared" si="0"/>
        <v>50</v>
      </c>
      <c r="G16" s="270">
        <f t="shared" si="1"/>
        <v>-1400000</v>
      </c>
    </row>
    <row r="17" spans="1:7" s="303" customFormat="1" ht="19.5" customHeight="1" hidden="1" thickBot="1">
      <c r="A17" s="299" t="s">
        <v>1346</v>
      </c>
      <c r="B17" s="300" t="s">
        <v>1033</v>
      </c>
      <c r="C17" s="301" t="s">
        <v>1077</v>
      </c>
      <c r="D17" s="275">
        <v>0</v>
      </c>
      <c r="E17" s="275">
        <v>0</v>
      </c>
      <c r="F17" s="302" t="s">
        <v>1142</v>
      </c>
      <c r="G17" s="270">
        <f t="shared" si="1"/>
        <v>0</v>
      </c>
    </row>
  </sheetData>
  <sheetProtection password="CF93" sheet="1"/>
  <mergeCells count="4">
    <mergeCell ref="A3:F3"/>
    <mergeCell ref="B8:C8"/>
    <mergeCell ref="E1:F1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H578"/>
  <sheetViews>
    <sheetView view="pageBreakPreview" zoomScaleSheetLayoutView="100" zoomScalePageLayoutView="0" workbookViewId="0" topLeftCell="A102">
      <selection activeCell="D104" sqref="D104"/>
    </sheetView>
  </sheetViews>
  <sheetFormatPr defaultColWidth="9.00390625" defaultRowHeight="12.75"/>
  <cols>
    <col min="1" max="1" width="5.625" style="331" customWidth="1"/>
    <col min="2" max="2" width="6.375" style="331" customWidth="1"/>
    <col min="3" max="3" width="5.125" style="331" customWidth="1"/>
    <col min="4" max="4" width="40.25390625" style="332" customWidth="1"/>
    <col min="5" max="5" width="13.375" style="36" customWidth="1"/>
    <col min="6" max="6" width="13.00390625" style="36" customWidth="1"/>
    <col min="7" max="7" width="6.375" style="322" customWidth="1"/>
    <col min="8" max="8" width="9.125" style="36" customWidth="1"/>
    <col min="9" max="9" width="29.875" style="36" customWidth="1"/>
    <col min="10" max="16384" width="9.125" style="36" customWidth="1"/>
  </cols>
  <sheetData>
    <row r="1" spans="1:7" s="159" customFormat="1" ht="12.75">
      <c r="A1" s="157"/>
      <c r="B1" s="157"/>
      <c r="C1" s="157"/>
      <c r="D1" s="158"/>
      <c r="E1" s="158"/>
      <c r="F1" s="1328" t="s">
        <v>628</v>
      </c>
      <c r="G1" s="1328"/>
    </row>
    <row r="2" spans="1:7" s="159" customFormat="1" ht="17.25" customHeight="1">
      <c r="A2" s="157"/>
      <c r="B2" s="157"/>
      <c r="C2" s="157"/>
      <c r="E2" s="158"/>
      <c r="G2" s="160"/>
    </row>
    <row r="3" spans="1:7" s="161" customFormat="1" ht="16.5" customHeight="1">
      <c r="A3" s="1329" t="s">
        <v>1124</v>
      </c>
      <c r="B3" s="1329"/>
      <c r="C3" s="1329"/>
      <c r="D3" s="1329"/>
      <c r="E3" s="1329"/>
      <c r="F3" s="1329"/>
      <c r="G3" s="1329"/>
    </row>
    <row r="4" spans="1:7" s="159" customFormat="1" ht="13.5" thickBot="1">
      <c r="A4" s="157"/>
      <c r="B4" s="157"/>
      <c r="C4" s="157"/>
      <c r="D4" s="158"/>
      <c r="G4" s="160"/>
    </row>
    <row r="5" spans="1:7" s="166" customFormat="1" ht="15" customHeight="1">
      <c r="A5" s="162" t="s">
        <v>1090</v>
      </c>
      <c r="B5" s="163" t="s">
        <v>819</v>
      </c>
      <c r="C5" s="163" t="s">
        <v>1095</v>
      </c>
      <c r="D5" s="163" t="s">
        <v>820</v>
      </c>
      <c r="E5" s="133" t="s">
        <v>821</v>
      </c>
      <c r="F5" s="164" t="s">
        <v>822</v>
      </c>
      <c r="G5" s="165" t="s">
        <v>823</v>
      </c>
    </row>
    <row r="6" spans="1:7" s="172" customFormat="1" ht="13.5" customHeight="1" thickBot="1">
      <c r="A6" s="167">
        <v>1</v>
      </c>
      <c r="B6" s="168">
        <v>2</v>
      </c>
      <c r="C6" s="168">
        <v>3</v>
      </c>
      <c r="D6" s="168">
        <v>4</v>
      </c>
      <c r="E6" s="169">
        <v>5</v>
      </c>
      <c r="F6" s="170">
        <v>6</v>
      </c>
      <c r="G6" s="171">
        <v>7</v>
      </c>
    </row>
    <row r="7" spans="1:7" s="58" customFormat="1" ht="22.5" customHeight="1">
      <c r="A7" s="1355" t="s">
        <v>1100</v>
      </c>
      <c r="B7" s="1356"/>
      <c r="C7" s="1356"/>
      <c r="D7" s="1357"/>
      <c r="E7" s="56">
        <f>SUM(E8,E11,E16,E19,E22,E38,E51,E70,E78,E101,E106,E117,E155,E168,E188,E202,E247,E256,E259,E281,E290)</f>
        <v>148016319.63</v>
      </c>
      <c r="F7" s="56">
        <f>SUM(F8,F11,F16,F19,F22,F38,F51,F70,F78,F101,F106,F117,F155,F168,F188,F202,F247,F256,F259,F281,F290)</f>
        <v>64804664.910000004</v>
      </c>
      <c r="G7" s="57">
        <f aca="true" t="shared" si="0" ref="G7:G14">F7/E7*100</f>
        <v>43.78210799457371</v>
      </c>
    </row>
    <row r="8" spans="1:7" s="16" customFormat="1" ht="16.5" customHeight="1">
      <c r="A8" s="11" t="s">
        <v>824</v>
      </c>
      <c r="B8" s="12"/>
      <c r="C8" s="12"/>
      <c r="D8" s="13" t="s">
        <v>315</v>
      </c>
      <c r="E8" s="14">
        <f>SUM(E9)</f>
        <v>19106.63</v>
      </c>
      <c r="F8" s="14">
        <f>SUM(F9)</f>
        <v>19106.63</v>
      </c>
      <c r="G8" s="15">
        <f t="shared" si="0"/>
        <v>100</v>
      </c>
    </row>
    <row r="9" spans="1:7" s="22" customFormat="1" ht="19.5" customHeight="1">
      <c r="A9" s="17"/>
      <c r="B9" s="18" t="s">
        <v>320</v>
      </c>
      <c r="C9" s="18"/>
      <c r="D9" s="19" t="s">
        <v>825</v>
      </c>
      <c r="E9" s="20">
        <f>SUM(E10)</f>
        <v>19106.63</v>
      </c>
      <c r="F9" s="20">
        <f>SUM(F10)</f>
        <v>19106.63</v>
      </c>
      <c r="G9" s="21">
        <f t="shared" si="0"/>
        <v>100</v>
      </c>
    </row>
    <row r="10" spans="1:7" s="28" customFormat="1" ht="55.5" customHeight="1">
      <c r="A10" s="23"/>
      <c r="B10" s="24"/>
      <c r="C10" s="25">
        <v>2010</v>
      </c>
      <c r="D10" s="26" t="s">
        <v>1221</v>
      </c>
      <c r="E10" s="7">
        <v>19106.63</v>
      </c>
      <c r="F10" s="7">
        <v>19106.63</v>
      </c>
      <c r="G10" s="27">
        <f t="shared" si="0"/>
        <v>100</v>
      </c>
    </row>
    <row r="11" spans="1:7" s="32" customFormat="1" ht="18" customHeight="1">
      <c r="A11" s="11" t="s">
        <v>826</v>
      </c>
      <c r="B11" s="29"/>
      <c r="C11" s="29"/>
      <c r="D11" s="30" t="s">
        <v>1096</v>
      </c>
      <c r="E11" s="31">
        <f>SUM(E12)</f>
        <v>41500</v>
      </c>
      <c r="F11" s="31">
        <f>SUM(F12)</f>
        <v>18738.399999999998</v>
      </c>
      <c r="G11" s="15">
        <f t="shared" si="0"/>
        <v>45.152771084337346</v>
      </c>
    </row>
    <row r="12" spans="1:7" ht="21" customHeight="1">
      <c r="A12" s="17"/>
      <c r="B12" s="33" t="s">
        <v>827</v>
      </c>
      <c r="C12" s="33"/>
      <c r="D12" s="34" t="s">
        <v>825</v>
      </c>
      <c r="E12" s="35">
        <f>SUM(E13,E14,E15)</f>
        <v>41500</v>
      </c>
      <c r="F12" s="35">
        <f>SUM(F13,F14,F15)</f>
        <v>18738.399999999998</v>
      </c>
      <c r="G12" s="21">
        <f t="shared" si="0"/>
        <v>45.152771084337346</v>
      </c>
    </row>
    <row r="13" spans="1:7" s="40" customFormat="1" ht="21" customHeight="1">
      <c r="A13" s="23"/>
      <c r="B13" s="37"/>
      <c r="C13" s="37" t="s">
        <v>49</v>
      </c>
      <c r="D13" s="38" t="s">
        <v>1099</v>
      </c>
      <c r="E13" s="39">
        <v>1500</v>
      </c>
      <c r="F13" s="39">
        <v>931.61</v>
      </c>
      <c r="G13" s="27">
        <f t="shared" si="0"/>
        <v>62.10733333333334</v>
      </c>
    </row>
    <row r="14" spans="1:7" s="40" customFormat="1" ht="21" customHeight="1">
      <c r="A14" s="23"/>
      <c r="B14" s="37"/>
      <c r="C14" s="37" t="s">
        <v>1</v>
      </c>
      <c r="D14" s="41" t="s">
        <v>0</v>
      </c>
      <c r="E14" s="39">
        <v>40000</v>
      </c>
      <c r="F14" s="39">
        <v>17732.85</v>
      </c>
      <c r="G14" s="27">
        <f t="shared" si="0"/>
        <v>44.332125</v>
      </c>
    </row>
    <row r="15" spans="1:7" s="40" customFormat="1" ht="21" customHeight="1">
      <c r="A15" s="23"/>
      <c r="B15" s="37"/>
      <c r="C15" s="37" t="s">
        <v>46</v>
      </c>
      <c r="D15" s="41" t="s">
        <v>1103</v>
      </c>
      <c r="E15" s="39">
        <v>0</v>
      </c>
      <c r="F15" s="39">
        <v>73.94</v>
      </c>
      <c r="G15" s="27" t="s">
        <v>1142</v>
      </c>
    </row>
    <row r="16" spans="1:7" s="32" customFormat="1" ht="29.25" customHeight="1">
      <c r="A16" s="11" t="s">
        <v>1241</v>
      </c>
      <c r="B16" s="29"/>
      <c r="C16" s="29"/>
      <c r="D16" s="45" t="s">
        <v>1341</v>
      </c>
      <c r="E16" s="31">
        <f>SUM(E17)</f>
        <v>0</v>
      </c>
      <c r="F16" s="31">
        <f>SUM(F17)</f>
        <v>30536.51</v>
      </c>
      <c r="G16" s="15" t="s">
        <v>1142</v>
      </c>
    </row>
    <row r="17" spans="1:7" ht="21" customHeight="1">
      <c r="A17" s="17"/>
      <c r="B17" s="33" t="s">
        <v>323</v>
      </c>
      <c r="C17" s="33"/>
      <c r="D17" s="34" t="s">
        <v>324</v>
      </c>
      <c r="E17" s="35">
        <f>SUM(E18,E19,E20)</f>
        <v>0</v>
      </c>
      <c r="F17" s="35">
        <f>SUM(F18,F19,F20)</f>
        <v>30536.51</v>
      </c>
      <c r="G17" s="21" t="s">
        <v>1142</v>
      </c>
    </row>
    <row r="18" spans="1:7" s="40" customFormat="1" ht="21" customHeight="1">
      <c r="A18" s="23"/>
      <c r="B18" s="37"/>
      <c r="C18" s="37" t="s">
        <v>47</v>
      </c>
      <c r="D18" s="38" t="s">
        <v>1102</v>
      </c>
      <c r="E18" s="39">
        <v>0</v>
      </c>
      <c r="F18" s="39">
        <v>30536.51</v>
      </c>
      <c r="G18" s="27" t="s">
        <v>1142</v>
      </c>
    </row>
    <row r="19" spans="1:7" s="32" customFormat="1" ht="19.5" customHeight="1" hidden="1">
      <c r="A19" s="11" t="s">
        <v>1209</v>
      </c>
      <c r="B19" s="29"/>
      <c r="C19" s="29"/>
      <c r="D19" s="30" t="s">
        <v>1212</v>
      </c>
      <c r="E19" s="31">
        <f>E21</f>
        <v>0</v>
      </c>
      <c r="F19" s="31">
        <f>F20</f>
        <v>0</v>
      </c>
      <c r="G19" s="15" t="s">
        <v>1142</v>
      </c>
    </row>
    <row r="20" spans="1:7" ht="21.75" customHeight="1" hidden="1">
      <c r="A20" s="17"/>
      <c r="B20" s="33" t="s">
        <v>51</v>
      </c>
      <c r="C20" s="33"/>
      <c r="D20" s="34" t="s">
        <v>52</v>
      </c>
      <c r="E20" s="42">
        <f>E21</f>
        <v>0</v>
      </c>
      <c r="F20" s="35">
        <f>F21</f>
        <v>0</v>
      </c>
      <c r="G20" s="21" t="s">
        <v>1142</v>
      </c>
    </row>
    <row r="21" spans="1:7" s="40" customFormat="1" ht="29.25" customHeight="1" hidden="1">
      <c r="A21" s="23"/>
      <c r="B21" s="37"/>
      <c r="C21" s="37" t="s">
        <v>53</v>
      </c>
      <c r="D21" s="41" t="s">
        <v>1235</v>
      </c>
      <c r="E21" s="43">
        <v>0</v>
      </c>
      <c r="F21" s="39"/>
      <c r="G21" s="27" t="s">
        <v>1142</v>
      </c>
    </row>
    <row r="22" spans="1:7" ht="19.5" customHeight="1">
      <c r="A22" s="11" t="s">
        <v>902</v>
      </c>
      <c r="B22" s="29"/>
      <c r="C22" s="29"/>
      <c r="D22" s="45" t="s">
        <v>903</v>
      </c>
      <c r="E22" s="46">
        <f>SUM(E23,E29)</f>
        <v>128510</v>
      </c>
      <c r="F22" s="47">
        <f>SUM(F23,F29)</f>
        <v>69514.03000000001</v>
      </c>
      <c r="G22" s="15">
        <f>F22/E22*100</f>
        <v>54.0923118823438</v>
      </c>
    </row>
    <row r="23" spans="1:7" ht="19.5" customHeight="1">
      <c r="A23" s="17"/>
      <c r="B23" s="33" t="s">
        <v>905</v>
      </c>
      <c r="C23" s="33"/>
      <c r="D23" s="19" t="s">
        <v>906</v>
      </c>
      <c r="E23" s="42">
        <f>SUM(E24,E25,E26,E27,E28)</f>
        <v>0</v>
      </c>
      <c r="F23" s="42">
        <f>SUM(F24,F25,F26,F27,F28)</f>
        <v>1961.63</v>
      </c>
      <c r="G23" s="44" t="s">
        <v>1142</v>
      </c>
    </row>
    <row r="24" spans="1:7" s="40" customFormat="1" ht="27" customHeight="1">
      <c r="A24" s="23"/>
      <c r="B24" s="37"/>
      <c r="C24" s="37" t="s">
        <v>48</v>
      </c>
      <c r="D24" s="41" t="s">
        <v>741</v>
      </c>
      <c r="E24" s="43">
        <v>0</v>
      </c>
      <c r="F24" s="43">
        <v>1400</v>
      </c>
      <c r="G24" s="44" t="s">
        <v>1142</v>
      </c>
    </row>
    <row r="25" spans="1:7" ht="27.75" customHeight="1">
      <c r="A25" s="23"/>
      <c r="B25" s="37"/>
      <c r="C25" s="37" t="s">
        <v>740</v>
      </c>
      <c r="D25" s="41" t="s">
        <v>739</v>
      </c>
      <c r="E25" s="43">
        <v>0</v>
      </c>
      <c r="F25" s="39">
        <v>246.66</v>
      </c>
      <c r="G25" s="27" t="s">
        <v>1142</v>
      </c>
    </row>
    <row r="26" spans="1:7" s="40" customFormat="1" ht="20.25" customHeight="1" hidden="1">
      <c r="A26" s="23"/>
      <c r="B26" s="37"/>
      <c r="C26" s="37" t="s">
        <v>1</v>
      </c>
      <c r="D26" s="41" t="s">
        <v>0</v>
      </c>
      <c r="E26" s="39"/>
      <c r="F26" s="39"/>
      <c r="G26" s="21" t="s">
        <v>1142</v>
      </c>
    </row>
    <row r="27" spans="1:7" s="40" customFormat="1" ht="20.25" customHeight="1" hidden="1">
      <c r="A27" s="23"/>
      <c r="B27" s="37"/>
      <c r="C27" s="37" t="s">
        <v>46</v>
      </c>
      <c r="D27" s="41" t="s">
        <v>1103</v>
      </c>
      <c r="E27" s="39">
        <v>0</v>
      </c>
      <c r="F27" s="39">
        <v>0</v>
      </c>
      <c r="G27" s="21" t="s">
        <v>1142</v>
      </c>
    </row>
    <row r="28" spans="1:7" s="40" customFormat="1" ht="20.25" customHeight="1">
      <c r="A28" s="23"/>
      <c r="B28" s="37"/>
      <c r="C28" s="37" t="s">
        <v>47</v>
      </c>
      <c r="D28" s="41" t="s">
        <v>1102</v>
      </c>
      <c r="E28" s="39">
        <v>0</v>
      </c>
      <c r="F28" s="39">
        <v>314.97</v>
      </c>
      <c r="G28" s="21" t="s">
        <v>1142</v>
      </c>
    </row>
    <row r="29" spans="1:7" ht="21.75" customHeight="1">
      <c r="A29" s="17"/>
      <c r="B29" s="48" t="s">
        <v>1256</v>
      </c>
      <c r="C29" s="33"/>
      <c r="D29" s="19" t="s">
        <v>1257</v>
      </c>
      <c r="E29" s="20">
        <f>SUM(E30,E31,E32,E33,E34,E36)</f>
        <v>128510</v>
      </c>
      <c r="F29" s="20">
        <f>SUM(F30,F31,F32,F33,F34,F36)</f>
        <v>67552.40000000001</v>
      </c>
      <c r="G29" s="21">
        <f>F29/E29*100</f>
        <v>52.56587036028325</v>
      </c>
    </row>
    <row r="30" spans="1:7" ht="27.75" customHeight="1" hidden="1">
      <c r="A30" s="23"/>
      <c r="B30" s="37"/>
      <c r="C30" s="37" t="s">
        <v>740</v>
      </c>
      <c r="D30" s="41" t="s">
        <v>739</v>
      </c>
      <c r="E30" s="43">
        <v>0</v>
      </c>
      <c r="F30" s="39">
        <v>0</v>
      </c>
      <c r="G30" s="27" t="s">
        <v>1142</v>
      </c>
    </row>
    <row r="31" spans="1:7" s="40" customFormat="1" ht="21" customHeight="1" hidden="1">
      <c r="A31" s="23"/>
      <c r="B31" s="37"/>
      <c r="C31" s="37" t="s">
        <v>49</v>
      </c>
      <c r="D31" s="38" t="s">
        <v>1099</v>
      </c>
      <c r="E31" s="39">
        <v>0</v>
      </c>
      <c r="F31" s="39">
        <v>0</v>
      </c>
      <c r="G31" s="27" t="e">
        <f>F31/E31*100</f>
        <v>#DIV/0!</v>
      </c>
    </row>
    <row r="32" spans="1:7" s="40" customFormat="1" ht="66" customHeight="1">
      <c r="A32" s="54"/>
      <c r="B32" s="55"/>
      <c r="C32" s="52" t="s">
        <v>50</v>
      </c>
      <c r="D32" s="26" t="s">
        <v>130</v>
      </c>
      <c r="E32" s="53">
        <v>128510</v>
      </c>
      <c r="F32" s="53">
        <v>67110.71</v>
      </c>
      <c r="G32" s="27">
        <f>F32/E32*100</f>
        <v>52.222169480974244</v>
      </c>
    </row>
    <row r="33" spans="1:7" s="40" customFormat="1" ht="21" customHeight="1">
      <c r="A33" s="23"/>
      <c r="B33" s="37"/>
      <c r="C33" s="37" t="s">
        <v>46</v>
      </c>
      <c r="D33" s="41" t="s">
        <v>1103</v>
      </c>
      <c r="E33" s="39">
        <v>0</v>
      </c>
      <c r="F33" s="39">
        <v>441.69</v>
      </c>
      <c r="G33" s="27" t="s">
        <v>1142</v>
      </c>
    </row>
    <row r="34" spans="1:7" s="40" customFormat="1" ht="54.75" customHeight="1" hidden="1">
      <c r="A34" s="23"/>
      <c r="B34" s="318"/>
      <c r="C34" s="37" t="s">
        <v>713</v>
      </c>
      <c r="D34" s="41" t="s">
        <v>142</v>
      </c>
      <c r="E34" s="7">
        <v>0</v>
      </c>
      <c r="F34" s="7">
        <v>0</v>
      </c>
      <c r="G34" s="27" t="e">
        <f>F34/E34*100</f>
        <v>#DIV/0!</v>
      </c>
    </row>
    <row r="35" spans="1:7" s="40" customFormat="1" ht="66.75" customHeight="1" hidden="1">
      <c r="A35" s="23"/>
      <c r="B35" s="318"/>
      <c r="C35" s="37"/>
      <c r="D35" s="26" t="s">
        <v>216</v>
      </c>
      <c r="E35" s="7"/>
      <c r="F35" s="7"/>
      <c r="G35" s="27"/>
    </row>
    <row r="36" spans="1:7" s="40" customFormat="1" ht="54" customHeight="1" hidden="1">
      <c r="A36" s="23"/>
      <c r="B36" s="318"/>
      <c r="C36" s="37" t="s">
        <v>637</v>
      </c>
      <c r="D36" s="41" t="s">
        <v>142</v>
      </c>
      <c r="E36" s="7">
        <v>0</v>
      </c>
      <c r="F36" s="7">
        <v>0</v>
      </c>
      <c r="G36" s="27" t="e">
        <f>F36/E36*100</f>
        <v>#DIV/0!</v>
      </c>
    </row>
    <row r="37" spans="1:7" s="40" customFormat="1" ht="66.75" customHeight="1" hidden="1">
      <c r="A37" s="23"/>
      <c r="B37" s="318"/>
      <c r="C37" s="37"/>
      <c r="D37" s="26" t="s">
        <v>227</v>
      </c>
      <c r="E37" s="7"/>
      <c r="F37" s="7"/>
      <c r="G37" s="27"/>
    </row>
    <row r="38" spans="1:7" s="32" customFormat="1" ht="19.5" customHeight="1">
      <c r="A38" s="11" t="s">
        <v>907</v>
      </c>
      <c r="B38" s="29"/>
      <c r="C38" s="29"/>
      <c r="D38" s="45" t="s">
        <v>908</v>
      </c>
      <c r="E38" s="31">
        <f>SUM(E39,E45)</f>
        <v>2080000</v>
      </c>
      <c r="F38" s="31">
        <f>SUM(F39,F45)</f>
        <v>24382.12</v>
      </c>
      <c r="G38" s="15">
        <f>F38/E38*100</f>
        <v>1.1722173076923077</v>
      </c>
    </row>
    <row r="39" spans="1:7" ht="16.5" customHeight="1">
      <c r="A39" s="17"/>
      <c r="B39" s="33" t="s">
        <v>1237</v>
      </c>
      <c r="C39" s="33"/>
      <c r="D39" s="19" t="s">
        <v>1238</v>
      </c>
      <c r="E39" s="35">
        <f>SUM(E40,E41,E42,E43)</f>
        <v>20000</v>
      </c>
      <c r="F39" s="35">
        <f>SUM(F40,F41,F42,F43)</f>
        <v>9654.16</v>
      </c>
      <c r="G39" s="21">
        <f>F39/E39*100</f>
        <v>48.270799999999994</v>
      </c>
    </row>
    <row r="40" spans="1:7" ht="21" customHeight="1">
      <c r="A40" s="23"/>
      <c r="B40" s="37"/>
      <c r="C40" s="37" t="s">
        <v>1</v>
      </c>
      <c r="D40" s="41" t="s">
        <v>0</v>
      </c>
      <c r="E40" s="39">
        <v>0</v>
      </c>
      <c r="F40" s="39">
        <v>266.51</v>
      </c>
      <c r="G40" s="27" t="s">
        <v>1142</v>
      </c>
    </row>
    <row r="41" spans="1:7" s="40" customFormat="1" ht="21" customHeight="1">
      <c r="A41" s="23"/>
      <c r="B41" s="37"/>
      <c r="C41" s="37" t="s">
        <v>46</v>
      </c>
      <c r="D41" s="41" t="s">
        <v>1103</v>
      </c>
      <c r="E41" s="39">
        <v>0</v>
      </c>
      <c r="F41" s="39">
        <v>9.23</v>
      </c>
      <c r="G41" s="27" t="s">
        <v>1142</v>
      </c>
    </row>
    <row r="42" spans="1:7" s="40" customFormat="1" ht="21" customHeight="1">
      <c r="A42" s="23"/>
      <c r="B42" s="24"/>
      <c r="C42" s="24" t="s">
        <v>47</v>
      </c>
      <c r="D42" s="49" t="s">
        <v>1102</v>
      </c>
      <c r="E42" s="50">
        <v>0</v>
      </c>
      <c r="F42" s="50">
        <v>9378.42</v>
      </c>
      <c r="G42" s="27" t="s">
        <v>1142</v>
      </c>
    </row>
    <row r="43" spans="1:7" s="40" customFormat="1" ht="54" customHeight="1">
      <c r="A43" s="23"/>
      <c r="B43" s="37"/>
      <c r="C43" s="37" t="s">
        <v>485</v>
      </c>
      <c r="D43" s="41" t="s">
        <v>1140</v>
      </c>
      <c r="E43" s="1361">
        <v>20000</v>
      </c>
      <c r="F43" s="1361">
        <v>0</v>
      </c>
      <c r="G43" s="1362" t="s">
        <v>1142</v>
      </c>
    </row>
    <row r="44" spans="1:7" s="40" customFormat="1" ht="69" customHeight="1">
      <c r="A44" s="23"/>
      <c r="B44" s="37"/>
      <c r="C44" s="37"/>
      <c r="D44" s="26" t="s">
        <v>143</v>
      </c>
      <c r="E44" s="1361"/>
      <c r="F44" s="1361"/>
      <c r="G44" s="1362"/>
    </row>
    <row r="45" spans="1:7" s="40" customFormat="1" ht="18" customHeight="1">
      <c r="A45" s="17"/>
      <c r="B45" s="33" t="s">
        <v>337</v>
      </c>
      <c r="C45" s="33"/>
      <c r="D45" s="19" t="s">
        <v>825</v>
      </c>
      <c r="E45" s="35">
        <f>SUM(E46,E47,E48,E50)</f>
        <v>2060000</v>
      </c>
      <c r="F45" s="35">
        <f>SUM(F46,F47,F48,F50)</f>
        <v>14727.96</v>
      </c>
      <c r="G45" s="21">
        <f>F45/E45*100</f>
        <v>0.7149495145631067</v>
      </c>
    </row>
    <row r="46" spans="1:7" s="40" customFormat="1" ht="29.25" customHeight="1" hidden="1">
      <c r="A46" s="23"/>
      <c r="B46" s="37"/>
      <c r="C46" s="37" t="s">
        <v>48</v>
      </c>
      <c r="D46" s="41" t="s">
        <v>741</v>
      </c>
      <c r="E46" s="39">
        <v>0</v>
      </c>
      <c r="F46" s="39">
        <v>0</v>
      </c>
      <c r="G46" s="27" t="e">
        <f>F46/E46*100</f>
        <v>#DIV/0!</v>
      </c>
    </row>
    <row r="47" spans="1:7" s="40" customFormat="1" ht="20.25" customHeight="1">
      <c r="A47" s="23"/>
      <c r="B47" s="37"/>
      <c r="C47" s="24" t="s">
        <v>47</v>
      </c>
      <c r="D47" s="49" t="s">
        <v>1102</v>
      </c>
      <c r="E47" s="39">
        <v>0</v>
      </c>
      <c r="F47" s="39">
        <v>14727.96</v>
      </c>
      <c r="G47" s="27" t="s">
        <v>1142</v>
      </c>
    </row>
    <row r="48" spans="1:7" ht="50.25" customHeight="1">
      <c r="A48" s="54"/>
      <c r="B48" s="55"/>
      <c r="C48" s="52" t="s">
        <v>713</v>
      </c>
      <c r="D48" s="41" t="s">
        <v>142</v>
      </c>
      <c r="E48" s="53">
        <v>2060000</v>
      </c>
      <c r="F48" s="53">
        <v>0</v>
      </c>
      <c r="G48" s="27">
        <f>F48/E48*100</f>
        <v>0</v>
      </c>
    </row>
    <row r="49" spans="1:7" s="40" customFormat="1" ht="65.25" customHeight="1">
      <c r="A49" s="23"/>
      <c r="B49" s="37"/>
      <c r="C49" s="24"/>
      <c r="D49" s="26" t="s">
        <v>143</v>
      </c>
      <c r="E49" s="39"/>
      <c r="F49" s="39"/>
      <c r="G49" s="27"/>
    </row>
    <row r="50" spans="1:7" s="40" customFormat="1" ht="16.5" customHeight="1" hidden="1">
      <c r="A50" s="23"/>
      <c r="B50" s="37"/>
      <c r="C50" s="37" t="s">
        <v>100</v>
      </c>
      <c r="D50" s="41" t="s">
        <v>1249</v>
      </c>
      <c r="E50" s="39">
        <v>0</v>
      </c>
      <c r="F50" s="39">
        <v>0</v>
      </c>
      <c r="G50" s="27" t="e">
        <f aca="true" t="shared" si="1" ref="G50:G63">F50/E50*100</f>
        <v>#DIV/0!</v>
      </c>
    </row>
    <row r="51" spans="1:7" s="32" customFormat="1" ht="21" customHeight="1">
      <c r="A51" s="11" t="s">
        <v>909</v>
      </c>
      <c r="B51" s="29"/>
      <c r="C51" s="29"/>
      <c r="D51" s="30" t="s">
        <v>910</v>
      </c>
      <c r="E51" s="31">
        <f>SUM(E52,E55,E66)</f>
        <v>36621100</v>
      </c>
      <c r="F51" s="31">
        <f>SUM(F52,F55,F66)</f>
        <v>5967565.93</v>
      </c>
      <c r="G51" s="15">
        <f t="shared" si="1"/>
        <v>16.295430585099847</v>
      </c>
    </row>
    <row r="52" spans="1:7" ht="21" customHeight="1" hidden="1">
      <c r="A52" s="23"/>
      <c r="B52" s="33" t="s">
        <v>339</v>
      </c>
      <c r="C52" s="33"/>
      <c r="D52" s="34" t="s">
        <v>342</v>
      </c>
      <c r="E52" s="35">
        <f>SUM(E53,E54)</f>
        <v>0</v>
      </c>
      <c r="F52" s="35">
        <f>SUM(F53,F54)</f>
        <v>0</v>
      </c>
      <c r="G52" s="21" t="e">
        <f>F52/E52*100</f>
        <v>#DIV/0!</v>
      </c>
    </row>
    <row r="53" spans="1:7" s="40" customFormat="1" ht="29.25" customHeight="1" hidden="1">
      <c r="A53" s="23"/>
      <c r="B53" s="37"/>
      <c r="C53" s="37" t="s">
        <v>88</v>
      </c>
      <c r="D53" s="41" t="s">
        <v>89</v>
      </c>
      <c r="E53" s="39">
        <v>0</v>
      </c>
      <c r="F53" s="39">
        <v>0</v>
      </c>
      <c r="G53" s="27" t="e">
        <f>F53/E53*100</f>
        <v>#DIV/0!</v>
      </c>
    </row>
    <row r="54" spans="1:7" s="40" customFormat="1" ht="40.5" customHeight="1" hidden="1">
      <c r="A54" s="23"/>
      <c r="B54" s="37"/>
      <c r="C54" s="37" t="s">
        <v>1274</v>
      </c>
      <c r="D54" s="41" t="s">
        <v>1275</v>
      </c>
      <c r="E54" s="39">
        <v>0</v>
      </c>
      <c r="F54" s="39">
        <v>0</v>
      </c>
      <c r="G54" s="27" t="e">
        <f>F54/E54*100</f>
        <v>#DIV/0!</v>
      </c>
    </row>
    <row r="55" spans="1:7" ht="21" customHeight="1">
      <c r="A55" s="23"/>
      <c r="B55" s="33" t="s">
        <v>911</v>
      </c>
      <c r="C55" s="33"/>
      <c r="D55" s="34" t="s">
        <v>912</v>
      </c>
      <c r="E55" s="35">
        <f>SUM(E56,E57,E58,E59,E60,E61,E62,E63,E64,E65)</f>
        <v>36601000</v>
      </c>
      <c r="F55" s="35">
        <f>SUM(F56,F57,F58,F59,F60,F61,F62,F63,F64,F65)</f>
        <v>5932422.149999999</v>
      </c>
      <c r="G55" s="21">
        <f t="shared" si="1"/>
        <v>16.208360837135597</v>
      </c>
    </row>
    <row r="56" spans="1:7" s="40" customFormat="1" ht="29.25" customHeight="1">
      <c r="A56" s="23"/>
      <c r="B56" s="37"/>
      <c r="C56" s="37" t="s">
        <v>54</v>
      </c>
      <c r="D56" s="41" t="s">
        <v>1363</v>
      </c>
      <c r="E56" s="39">
        <v>1100000</v>
      </c>
      <c r="F56" s="39">
        <v>1367642.67</v>
      </c>
      <c r="G56" s="27">
        <f t="shared" si="1"/>
        <v>124.33115181818182</v>
      </c>
    </row>
    <row r="57" spans="1:7" s="40" customFormat="1" ht="29.25" customHeight="1">
      <c r="A57" s="23"/>
      <c r="B57" s="37"/>
      <c r="C57" s="37" t="s">
        <v>48</v>
      </c>
      <c r="D57" s="41" t="s">
        <v>741</v>
      </c>
      <c r="E57" s="39">
        <v>0</v>
      </c>
      <c r="F57" s="39">
        <v>133.48</v>
      </c>
      <c r="G57" s="27" t="s">
        <v>1142</v>
      </c>
    </row>
    <row r="58" spans="1:7" ht="27.75" customHeight="1" hidden="1">
      <c r="A58" s="23"/>
      <c r="B58" s="37"/>
      <c r="C58" s="37" t="s">
        <v>740</v>
      </c>
      <c r="D58" s="41" t="s">
        <v>739</v>
      </c>
      <c r="E58" s="43">
        <v>0</v>
      </c>
      <c r="F58" s="39">
        <v>0</v>
      </c>
      <c r="G58" s="27" t="s">
        <v>1142</v>
      </c>
    </row>
    <row r="59" spans="1:7" s="40" customFormat="1" ht="69" customHeight="1">
      <c r="A59" s="23"/>
      <c r="B59" s="37"/>
      <c r="C59" s="37" t="s">
        <v>50</v>
      </c>
      <c r="D59" s="41" t="s">
        <v>130</v>
      </c>
      <c r="E59" s="39">
        <v>2300000</v>
      </c>
      <c r="F59" s="39">
        <v>979438.64</v>
      </c>
      <c r="G59" s="27">
        <f t="shared" si="1"/>
        <v>42.58428869565217</v>
      </c>
    </row>
    <row r="60" spans="1:7" s="40" customFormat="1" ht="42" customHeight="1">
      <c r="A60" s="23"/>
      <c r="B60" s="37"/>
      <c r="C60" s="37" t="s">
        <v>56</v>
      </c>
      <c r="D60" s="41" t="s">
        <v>1107</v>
      </c>
      <c r="E60" s="39">
        <v>200000</v>
      </c>
      <c r="F60" s="39">
        <v>64056.36</v>
      </c>
      <c r="G60" s="27">
        <f t="shared" si="1"/>
        <v>32.02818</v>
      </c>
    </row>
    <row r="61" spans="1:7" s="51" customFormat="1" ht="39" customHeight="1">
      <c r="A61" s="23"/>
      <c r="B61" s="37"/>
      <c r="C61" s="37" t="s">
        <v>57</v>
      </c>
      <c r="D61" s="41" t="s">
        <v>144</v>
      </c>
      <c r="E61" s="39">
        <v>32886000</v>
      </c>
      <c r="F61" s="39">
        <v>3435893.05</v>
      </c>
      <c r="G61" s="27">
        <f t="shared" si="1"/>
        <v>10.447889831539255</v>
      </c>
    </row>
    <row r="62" spans="1:7" s="40" customFormat="1" ht="19.5" customHeight="1">
      <c r="A62" s="23"/>
      <c r="B62" s="24"/>
      <c r="C62" s="24" t="s">
        <v>46</v>
      </c>
      <c r="D62" s="49" t="s">
        <v>1103</v>
      </c>
      <c r="E62" s="50">
        <v>60000</v>
      </c>
      <c r="F62" s="50">
        <v>15768.75</v>
      </c>
      <c r="G62" s="27">
        <f t="shared" si="1"/>
        <v>26.28125</v>
      </c>
    </row>
    <row r="63" spans="1:7" s="40" customFormat="1" ht="19.5" customHeight="1">
      <c r="A63" s="23"/>
      <c r="B63" s="24"/>
      <c r="C63" s="52" t="s">
        <v>47</v>
      </c>
      <c r="D63" s="26" t="s">
        <v>1102</v>
      </c>
      <c r="E63" s="53">
        <v>20000</v>
      </c>
      <c r="F63" s="53">
        <v>34489.2</v>
      </c>
      <c r="G63" s="27">
        <f t="shared" si="1"/>
        <v>172.446</v>
      </c>
    </row>
    <row r="64" spans="1:7" s="40" customFormat="1" ht="63" customHeight="1" hidden="1">
      <c r="A64" s="54"/>
      <c r="B64" s="55"/>
      <c r="C64" s="25">
        <v>2010</v>
      </c>
      <c r="D64" s="26" t="s">
        <v>1221</v>
      </c>
      <c r="E64" s="53">
        <v>0</v>
      </c>
      <c r="F64" s="53"/>
      <c r="G64" s="27" t="e">
        <f>F64/E64*100</f>
        <v>#DIV/0!</v>
      </c>
    </row>
    <row r="65" spans="1:7" s="40" customFormat="1" ht="55.5" customHeight="1">
      <c r="A65" s="54"/>
      <c r="B65" s="55"/>
      <c r="C65" s="25">
        <v>2020</v>
      </c>
      <c r="D65" s="26" t="s">
        <v>1236</v>
      </c>
      <c r="E65" s="53">
        <v>35000</v>
      </c>
      <c r="F65" s="53">
        <v>35000</v>
      </c>
      <c r="G65" s="27">
        <f>F65/E65*100</f>
        <v>100</v>
      </c>
    </row>
    <row r="66" spans="1:7" ht="20.25" customHeight="1">
      <c r="A66" s="151"/>
      <c r="B66" s="152" t="s">
        <v>343</v>
      </c>
      <c r="C66" s="153"/>
      <c r="D66" s="154" t="s">
        <v>825</v>
      </c>
      <c r="E66" s="155">
        <f>SUM(E67,E68,E69)</f>
        <v>20100</v>
      </c>
      <c r="F66" s="155">
        <f>SUM(F67,F68,F69)</f>
        <v>35143.78</v>
      </c>
      <c r="G66" s="21">
        <f>F66/E66*100</f>
        <v>174.8446766169154</v>
      </c>
    </row>
    <row r="67" spans="1:7" s="40" customFormat="1" ht="30" customHeight="1">
      <c r="A67" s="54"/>
      <c r="B67" s="55"/>
      <c r="C67" s="52" t="s">
        <v>48</v>
      </c>
      <c r="D67" s="26" t="s">
        <v>741</v>
      </c>
      <c r="E67" s="53">
        <v>0</v>
      </c>
      <c r="F67" s="53">
        <v>600</v>
      </c>
      <c r="G67" s="27" t="s">
        <v>1142</v>
      </c>
    </row>
    <row r="68" spans="1:7" s="51" customFormat="1" ht="19.5" customHeight="1">
      <c r="A68" s="23"/>
      <c r="B68" s="24"/>
      <c r="C68" s="211" t="s">
        <v>47</v>
      </c>
      <c r="D68" s="41" t="s">
        <v>1102</v>
      </c>
      <c r="E68" s="39">
        <v>20100</v>
      </c>
      <c r="F68" s="39">
        <v>34543.78</v>
      </c>
      <c r="G68" s="27">
        <f>F68/E68*100</f>
        <v>171.85960199004975</v>
      </c>
    </row>
    <row r="69" spans="1:7" s="40" customFormat="1" ht="38.25" customHeight="1" hidden="1">
      <c r="A69" s="54"/>
      <c r="B69" s="55"/>
      <c r="C69" s="25">
        <v>6290</v>
      </c>
      <c r="D69" s="41" t="s">
        <v>142</v>
      </c>
      <c r="E69" s="53">
        <v>0</v>
      </c>
      <c r="F69" s="53">
        <v>0</v>
      </c>
      <c r="G69" s="27" t="s">
        <v>1142</v>
      </c>
    </row>
    <row r="70" spans="1:7" ht="19.5" customHeight="1">
      <c r="A70" s="175" t="s">
        <v>913</v>
      </c>
      <c r="B70" s="176"/>
      <c r="C70" s="192"/>
      <c r="D70" s="177" t="s">
        <v>914</v>
      </c>
      <c r="E70" s="47">
        <f>SUM(E71,E73,E75)</f>
        <v>190000</v>
      </c>
      <c r="F70" s="47">
        <f>SUM(F71,F73,F75)</f>
        <v>97338.97</v>
      </c>
      <c r="G70" s="15">
        <f>F70/E70*100</f>
        <v>51.23103684210526</v>
      </c>
    </row>
    <row r="71" spans="1:7" ht="19.5" customHeight="1" hidden="1">
      <c r="A71" s="151"/>
      <c r="B71" s="152" t="s">
        <v>344</v>
      </c>
      <c r="C71" s="192"/>
      <c r="D71" s="173" t="s">
        <v>345</v>
      </c>
      <c r="E71" s="155">
        <f>SUM(E72)</f>
        <v>0</v>
      </c>
      <c r="F71" s="155">
        <f>SUM(F72)</f>
        <v>0</v>
      </c>
      <c r="G71" s="21" t="s">
        <v>1142</v>
      </c>
    </row>
    <row r="72" spans="1:7" s="40" customFormat="1" ht="29.25" customHeight="1" hidden="1">
      <c r="A72" s="54"/>
      <c r="B72" s="55"/>
      <c r="C72" s="55" t="s">
        <v>48</v>
      </c>
      <c r="D72" s="26" t="s">
        <v>741</v>
      </c>
      <c r="E72" s="53">
        <v>0</v>
      </c>
      <c r="F72" s="53"/>
      <c r="G72" s="27" t="s">
        <v>1142</v>
      </c>
    </row>
    <row r="73" spans="1:7" ht="18.75" customHeight="1">
      <c r="A73" s="151"/>
      <c r="B73" s="152" t="s">
        <v>916</v>
      </c>
      <c r="C73" s="152"/>
      <c r="D73" s="154" t="s">
        <v>917</v>
      </c>
      <c r="E73" s="155">
        <f>SUM(E74)</f>
        <v>0</v>
      </c>
      <c r="F73" s="155">
        <f>SUM(F74)</f>
        <v>140.4</v>
      </c>
      <c r="G73" s="21" t="s">
        <v>1142</v>
      </c>
    </row>
    <row r="74" spans="1:7" s="40" customFormat="1" ht="29.25" customHeight="1">
      <c r="A74" s="54"/>
      <c r="B74" s="55"/>
      <c r="C74" s="55" t="s">
        <v>48</v>
      </c>
      <c r="D74" s="41" t="s">
        <v>741</v>
      </c>
      <c r="E74" s="53">
        <v>0</v>
      </c>
      <c r="F74" s="53">
        <v>140.4</v>
      </c>
      <c r="G74" s="27" t="s">
        <v>1142</v>
      </c>
    </row>
    <row r="75" spans="1:7" ht="19.5" customHeight="1">
      <c r="A75" s="151"/>
      <c r="B75" s="152" t="s">
        <v>923</v>
      </c>
      <c r="C75" s="152"/>
      <c r="D75" s="173" t="s">
        <v>924</v>
      </c>
      <c r="E75" s="155">
        <f>SUM(E76,E77)</f>
        <v>190000</v>
      </c>
      <c r="F75" s="155">
        <f>SUM(F76,F77)</f>
        <v>97198.57</v>
      </c>
      <c r="G75" s="21">
        <f aca="true" t="shared" si="2" ref="G75:G84">F75/E75*100</f>
        <v>51.15714210526316</v>
      </c>
    </row>
    <row r="76" spans="1:7" ht="29.25" customHeight="1" hidden="1">
      <c r="A76" s="151"/>
      <c r="B76" s="152"/>
      <c r="C76" s="55" t="s">
        <v>48</v>
      </c>
      <c r="D76" s="26" t="s">
        <v>741</v>
      </c>
      <c r="E76" s="53">
        <v>0</v>
      </c>
      <c r="F76" s="53">
        <v>0</v>
      </c>
      <c r="G76" s="21" t="s">
        <v>1142</v>
      </c>
    </row>
    <row r="77" spans="1:7" s="40" customFormat="1" ht="19.5" customHeight="1">
      <c r="A77" s="54"/>
      <c r="B77" s="55"/>
      <c r="C77" s="55" t="s">
        <v>45</v>
      </c>
      <c r="D77" s="174" t="s">
        <v>1154</v>
      </c>
      <c r="E77" s="53">
        <v>190000</v>
      </c>
      <c r="F77" s="53">
        <v>97198.57</v>
      </c>
      <c r="G77" s="27">
        <f t="shared" si="2"/>
        <v>51.15714210526316</v>
      </c>
    </row>
    <row r="78" spans="1:7" s="32" customFormat="1" ht="19.5" customHeight="1">
      <c r="A78" s="175" t="s">
        <v>925</v>
      </c>
      <c r="B78" s="176"/>
      <c r="C78" s="176"/>
      <c r="D78" s="177" t="s">
        <v>926</v>
      </c>
      <c r="E78" s="47">
        <f>SUM(E79,E81,E89,E92)</f>
        <v>1354121</v>
      </c>
      <c r="F78" s="47">
        <f>SUM(F79,F81,F89,F92)</f>
        <v>822387.5900000001</v>
      </c>
      <c r="G78" s="15">
        <f t="shared" si="2"/>
        <v>60.73220856924899</v>
      </c>
    </row>
    <row r="79" spans="1:7" ht="19.5" customHeight="1">
      <c r="A79" s="151"/>
      <c r="B79" s="152" t="s">
        <v>927</v>
      </c>
      <c r="C79" s="152"/>
      <c r="D79" s="173" t="s">
        <v>933</v>
      </c>
      <c r="E79" s="155">
        <f>SUM(E80)</f>
        <v>369700</v>
      </c>
      <c r="F79" s="155">
        <f>SUM(F80)</f>
        <v>199770</v>
      </c>
      <c r="G79" s="21">
        <f t="shared" si="2"/>
        <v>54.03570462537193</v>
      </c>
    </row>
    <row r="80" spans="1:7" s="40" customFormat="1" ht="56.25" customHeight="1">
      <c r="A80" s="54"/>
      <c r="B80" s="55"/>
      <c r="C80" s="55" t="s">
        <v>119</v>
      </c>
      <c r="D80" s="26" t="s">
        <v>1221</v>
      </c>
      <c r="E80" s="53">
        <v>369700</v>
      </c>
      <c r="F80" s="53">
        <v>199770</v>
      </c>
      <c r="G80" s="27">
        <f t="shared" si="2"/>
        <v>54.03570462537193</v>
      </c>
    </row>
    <row r="81" spans="1:7" ht="19.5" customHeight="1">
      <c r="A81" s="151"/>
      <c r="B81" s="178" t="s">
        <v>936</v>
      </c>
      <c r="C81" s="178"/>
      <c r="D81" s="179" t="s">
        <v>1222</v>
      </c>
      <c r="E81" s="180">
        <f>SUM(E82,E83,E84,E85,E86,E87,E88)</f>
        <v>110950</v>
      </c>
      <c r="F81" s="180">
        <f>SUM(F82,F83,F84,F85,F86,F87,F88)</f>
        <v>182797.16999999998</v>
      </c>
      <c r="G81" s="44">
        <f t="shared" si="2"/>
        <v>164.75634970707523</v>
      </c>
    </row>
    <row r="82" spans="1:7" s="40" customFormat="1" ht="19.5" customHeight="1">
      <c r="A82" s="181"/>
      <c r="B82" s="182"/>
      <c r="C82" s="182" t="s">
        <v>49</v>
      </c>
      <c r="D82" s="183" t="s">
        <v>1099</v>
      </c>
      <c r="E82" s="184">
        <v>61500</v>
      </c>
      <c r="F82" s="53">
        <v>44196.91</v>
      </c>
      <c r="G82" s="8">
        <f t="shared" si="2"/>
        <v>71.8648943089431</v>
      </c>
    </row>
    <row r="83" spans="1:7" s="40" customFormat="1" ht="69" customHeight="1">
      <c r="A83" s="54"/>
      <c r="B83" s="55"/>
      <c r="C83" s="52" t="s">
        <v>50</v>
      </c>
      <c r="D83" s="26" t="s">
        <v>130</v>
      </c>
      <c r="E83" s="53">
        <v>14550</v>
      </c>
      <c r="F83" s="53">
        <v>7388.71</v>
      </c>
      <c r="G83" s="27">
        <f t="shared" si="2"/>
        <v>50.7815120274914</v>
      </c>
    </row>
    <row r="84" spans="1:7" s="40" customFormat="1" ht="20.25" customHeight="1">
      <c r="A84" s="54"/>
      <c r="B84" s="55"/>
      <c r="C84" s="52" t="s">
        <v>45</v>
      </c>
      <c r="D84" s="26" t="s">
        <v>1154</v>
      </c>
      <c r="E84" s="53">
        <v>33600</v>
      </c>
      <c r="F84" s="53">
        <v>27921.5</v>
      </c>
      <c r="G84" s="27">
        <f t="shared" si="2"/>
        <v>83.09970238095238</v>
      </c>
    </row>
    <row r="85" spans="1:7" s="40" customFormat="1" ht="20.25" customHeight="1">
      <c r="A85" s="54"/>
      <c r="B85" s="55"/>
      <c r="C85" s="52" t="s">
        <v>1</v>
      </c>
      <c r="D85" s="26" t="s">
        <v>0</v>
      </c>
      <c r="E85" s="53">
        <v>0</v>
      </c>
      <c r="F85" s="53">
        <v>40.98</v>
      </c>
      <c r="G85" s="27" t="s">
        <v>1142</v>
      </c>
    </row>
    <row r="86" spans="1:7" s="40" customFormat="1" ht="21" customHeight="1">
      <c r="A86" s="54"/>
      <c r="B86" s="55"/>
      <c r="C86" s="52" t="s">
        <v>46</v>
      </c>
      <c r="D86" s="26" t="s">
        <v>1103</v>
      </c>
      <c r="E86" s="53">
        <v>0</v>
      </c>
      <c r="F86" s="53">
        <v>496.6</v>
      </c>
      <c r="G86" s="27" t="s">
        <v>1142</v>
      </c>
    </row>
    <row r="87" spans="1:7" s="40" customFormat="1" ht="21" customHeight="1">
      <c r="A87" s="54"/>
      <c r="B87" s="55"/>
      <c r="C87" s="52" t="s">
        <v>47</v>
      </c>
      <c r="D87" s="26" t="s">
        <v>1102</v>
      </c>
      <c r="E87" s="53">
        <v>0</v>
      </c>
      <c r="F87" s="53">
        <v>57099.22</v>
      </c>
      <c r="G87" s="27" t="s">
        <v>1142</v>
      </c>
    </row>
    <row r="88" spans="1:7" s="40" customFormat="1" ht="52.5" customHeight="1">
      <c r="A88" s="54"/>
      <c r="B88" s="55"/>
      <c r="C88" s="52" t="s">
        <v>107</v>
      </c>
      <c r="D88" s="26" t="s">
        <v>127</v>
      </c>
      <c r="E88" s="53">
        <v>1300</v>
      </c>
      <c r="F88" s="53">
        <v>45653.25</v>
      </c>
      <c r="G88" s="21">
        <f aca="true" t="shared" si="3" ref="G88:G106">F88/E88*100</f>
        <v>3511.788461538462</v>
      </c>
    </row>
    <row r="89" spans="1:7" ht="20.25" customHeight="1">
      <c r="A89" s="151"/>
      <c r="B89" s="152" t="s">
        <v>631</v>
      </c>
      <c r="C89" s="185"/>
      <c r="D89" s="154" t="s">
        <v>632</v>
      </c>
      <c r="E89" s="155">
        <f>SUM(E90,E91)</f>
        <v>0</v>
      </c>
      <c r="F89" s="155">
        <f>SUM(F90,F91)</f>
        <v>130000</v>
      </c>
      <c r="G89" s="21" t="s">
        <v>1142</v>
      </c>
    </row>
    <row r="90" spans="1:7" s="40" customFormat="1" ht="23.25" customHeight="1" hidden="1">
      <c r="A90" s="54"/>
      <c r="B90" s="55"/>
      <c r="C90" s="52" t="s">
        <v>47</v>
      </c>
      <c r="D90" s="26" t="s">
        <v>1102</v>
      </c>
      <c r="E90" s="53">
        <v>0</v>
      </c>
      <c r="F90" s="53">
        <v>0</v>
      </c>
      <c r="G90" s="27" t="s">
        <v>1142</v>
      </c>
    </row>
    <row r="91" spans="1:7" s="40" customFormat="1" ht="40.5" customHeight="1">
      <c r="A91" s="54"/>
      <c r="B91" s="55"/>
      <c r="C91" s="52" t="s">
        <v>439</v>
      </c>
      <c r="D91" s="26" t="s">
        <v>452</v>
      </c>
      <c r="E91" s="53">
        <v>0</v>
      </c>
      <c r="F91" s="53">
        <v>130000</v>
      </c>
      <c r="G91" s="27" t="s">
        <v>1142</v>
      </c>
    </row>
    <row r="92" spans="1:7" ht="19.5" customHeight="1">
      <c r="A92" s="151"/>
      <c r="B92" s="152" t="s">
        <v>938</v>
      </c>
      <c r="C92" s="185"/>
      <c r="D92" s="154" t="s">
        <v>825</v>
      </c>
      <c r="E92" s="155">
        <f>SUM(E93,E94,E96,E98,E99)</f>
        <v>873471</v>
      </c>
      <c r="F92" s="155">
        <f>SUM(F93,F94,F96,F98,F99)</f>
        <v>309820.42000000004</v>
      </c>
      <c r="G92" s="21">
        <f t="shared" si="3"/>
        <v>35.47002934270285</v>
      </c>
    </row>
    <row r="93" spans="1:7" s="40" customFormat="1" ht="23.25" customHeight="1">
      <c r="A93" s="54"/>
      <c r="B93" s="55"/>
      <c r="C93" s="52" t="s">
        <v>47</v>
      </c>
      <c r="D93" s="26" t="s">
        <v>1102</v>
      </c>
      <c r="E93" s="53">
        <v>0</v>
      </c>
      <c r="F93" s="53">
        <v>4815.15</v>
      </c>
      <c r="G93" s="27" t="s">
        <v>1142</v>
      </c>
    </row>
    <row r="94" spans="1:7" s="40" customFormat="1" ht="66" customHeight="1">
      <c r="A94" s="54"/>
      <c r="B94" s="55"/>
      <c r="C94" s="52" t="s">
        <v>67</v>
      </c>
      <c r="D94" s="26" t="s">
        <v>517</v>
      </c>
      <c r="E94" s="53">
        <v>674450</v>
      </c>
      <c r="F94" s="53">
        <v>227629.73</v>
      </c>
      <c r="G94" s="27">
        <f t="shared" si="3"/>
        <v>33.750423307880496</v>
      </c>
    </row>
    <row r="95" spans="1:7" s="40" customFormat="1" ht="17.25" customHeight="1">
      <c r="A95" s="54"/>
      <c r="B95" s="55"/>
      <c r="C95" s="52"/>
      <c r="D95" s="26" t="s">
        <v>68</v>
      </c>
      <c r="E95" s="53"/>
      <c r="F95" s="53"/>
      <c r="G95" s="27"/>
    </row>
    <row r="96" spans="1:7" s="40" customFormat="1" ht="67.5" customHeight="1">
      <c r="A96" s="54"/>
      <c r="B96" s="55"/>
      <c r="C96" s="52" t="s">
        <v>270</v>
      </c>
      <c r="D96" s="26" t="s">
        <v>517</v>
      </c>
      <c r="E96" s="53">
        <v>119021</v>
      </c>
      <c r="F96" s="53">
        <v>40169.96</v>
      </c>
      <c r="G96" s="27">
        <f t="shared" si="3"/>
        <v>33.75031296998009</v>
      </c>
    </row>
    <row r="97" spans="1:7" s="40" customFormat="1" ht="77.25" customHeight="1">
      <c r="A97" s="54"/>
      <c r="B97" s="55"/>
      <c r="C97" s="52"/>
      <c r="D97" s="26" t="s">
        <v>1334</v>
      </c>
      <c r="E97" s="53"/>
      <c r="F97" s="53"/>
      <c r="G97" s="27"/>
    </row>
    <row r="98" spans="1:7" s="40" customFormat="1" ht="54" customHeight="1">
      <c r="A98" s="23"/>
      <c r="B98" s="37"/>
      <c r="C98" s="37" t="s">
        <v>179</v>
      </c>
      <c r="D98" s="41" t="s">
        <v>1140</v>
      </c>
      <c r="E98" s="53">
        <v>30000</v>
      </c>
      <c r="F98" s="53">
        <v>30000</v>
      </c>
      <c r="G98" s="27">
        <f t="shared" si="3"/>
        <v>100</v>
      </c>
    </row>
    <row r="99" spans="1:7" s="40" customFormat="1" ht="54" customHeight="1">
      <c r="A99" s="23"/>
      <c r="B99" s="37"/>
      <c r="C99" s="37" t="s">
        <v>485</v>
      </c>
      <c r="D99" s="41" t="s">
        <v>1140</v>
      </c>
      <c r="E99" s="1361">
        <v>50000</v>
      </c>
      <c r="F99" s="1361">
        <v>7205.58</v>
      </c>
      <c r="G99" s="1362">
        <f>F99/E99*100</f>
        <v>14.41116</v>
      </c>
    </row>
    <row r="100" spans="1:7" s="40" customFormat="1" ht="80.25" customHeight="1">
      <c r="A100" s="23"/>
      <c r="B100" s="37"/>
      <c r="C100" s="37"/>
      <c r="D100" s="41" t="s">
        <v>69</v>
      </c>
      <c r="E100" s="1361"/>
      <c r="F100" s="1361"/>
      <c r="G100" s="1362"/>
    </row>
    <row r="101" spans="1:7" s="32" customFormat="1" ht="42" customHeight="1">
      <c r="A101" s="186" t="s">
        <v>1162</v>
      </c>
      <c r="B101" s="176"/>
      <c r="C101" s="187"/>
      <c r="D101" s="188" t="s">
        <v>939</v>
      </c>
      <c r="E101" s="47">
        <f>SUM(E102,E104)</f>
        <v>99475</v>
      </c>
      <c r="F101" s="47">
        <f>SUM(F102,F104)</f>
        <v>95995</v>
      </c>
      <c r="G101" s="189">
        <f t="shared" si="3"/>
        <v>96.50163357627545</v>
      </c>
    </row>
    <row r="102" spans="1:7" ht="29.25" customHeight="1">
      <c r="A102" s="151"/>
      <c r="B102" s="152" t="s">
        <v>1110</v>
      </c>
      <c r="C102" s="153"/>
      <c r="D102" s="154" t="s">
        <v>1112</v>
      </c>
      <c r="E102" s="155">
        <f>E103</f>
        <v>6960</v>
      </c>
      <c r="F102" s="155">
        <f>F103</f>
        <v>3480</v>
      </c>
      <c r="G102" s="190">
        <f t="shared" si="3"/>
        <v>50</v>
      </c>
    </row>
    <row r="103" spans="1:7" s="40" customFormat="1" ht="56.25" customHeight="1">
      <c r="A103" s="54"/>
      <c r="B103" s="55"/>
      <c r="C103" s="25">
        <v>2010</v>
      </c>
      <c r="D103" s="26" t="s">
        <v>1221</v>
      </c>
      <c r="E103" s="53">
        <v>6960</v>
      </c>
      <c r="F103" s="53">
        <v>3480</v>
      </c>
      <c r="G103" s="191">
        <f t="shared" si="3"/>
        <v>50</v>
      </c>
    </row>
    <row r="104" spans="1:7" s="40" customFormat="1" ht="18.75" customHeight="1">
      <c r="A104" s="151"/>
      <c r="B104" s="152" t="s">
        <v>70</v>
      </c>
      <c r="C104" s="153"/>
      <c r="D104" s="154" t="s">
        <v>71</v>
      </c>
      <c r="E104" s="155">
        <f>E105</f>
        <v>92515</v>
      </c>
      <c r="F104" s="155">
        <f>F105</f>
        <v>92515</v>
      </c>
      <c r="G104" s="190">
        <f t="shared" si="3"/>
        <v>100</v>
      </c>
    </row>
    <row r="105" spans="1:7" s="40" customFormat="1" ht="56.25" customHeight="1">
      <c r="A105" s="54"/>
      <c r="B105" s="55"/>
      <c r="C105" s="25">
        <v>2010</v>
      </c>
      <c r="D105" s="26" t="s">
        <v>1221</v>
      </c>
      <c r="E105" s="53">
        <v>92515</v>
      </c>
      <c r="F105" s="53">
        <v>92515</v>
      </c>
      <c r="G105" s="191">
        <f t="shared" si="3"/>
        <v>100</v>
      </c>
    </row>
    <row r="106" spans="1:7" ht="29.25" customHeight="1">
      <c r="A106" s="175" t="s">
        <v>940</v>
      </c>
      <c r="B106" s="176"/>
      <c r="C106" s="192"/>
      <c r="D106" s="188" t="s">
        <v>1044</v>
      </c>
      <c r="E106" s="47">
        <f>SUM(E107,E109,E111)</f>
        <v>310000</v>
      </c>
      <c r="F106" s="47">
        <f>SUM(F107,F109,F111)</f>
        <v>119115.59</v>
      </c>
      <c r="G106" s="15">
        <f t="shared" si="3"/>
        <v>38.424383870967745</v>
      </c>
    </row>
    <row r="107" spans="1:7" ht="20.25" customHeight="1" hidden="1">
      <c r="A107" s="151"/>
      <c r="B107" s="152" t="s">
        <v>351</v>
      </c>
      <c r="C107" s="192"/>
      <c r="D107" s="154" t="s">
        <v>352</v>
      </c>
      <c r="E107" s="155">
        <f>SUM(E108)</f>
        <v>0</v>
      </c>
      <c r="F107" s="155">
        <f>SUM(F108)</f>
        <v>0</v>
      </c>
      <c r="G107" s="21" t="e">
        <f aca="true" t="shared" si="4" ref="G107:G120">F107/E107*100</f>
        <v>#DIV/0!</v>
      </c>
    </row>
    <row r="108" spans="1:7" s="40" customFormat="1" ht="21.75" customHeight="1" hidden="1">
      <c r="A108" s="1179"/>
      <c r="B108" s="1180"/>
      <c r="C108" s="55" t="s">
        <v>47</v>
      </c>
      <c r="D108" s="26" t="s">
        <v>1102</v>
      </c>
      <c r="E108" s="53"/>
      <c r="F108" s="53"/>
      <c r="G108" s="27" t="e">
        <f t="shared" si="4"/>
        <v>#DIV/0!</v>
      </c>
    </row>
    <row r="109" spans="1:7" ht="17.25" customHeight="1">
      <c r="A109" s="151"/>
      <c r="B109" s="152" t="s">
        <v>942</v>
      </c>
      <c r="C109" s="192"/>
      <c r="D109" s="173" t="s">
        <v>943</v>
      </c>
      <c r="E109" s="155">
        <f>SUM(E110)</f>
        <v>10000</v>
      </c>
      <c r="F109" s="155">
        <f>SUM(F110)</f>
        <v>4998</v>
      </c>
      <c r="G109" s="21">
        <f t="shared" si="4"/>
        <v>49.980000000000004</v>
      </c>
    </row>
    <row r="110" spans="1:7" s="40" customFormat="1" ht="57.75" customHeight="1">
      <c r="A110" s="54"/>
      <c r="B110" s="55"/>
      <c r="C110" s="25">
        <v>2010</v>
      </c>
      <c r="D110" s="26" t="s">
        <v>1221</v>
      </c>
      <c r="E110" s="53">
        <v>10000</v>
      </c>
      <c r="F110" s="53">
        <v>4998</v>
      </c>
      <c r="G110" s="27">
        <f t="shared" si="4"/>
        <v>49.980000000000004</v>
      </c>
    </row>
    <row r="111" spans="1:7" ht="18" customHeight="1">
      <c r="A111" s="151"/>
      <c r="B111" s="152" t="s">
        <v>1239</v>
      </c>
      <c r="C111" s="153"/>
      <c r="D111" s="154" t="s">
        <v>1240</v>
      </c>
      <c r="E111" s="155">
        <f>E112</f>
        <v>300000</v>
      </c>
      <c r="F111" s="155">
        <f>F112</f>
        <v>114117.59</v>
      </c>
      <c r="G111" s="21">
        <f t="shared" si="4"/>
        <v>38.03919666666666</v>
      </c>
    </row>
    <row r="112" spans="1:7" s="40" customFormat="1" ht="27" customHeight="1">
      <c r="A112" s="54"/>
      <c r="B112" s="55"/>
      <c r="C112" s="52" t="s">
        <v>48</v>
      </c>
      <c r="D112" s="26" t="s">
        <v>741</v>
      </c>
      <c r="E112" s="53">
        <v>300000</v>
      </c>
      <c r="F112" s="53">
        <v>114117.59</v>
      </c>
      <c r="G112" s="27">
        <f t="shared" si="4"/>
        <v>38.03919666666666</v>
      </c>
    </row>
    <row r="113" spans="1:8" s="40" customFormat="1" ht="21" customHeight="1" hidden="1">
      <c r="A113" s="151"/>
      <c r="B113" s="152" t="s">
        <v>353</v>
      </c>
      <c r="C113" s="153"/>
      <c r="D113" s="154" t="s">
        <v>825</v>
      </c>
      <c r="E113" s="155">
        <f>SUM(E114,E115,E116)</f>
        <v>0</v>
      </c>
      <c r="F113" s="155">
        <f>SUM(F114,F115,F116)</f>
        <v>0</v>
      </c>
      <c r="G113" s="21" t="e">
        <f>F113/E113*100</f>
        <v>#DIV/0!</v>
      </c>
      <c r="H113" s="36"/>
    </row>
    <row r="114" spans="1:7" s="40" customFormat="1" ht="22.5" customHeight="1" hidden="1">
      <c r="A114" s="54"/>
      <c r="B114" s="55"/>
      <c r="C114" s="52" t="s">
        <v>47</v>
      </c>
      <c r="D114" s="26" t="s">
        <v>1102</v>
      </c>
      <c r="E114" s="53">
        <v>0</v>
      </c>
      <c r="F114" s="53">
        <v>0</v>
      </c>
      <c r="G114" s="27" t="e">
        <f>F114/E114*100</f>
        <v>#DIV/0!</v>
      </c>
    </row>
    <row r="115" spans="1:7" s="40" customFormat="1" ht="51.75" customHeight="1" hidden="1">
      <c r="A115" s="54"/>
      <c r="B115" s="55"/>
      <c r="C115" s="52" t="s">
        <v>178</v>
      </c>
      <c r="D115" s="26" t="s">
        <v>1071</v>
      </c>
      <c r="E115" s="53">
        <v>0</v>
      </c>
      <c r="F115" s="53">
        <v>0</v>
      </c>
      <c r="G115" s="27" t="e">
        <f>F115/E115*100</f>
        <v>#DIV/0!</v>
      </c>
    </row>
    <row r="116" spans="1:7" s="40" customFormat="1" ht="54" customHeight="1" hidden="1">
      <c r="A116" s="54"/>
      <c r="B116" s="55"/>
      <c r="C116" s="52" t="s">
        <v>179</v>
      </c>
      <c r="D116" s="26" t="s">
        <v>1072</v>
      </c>
      <c r="E116" s="53">
        <v>0</v>
      </c>
      <c r="F116" s="53">
        <v>0</v>
      </c>
      <c r="G116" s="27" t="e">
        <f>F116/E116*100</f>
        <v>#DIV/0!</v>
      </c>
    </row>
    <row r="117" spans="1:7" s="32" customFormat="1" ht="69" customHeight="1">
      <c r="A117" s="186" t="s">
        <v>1203</v>
      </c>
      <c r="B117" s="176"/>
      <c r="C117" s="176"/>
      <c r="D117" s="188" t="s">
        <v>302</v>
      </c>
      <c r="E117" s="47">
        <f>SUM(E118,E121,E130,E143,E152)</f>
        <v>65195510</v>
      </c>
      <c r="F117" s="47">
        <f>SUM(F118,F121,F130,F143,F152)</f>
        <v>33341866.82</v>
      </c>
      <c r="G117" s="15">
        <f t="shared" si="4"/>
        <v>51.14135439695156</v>
      </c>
    </row>
    <row r="118" spans="1:7" ht="19.5" customHeight="1">
      <c r="A118" s="151"/>
      <c r="B118" s="152" t="s">
        <v>1113</v>
      </c>
      <c r="C118" s="152"/>
      <c r="D118" s="173" t="s">
        <v>1114</v>
      </c>
      <c r="E118" s="155">
        <f>E119+E120</f>
        <v>455000</v>
      </c>
      <c r="F118" s="155">
        <f>F119+F120</f>
        <v>81155.69</v>
      </c>
      <c r="G118" s="21">
        <f t="shared" si="4"/>
        <v>17.836415384615385</v>
      </c>
    </row>
    <row r="119" spans="1:7" s="40" customFormat="1" ht="29.25" customHeight="1">
      <c r="A119" s="54"/>
      <c r="B119" s="55"/>
      <c r="C119" s="55" t="s">
        <v>58</v>
      </c>
      <c r="D119" s="26" t="s">
        <v>1364</v>
      </c>
      <c r="E119" s="53">
        <v>450000</v>
      </c>
      <c r="F119" s="39">
        <v>79717.25</v>
      </c>
      <c r="G119" s="27">
        <f t="shared" si="4"/>
        <v>17.714944444444445</v>
      </c>
    </row>
    <row r="120" spans="1:7" s="40" customFormat="1" ht="29.25" customHeight="1">
      <c r="A120" s="54"/>
      <c r="B120" s="55"/>
      <c r="C120" s="52" t="s">
        <v>59</v>
      </c>
      <c r="D120" s="26" t="s">
        <v>1356</v>
      </c>
      <c r="E120" s="53">
        <v>5000</v>
      </c>
      <c r="F120" s="39">
        <v>1438.44</v>
      </c>
      <c r="G120" s="27">
        <f t="shared" si="4"/>
        <v>28.7688</v>
      </c>
    </row>
    <row r="121" spans="1:7" ht="57.75" customHeight="1">
      <c r="A121" s="151"/>
      <c r="B121" s="185" t="s">
        <v>1251</v>
      </c>
      <c r="C121" s="152"/>
      <c r="D121" s="154" t="s">
        <v>299</v>
      </c>
      <c r="E121" s="155">
        <f>SUM(E122,E123,E124,E125,E126,E127,E128,E129)</f>
        <v>19306000</v>
      </c>
      <c r="F121" s="155">
        <f>SUM(F122,F123,F124,F125,F126,F127,F128,F129)</f>
        <v>8672865.26</v>
      </c>
      <c r="G121" s="21">
        <f aca="true" t="shared" si="5" ref="G121:G126">F121/E121*100</f>
        <v>44.923159950274524</v>
      </c>
    </row>
    <row r="122" spans="1:7" s="40" customFormat="1" ht="19.5" customHeight="1">
      <c r="A122" s="54"/>
      <c r="B122" s="55"/>
      <c r="C122" s="55" t="s">
        <v>60</v>
      </c>
      <c r="D122" s="174" t="s">
        <v>1115</v>
      </c>
      <c r="E122" s="53">
        <v>18800000</v>
      </c>
      <c r="F122" s="53">
        <v>8662517.16</v>
      </c>
      <c r="G122" s="27">
        <f t="shared" si="5"/>
        <v>46.07721893617021</v>
      </c>
    </row>
    <row r="123" spans="1:7" s="40" customFormat="1" ht="19.5" customHeight="1">
      <c r="A123" s="54"/>
      <c r="B123" s="55"/>
      <c r="C123" s="55" t="s">
        <v>61</v>
      </c>
      <c r="D123" s="174" t="s">
        <v>1116</v>
      </c>
      <c r="E123" s="53">
        <v>6000</v>
      </c>
      <c r="F123" s="53">
        <v>2946</v>
      </c>
      <c r="G123" s="27">
        <f t="shared" si="5"/>
        <v>49.1</v>
      </c>
    </row>
    <row r="124" spans="1:7" s="40" customFormat="1" ht="19.5" customHeight="1">
      <c r="A124" s="54"/>
      <c r="B124" s="55"/>
      <c r="C124" s="55" t="s">
        <v>62</v>
      </c>
      <c r="D124" s="174" t="s">
        <v>1117</v>
      </c>
      <c r="E124" s="53">
        <v>60000</v>
      </c>
      <c r="F124" s="53">
        <v>27977</v>
      </c>
      <c r="G124" s="27">
        <f t="shared" si="5"/>
        <v>46.62833333333333</v>
      </c>
    </row>
    <row r="125" spans="1:7" s="40" customFormat="1" ht="19.5" customHeight="1">
      <c r="A125" s="54"/>
      <c r="B125" s="55"/>
      <c r="C125" s="55" t="s">
        <v>63</v>
      </c>
      <c r="D125" s="174" t="s">
        <v>1118</v>
      </c>
      <c r="E125" s="53">
        <v>160000</v>
      </c>
      <c r="F125" s="53">
        <v>91619.83</v>
      </c>
      <c r="G125" s="27">
        <f t="shared" si="5"/>
        <v>57.262393749999994</v>
      </c>
    </row>
    <row r="126" spans="1:7" s="40" customFormat="1" ht="19.5" customHeight="1">
      <c r="A126" s="54"/>
      <c r="B126" s="55"/>
      <c r="C126" s="55" t="s">
        <v>64</v>
      </c>
      <c r="D126" s="174" t="s">
        <v>1119</v>
      </c>
      <c r="E126" s="53">
        <v>180000</v>
      </c>
      <c r="F126" s="53">
        <v>-91267</v>
      </c>
      <c r="G126" s="27">
        <f t="shared" si="5"/>
        <v>-50.70388888888889</v>
      </c>
    </row>
    <row r="127" spans="1:7" s="40" customFormat="1" ht="19.5" customHeight="1">
      <c r="A127" s="54"/>
      <c r="B127" s="55"/>
      <c r="C127" s="55" t="s">
        <v>634</v>
      </c>
      <c r="D127" s="174" t="s">
        <v>1057</v>
      </c>
      <c r="E127" s="53">
        <v>0</v>
      </c>
      <c r="F127" s="53">
        <v>0</v>
      </c>
      <c r="G127" s="27" t="s">
        <v>1142</v>
      </c>
    </row>
    <row r="128" spans="1:7" s="40" customFormat="1" ht="28.5" customHeight="1">
      <c r="A128" s="54"/>
      <c r="B128" s="55"/>
      <c r="C128" s="55" t="s">
        <v>59</v>
      </c>
      <c r="D128" s="26" t="s">
        <v>1356</v>
      </c>
      <c r="E128" s="53">
        <v>100000</v>
      </c>
      <c r="F128" s="53">
        <v>-20927.73</v>
      </c>
      <c r="G128" s="27">
        <f aca="true" t="shared" si="6" ref="G128:G139">F128/E128*100</f>
        <v>-20.92773</v>
      </c>
    </row>
    <row r="129" spans="1:7" s="40" customFormat="1" ht="28.5" customHeight="1" hidden="1">
      <c r="A129" s="54"/>
      <c r="B129" s="55"/>
      <c r="C129" s="55" t="s">
        <v>434</v>
      </c>
      <c r="D129" s="26" t="s">
        <v>435</v>
      </c>
      <c r="E129" s="53">
        <v>0</v>
      </c>
      <c r="F129" s="53">
        <v>0</v>
      </c>
      <c r="G129" s="27" t="e">
        <f t="shared" si="6"/>
        <v>#DIV/0!</v>
      </c>
    </row>
    <row r="130" spans="1:7" ht="56.25" customHeight="1">
      <c r="A130" s="151"/>
      <c r="B130" s="152" t="s">
        <v>17</v>
      </c>
      <c r="C130" s="152"/>
      <c r="D130" s="154" t="s">
        <v>18</v>
      </c>
      <c r="E130" s="155">
        <f>SUM(E131,E132,E133,E134,E135,E136,E137,E138,E139,E140,E142)</f>
        <v>11036309</v>
      </c>
      <c r="F130" s="155">
        <f>SUM(F131,F132,F133,F134,F135,F136,F137,F138,F139,F140,F142)</f>
        <v>5255862.35</v>
      </c>
      <c r="G130" s="21">
        <f t="shared" si="6"/>
        <v>47.623370730196115</v>
      </c>
    </row>
    <row r="131" spans="1:7" s="40" customFormat="1" ht="21" customHeight="1">
      <c r="A131" s="54"/>
      <c r="B131" s="55"/>
      <c r="C131" s="55" t="s">
        <v>60</v>
      </c>
      <c r="D131" s="174" t="s">
        <v>1115</v>
      </c>
      <c r="E131" s="53">
        <v>4200000</v>
      </c>
      <c r="F131" s="53">
        <v>2654523.08</v>
      </c>
      <c r="G131" s="27">
        <f t="shared" si="6"/>
        <v>63.202930476190474</v>
      </c>
    </row>
    <row r="132" spans="1:7" s="40" customFormat="1" ht="21" customHeight="1">
      <c r="A132" s="54"/>
      <c r="B132" s="55"/>
      <c r="C132" s="55" t="s">
        <v>61</v>
      </c>
      <c r="D132" s="174" t="s">
        <v>1116</v>
      </c>
      <c r="E132" s="53">
        <v>41200</v>
      </c>
      <c r="F132" s="53">
        <v>16434.63</v>
      </c>
      <c r="G132" s="27">
        <f t="shared" si="6"/>
        <v>39.8898786407767</v>
      </c>
    </row>
    <row r="133" spans="1:7" s="40" customFormat="1" ht="21" customHeight="1">
      <c r="A133" s="54"/>
      <c r="B133" s="55"/>
      <c r="C133" s="55" t="s">
        <v>62</v>
      </c>
      <c r="D133" s="174" t="s">
        <v>1117</v>
      </c>
      <c r="E133" s="53">
        <v>600</v>
      </c>
      <c r="F133" s="53">
        <v>333.2</v>
      </c>
      <c r="G133" s="27">
        <f t="shared" si="6"/>
        <v>55.53333333333333</v>
      </c>
    </row>
    <row r="134" spans="1:7" s="40" customFormat="1" ht="21" customHeight="1">
      <c r="A134" s="54"/>
      <c r="B134" s="55"/>
      <c r="C134" s="55" t="s">
        <v>63</v>
      </c>
      <c r="D134" s="174" t="s">
        <v>1118</v>
      </c>
      <c r="E134" s="53">
        <v>110000</v>
      </c>
      <c r="F134" s="53">
        <v>46863.2</v>
      </c>
      <c r="G134" s="27">
        <f t="shared" si="6"/>
        <v>42.60290909090909</v>
      </c>
    </row>
    <row r="135" spans="1:7" s="40" customFormat="1" ht="21" customHeight="1">
      <c r="A135" s="54"/>
      <c r="B135" s="55"/>
      <c r="C135" s="55" t="s">
        <v>65</v>
      </c>
      <c r="D135" s="174" t="s">
        <v>1120</v>
      </c>
      <c r="E135" s="53">
        <v>220000</v>
      </c>
      <c r="F135" s="39">
        <v>107258.61</v>
      </c>
      <c r="G135" s="27">
        <f t="shared" si="6"/>
        <v>48.75391363636364</v>
      </c>
    </row>
    <row r="136" spans="1:7" s="40" customFormat="1" ht="21" customHeight="1">
      <c r="A136" s="54"/>
      <c r="B136" s="55"/>
      <c r="C136" s="55" t="s">
        <v>72</v>
      </c>
      <c r="D136" s="174" t="s">
        <v>73</v>
      </c>
      <c r="E136" s="53">
        <v>185000</v>
      </c>
      <c r="F136" s="39">
        <v>50976</v>
      </c>
      <c r="G136" s="27">
        <f t="shared" si="6"/>
        <v>27.554594594594594</v>
      </c>
    </row>
    <row r="137" spans="1:7" s="40" customFormat="1" ht="36" customHeight="1">
      <c r="A137" s="54"/>
      <c r="B137" s="55"/>
      <c r="C137" s="55" t="s">
        <v>747</v>
      </c>
      <c r="D137" s="26" t="s">
        <v>1362</v>
      </c>
      <c r="E137" s="53">
        <v>3500000</v>
      </c>
      <c r="F137" s="53">
        <v>1085620.63</v>
      </c>
      <c r="G137" s="27">
        <f t="shared" si="6"/>
        <v>31.017732285714285</v>
      </c>
    </row>
    <row r="138" spans="1:7" s="40" customFormat="1" ht="21" customHeight="1">
      <c r="A138" s="54"/>
      <c r="B138" s="55"/>
      <c r="C138" s="55" t="s">
        <v>91</v>
      </c>
      <c r="D138" s="174" t="s">
        <v>1121</v>
      </c>
      <c r="E138" s="53">
        <v>500000</v>
      </c>
      <c r="F138" s="53">
        <v>259855</v>
      </c>
      <c r="G138" s="27">
        <f t="shared" si="6"/>
        <v>51.971000000000004</v>
      </c>
    </row>
    <row r="139" spans="1:7" s="40" customFormat="1" ht="21" customHeight="1">
      <c r="A139" s="54"/>
      <c r="B139" s="55"/>
      <c r="C139" s="55" t="s">
        <v>64</v>
      </c>
      <c r="D139" s="174" t="s">
        <v>1119</v>
      </c>
      <c r="E139" s="53">
        <v>2200000</v>
      </c>
      <c r="F139" s="39">
        <v>1006678.77</v>
      </c>
      <c r="G139" s="27">
        <f t="shared" si="6"/>
        <v>45.75812590909091</v>
      </c>
    </row>
    <row r="140" spans="1:8" s="40" customFormat="1" ht="21" customHeight="1">
      <c r="A140" s="54"/>
      <c r="B140" s="55"/>
      <c r="C140" s="193" t="s">
        <v>634</v>
      </c>
      <c r="D140" s="174" t="s">
        <v>1057</v>
      </c>
      <c r="E140" s="53">
        <v>0</v>
      </c>
      <c r="F140" s="53">
        <v>-18</v>
      </c>
      <c r="G140" s="27" t="s">
        <v>1142</v>
      </c>
      <c r="H140" s="194"/>
    </row>
    <row r="141" spans="1:7" s="40" customFormat="1" ht="27.75" customHeight="1" hidden="1">
      <c r="A141" s="54"/>
      <c r="B141" s="55"/>
      <c r="C141" s="55" t="s">
        <v>1097</v>
      </c>
      <c r="D141" s="26" t="s">
        <v>585</v>
      </c>
      <c r="E141" s="53">
        <v>0</v>
      </c>
      <c r="F141" s="39"/>
      <c r="G141" s="27" t="s">
        <v>1142</v>
      </c>
    </row>
    <row r="142" spans="1:7" s="40" customFormat="1" ht="28.5" customHeight="1">
      <c r="A142" s="54"/>
      <c r="B142" s="55"/>
      <c r="C142" s="55" t="s">
        <v>59</v>
      </c>
      <c r="D142" s="26" t="s">
        <v>1356</v>
      </c>
      <c r="E142" s="53">
        <v>79509</v>
      </c>
      <c r="F142" s="53">
        <v>27337.23</v>
      </c>
      <c r="G142" s="27">
        <f aca="true" t="shared" si="7" ref="G142:G149">F142/E142*100</f>
        <v>34.382560464853036</v>
      </c>
    </row>
    <row r="143" spans="1:7" ht="41.25" customHeight="1">
      <c r="A143" s="151"/>
      <c r="B143" s="152" t="s">
        <v>1122</v>
      </c>
      <c r="C143" s="152"/>
      <c r="D143" s="154" t="s">
        <v>1231</v>
      </c>
      <c r="E143" s="155">
        <f>SUM(E144,E145,E146,E147,E148,E149,E150,E151)</f>
        <v>11227500</v>
      </c>
      <c r="F143" s="155">
        <f>SUM(F144,F145,F146,F147,F148,F149,F150,F151)</f>
        <v>10068378.85</v>
      </c>
      <c r="G143" s="21">
        <f t="shared" si="7"/>
        <v>89.67605299487865</v>
      </c>
    </row>
    <row r="144" spans="1:7" s="40" customFormat="1" ht="19.5" customHeight="1">
      <c r="A144" s="54"/>
      <c r="B144" s="55"/>
      <c r="C144" s="55" t="s">
        <v>92</v>
      </c>
      <c r="D144" s="174" t="s">
        <v>1132</v>
      </c>
      <c r="E144" s="53">
        <v>500000</v>
      </c>
      <c r="F144" s="53">
        <v>255927.72</v>
      </c>
      <c r="G144" s="27">
        <f t="shared" si="7"/>
        <v>51.18554400000001</v>
      </c>
    </row>
    <row r="145" spans="1:7" s="40" customFormat="1" ht="19.5" customHeight="1">
      <c r="A145" s="54"/>
      <c r="B145" s="55"/>
      <c r="C145" s="55" t="s">
        <v>94</v>
      </c>
      <c r="D145" s="174" t="s">
        <v>1229</v>
      </c>
      <c r="E145" s="53">
        <v>5000</v>
      </c>
      <c r="F145" s="53">
        <v>4839</v>
      </c>
      <c r="G145" s="27">
        <f t="shared" si="7"/>
        <v>96.78</v>
      </c>
    </row>
    <row r="146" spans="1:7" s="40" customFormat="1" ht="27" customHeight="1">
      <c r="A146" s="54"/>
      <c r="B146" s="55"/>
      <c r="C146" s="55" t="s">
        <v>95</v>
      </c>
      <c r="D146" s="26" t="s">
        <v>1058</v>
      </c>
      <c r="E146" s="53">
        <v>1400000</v>
      </c>
      <c r="F146" s="53">
        <v>1147906.56</v>
      </c>
      <c r="G146" s="27">
        <f t="shared" si="7"/>
        <v>81.99332571428572</v>
      </c>
    </row>
    <row r="147" spans="1:7" s="40" customFormat="1" ht="46.5" customHeight="1">
      <c r="A147" s="54"/>
      <c r="B147" s="55"/>
      <c r="C147" s="55" t="s">
        <v>55</v>
      </c>
      <c r="D147" s="26" t="s">
        <v>1258</v>
      </c>
      <c r="E147" s="53">
        <v>50000</v>
      </c>
      <c r="F147" s="53">
        <v>4922.56</v>
      </c>
      <c r="G147" s="27">
        <f t="shared" si="7"/>
        <v>9.84512</v>
      </c>
    </row>
    <row r="148" spans="1:7" s="40" customFormat="1" ht="19.5" customHeight="1">
      <c r="A148" s="54"/>
      <c r="B148" s="55"/>
      <c r="C148" s="52" t="s">
        <v>96</v>
      </c>
      <c r="D148" s="26" t="s">
        <v>1223</v>
      </c>
      <c r="E148" s="53">
        <v>15000</v>
      </c>
      <c r="F148" s="53">
        <v>7756.48</v>
      </c>
      <c r="G148" s="27">
        <f t="shared" si="7"/>
        <v>51.709866666666656</v>
      </c>
    </row>
    <row r="149" spans="1:7" s="40" customFormat="1" ht="19.5" customHeight="1">
      <c r="A149" s="54"/>
      <c r="B149" s="55"/>
      <c r="C149" s="52" t="s">
        <v>49</v>
      </c>
      <c r="D149" s="26" t="s">
        <v>1099</v>
      </c>
      <c r="E149" s="53">
        <v>9257500</v>
      </c>
      <c r="F149" s="53">
        <v>8646951.2</v>
      </c>
      <c r="G149" s="27">
        <f t="shared" si="7"/>
        <v>93.4048198757764</v>
      </c>
    </row>
    <row r="150" spans="1:7" s="40" customFormat="1" ht="27.75" customHeight="1">
      <c r="A150" s="54"/>
      <c r="B150" s="55"/>
      <c r="C150" s="52" t="s">
        <v>59</v>
      </c>
      <c r="D150" s="26" t="s">
        <v>1356</v>
      </c>
      <c r="E150" s="53">
        <v>0</v>
      </c>
      <c r="F150" s="53">
        <v>43.19</v>
      </c>
      <c r="G150" s="21" t="s">
        <v>1142</v>
      </c>
    </row>
    <row r="151" spans="1:7" s="197" customFormat="1" ht="19.5" customHeight="1">
      <c r="A151" s="181"/>
      <c r="B151" s="182"/>
      <c r="C151" s="195" t="s">
        <v>46</v>
      </c>
      <c r="D151" s="196" t="s">
        <v>1103</v>
      </c>
      <c r="E151" s="184">
        <v>0</v>
      </c>
      <c r="F151" s="184">
        <v>32.14</v>
      </c>
      <c r="G151" s="44" t="s">
        <v>1142</v>
      </c>
    </row>
    <row r="152" spans="1:7" ht="30" customHeight="1">
      <c r="A152" s="151"/>
      <c r="B152" s="152" t="s">
        <v>1133</v>
      </c>
      <c r="C152" s="152"/>
      <c r="D152" s="154" t="s">
        <v>1134</v>
      </c>
      <c r="E152" s="155">
        <f>E153+E154</f>
        <v>23170701</v>
      </c>
      <c r="F152" s="155">
        <f>F153+F154</f>
        <v>9263604.67</v>
      </c>
      <c r="G152" s="21">
        <f aca="true" t="shared" si="8" ref="G152:G161">F152/E152*100</f>
        <v>39.979820506941074</v>
      </c>
    </row>
    <row r="153" spans="1:7" s="40" customFormat="1" ht="19.5" customHeight="1">
      <c r="A153" s="54"/>
      <c r="B153" s="55"/>
      <c r="C153" s="55" t="s">
        <v>97</v>
      </c>
      <c r="D153" s="174" t="s">
        <v>1139</v>
      </c>
      <c r="E153" s="53">
        <v>22070701</v>
      </c>
      <c r="F153" s="39">
        <v>8904443</v>
      </c>
      <c r="G153" s="27">
        <f t="shared" si="8"/>
        <v>40.3450846441171</v>
      </c>
    </row>
    <row r="154" spans="1:7" s="40" customFormat="1" ht="19.5" customHeight="1">
      <c r="A154" s="54"/>
      <c r="B154" s="55"/>
      <c r="C154" s="55" t="s">
        <v>98</v>
      </c>
      <c r="D154" s="174" t="s">
        <v>1143</v>
      </c>
      <c r="E154" s="53">
        <v>1100000</v>
      </c>
      <c r="F154" s="39">
        <v>359161.67</v>
      </c>
      <c r="G154" s="27">
        <f t="shared" si="8"/>
        <v>32.65106090909091</v>
      </c>
    </row>
    <row r="155" spans="1:7" s="32" customFormat="1" ht="19.5" customHeight="1">
      <c r="A155" s="175" t="s">
        <v>945</v>
      </c>
      <c r="B155" s="176"/>
      <c r="C155" s="176"/>
      <c r="D155" s="177" t="s">
        <v>946</v>
      </c>
      <c r="E155" s="47">
        <f>SUM(E156,E158,E160)</f>
        <v>17260901</v>
      </c>
      <c r="F155" s="47">
        <f>SUM(F156,F158,F160)</f>
        <v>9661225.63</v>
      </c>
      <c r="G155" s="15">
        <f t="shared" si="8"/>
        <v>55.971734210166666</v>
      </c>
    </row>
    <row r="156" spans="1:7" ht="30.75" customHeight="1">
      <c r="A156" s="151"/>
      <c r="B156" s="152" t="s">
        <v>1145</v>
      </c>
      <c r="C156" s="152"/>
      <c r="D156" s="154" t="s">
        <v>1147</v>
      </c>
      <c r="E156" s="155">
        <f>E157</f>
        <v>14906901</v>
      </c>
      <c r="F156" s="155">
        <f>F157</f>
        <v>9173480</v>
      </c>
      <c r="G156" s="21">
        <f t="shared" si="8"/>
        <v>61.53847805120595</v>
      </c>
    </row>
    <row r="157" spans="1:7" s="32" customFormat="1" ht="19.5" customHeight="1">
      <c r="A157" s="175"/>
      <c r="B157" s="176"/>
      <c r="C157" s="55" t="s">
        <v>99</v>
      </c>
      <c r="D157" s="26" t="s">
        <v>1226</v>
      </c>
      <c r="E157" s="53">
        <v>14906901</v>
      </c>
      <c r="F157" s="53">
        <v>9173480</v>
      </c>
      <c r="G157" s="27">
        <f t="shared" si="8"/>
        <v>61.53847805120595</v>
      </c>
    </row>
    <row r="158" spans="1:7" ht="30.75" customHeight="1" hidden="1">
      <c r="A158" s="151"/>
      <c r="B158" s="152" t="s">
        <v>1149</v>
      </c>
      <c r="C158" s="152"/>
      <c r="D158" s="154" t="s">
        <v>601</v>
      </c>
      <c r="E158" s="155">
        <f>E159</f>
        <v>0</v>
      </c>
      <c r="F158" s="155">
        <f>F159</f>
        <v>0</v>
      </c>
      <c r="G158" s="21" t="e">
        <f t="shared" si="8"/>
        <v>#DIV/0!</v>
      </c>
    </row>
    <row r="159" spans="1:7" s="32" customFormat="1" ht="19.5" customHeight="1" hidden="1">
      <c r="A159" s="175"/>
      <c r="B159" s="176"/>
      <c r="C159" s="55" t="s">
        <v>602</v>
      </c>
      <c r="D159" s="26" t="s">
        <v>603</v>
      </c>
      <c r="E159" s="53">
        <v>0</v>
      </c>
      <c r="F159" s="53">
        <v>0</v>
      </c>
      <c r="G159" s="27" t="e">
        <f t="shared" si="8"/>
        <v>#DIV/0!</v>
      </c>
    </row>
    <row r="160" spans="1:7" ht="19.5" customHeight="1">
      <c r="A160" s="151"/>
      <c r="B160" s="152" t="s">
        <v>1150</v>
      </c>
      <c r="C160" s="152"/>
      <c r="D160" s="173" t="s">
        <v>1151</v>
      </c>
      <c r="E160" s="155">
        <f>SUM(E162,E163,E164,E165,E166,E167)</f>
        <v>2354000</v>
      </c>
      <c r="F160" s="155">
        <f>SUM(F162,F163,F164,F165,F166,F167)</f>
        <v>487745.63</v>
      </c>
      <c r="G160" s="21">
        <f t="shared" si="8"/>
        <v>20.719865335598982</v>
      </c>
    </row>
    <row r="161" spans="1:7" s="40" customFormat="1" ht="30" customHeight="1" hidden="1">
      <c r="A161" s="54"/>
      <c r="B161" s="55"/>
      <c r="C161" s="55" t="s">
        <v>740</v>
      </c>
      <c r="D161" s="26" t="s">
        <v>739</v>
      </c>
      <c r="E161" s="53">
        <v>0</v>
      </c>
      <c r="F161" s="53">
        <v>0</v>
      </c>
      <c r="G161" s="21" t="e">
        <f t="shared" si="8"/>
        <v>#DIV/0!</v>
      </c>
    </row>
    <row r="162" spans="1:7" s="40" customFormat="1" ht="18.75" customHeight="1">
      <c r="A162" s="54"/>
      <c r="B162" s="55"/>
      <c r="C162" s="55" t="s">
        <v>49</v>
      </c>
      <c r="D162" s="26" t="s">
        <v>1099</v>
      </c>
      <c r="E162" s="53">
        <v>0</v>
      </c>
      <c r="F162" s="53">
        <v>845</v>
      </c>
      <c r="G162" s="27" t="s">
        <v>1142</v>
      </c>
    </row>
    <row r="163" spans="1:7" s="40" customFormat="1" ht="18.75" customHeight="1" hidden="1">
      <c r="A163" s="54"/>
      <c r="B163" s="55"/>
      <c r="C163" s="55" t="s">
        <v>1</v>
      </c>
      <c r="D163" s="41" t="s">
        <v>0</v>
      </c>
      <c r="E163" s="53">
        <v>0</v>
      </c>
      <c r="F163" s="53">
        <v>0</v>
      </c>
      <c r="G163" s="27" t="s">
        <v>1142</v>
      </c>
    </row>
    <row r="164" spans="1:7" s="40" customFormat="1" ht="18.75" customHeight="1">
      <c r="A164" s="54"/>
      <c r="B164" s="55"/>
      <c r="C164" s="55" t="s">
        <v>46</v>
      </c>
      <c r="D164" s="174" t="s">
        <v>1152</v>
      </c>
      <c r="E164" s="53">
        <v>300000</v>
      </c>
      <c r="F164" s="53">
        <v>486900.63</v>
      </c>
      <c r="G164" s="27">
        <f>F164/E164*100</f>
        <v>162.30021000000002</v>
      </c>
    </row>
    <row r="165" spans="1:7" s="40" customFormat="1" ht="18" customHeight="1" hidden="1">
      <c r="A165" s="54"/>
      <c r="B165" s="55"/>
      <c r="C165" s="52" t="s">
        <v>47</v>
      </c>
      <c r="D165" s="26" t="s">
        <v>1102</v>
      </c>
      <c r="E165" s="53">
        <v>0</v>
      </c>
      <c r="F165" s="53">
        <v>0</v>
      </c>
      <c r="G165" s="27" t="e">
        <f>F165/E165*100</f>
        <v>#DIV/0!</v>
      </c>
    </row>
    <row r="166" spans="1:7" s="40" customFormat="1" ht="41.25" customHeight="1" hidden="1">
      <c r="A166" s="54"/>
      <c r="B166" s="55"/>
      <c r="C166" s="52" t="s">
        <v>103</v>
      </c>
      <c r="D166" s="26" t="s">
        <v>1228</v>
      </c>
      <c r="E166" s="53">
        <v>0</v>
      </c>
      <c r="F166" s="53">
        <v>0</v>
      </c>
      <c r="G166" s="27" t="e">
        <f>F166/E166*100</f>
        <v>#DIV/0!</v>
      </c>
    </row>
    <row r="167" spans="1:7" s="40" customFormat="1" ht="27" customHeight="1">
      <c r="A167" s="54"/>
      <c r="B167" s="55"/>
      <c r="C167" s="52" t="s">
        <v>74</v>
      </c>
      <c r="D167" s="26" t="s">
        <v>75</v>
      </c>
      <c r="E167" s="53">
        <v>2054000</v>
      </c>
      <c r="F167" s="53">
        <v>0</v>
      </c>
      <c r="G167" s="27">
        <f>F167/E167*100</f>
        <v>0</v>
      </c>
    </row>
    <row r="168" spans="1:7" s="32" customFormat="1" ht="18.75" customHeight="1">
      <c r="A168" s="175" t="s">
        <v>947</v>
      </c>
      <c r="B168" s="176"/>
      <c r="C168" s="176"/>
      <c r="D168" s="177" t="s">
        <v>948</v>
      </c>
      <c r="E168" s="47">
        <f>SUM(E169,E174,E182)</f>
        <v>0</v>
      </c>
      <c r="F168" s="47">
        <f>SUM(F169,F174,F182)</f>
        <v>2500</v>
      </c>
      <c r="G168" s="15" t="s">
        <v>1142</v>
      </c>
    </row>
    <row r="169" spans="1:7" ht="18.75" customHeight="1" hidden="1">
      <c r="A169" s="151"/>
      <c r="B169" s="152" t="s">
        <v>949</v>
      </c>
      <c r="C169" s="152"/>
      <c r="D169" s="173" t="s">
        <v>950</v>
      </c>
      <c r="E169" s="155">
        <f>SUM(E170)</f>
        <v>0</v>
      </c>
      <c r="F169" s="155">
        <f>SUM(F170)</f>
        <v>0</v>
      </c>
      <c r="G169" s="21" t="e">
        <f>F169/E169*100</f>
        <v>#DIV/0!</v>
      </c>
    </row>
    <row r="170" spans="1:7" s="40" customFormat="1" ht="47.25" customHeight="1" hidden="1">
      <c r="A170" s="54"/>
      <c r="B170" s="55"/>
      <c r="C170" s="52" t="s">
        <v>103</v>
      </c>
      <c r="D170" s="26" t="s">
        <v>1228</v>
      </c>
      <c r="E170" s="53">
        <v>0</v>
      </c>
      <c r="F170" s="53">
        <v>0</v>
      </c>
      <c r="G170" s="191" t="e">
        <f>F170/E170*100</f>
        <v>#DIV/0!</v>
      </c>
    </row>
    <row r="171" spans="1:7" ht="20.25" customHeight="1" hidden="1">
      <c r="A171" s="151"/>
      <c r="B171" s="152" t="s">
        <v>377</v>
      </c>
      <c r="C171" s="185"/>
      <c r="D171" s="154" t="s">
        <v>378</v>
      </c>
      <c r="E171" s="155">
        <f>SUM(E172,E173)</f>
        <v>0</v>
      </c>
      <c r="F171" s="155">
        <f>SUM(F172,F173)</f>
        <v>0</v>
      </c>
      <c r="G171" s="190" t="e">
        <f>F171/E171*100</f>
        <v>#DIV/0!</v>
      </c>
    </row>
    <row r="172" spans="1:7" s="40" customFormat="1" ht="29.25" customHeight="1" hidden="1">
      <c r="A172" s="54"/>
      <c r="B172" s="55"/>
      <c r="C172" s="52" t="s">
        <v>48</v>
      </c>
      <c r="D172" s="26" t="s">
        <v>741</v>
      </c>
      <c r="E172" s="53">
        <v>0</v>
      </c>
      <c r="F172" s="53">
        <v>0</v>
      </c>
      <c r="G172" s="191" t="e">
        <f>F172/E172*100</f>
        <v>#DIV/0!</v>
      </c>
    </row>
    <row r="173" spans="1:7" s="40" customFormat="1" ht="39.75" customHeight="1" hidden="1">
      <c r="A173" s="54"/>
      <c r="B173" s="55"/>
      <c r="C173" s="52" t="s">
        <v>1274</v>
      </c>
      <c r="D173" s="26" t="s">
        <v>1275</v>
      </c>
      <c r="E173" s="53">
        <v>0</v>
      </c>
      <c r="F173" s="53">
        <v>0</v>
      </c>
      <c r="G173" s="191" t="e">
        <f>F173/E173*100</f>
        <v>#DIV/0!</v>
      </c>
    </row>
    <row r="174" spans="1:7" s="40" customFormat="1" ht="16.5" customHeight="1">
      <c r="A174" s="151"/>
      <c r="B174" s="152" t="s">
        <v>951</v>
      </c>
      <c r="C174" s="185"/>
      <c r="D174" s="154" t="s">
        <v>952</v>
      </c>
      <c r="E174" s="155">
        <f>SUM(E175)</f>
        <v>0</v>
      </c>
      <c r="F174" s="155">
        <f>SUM(F175)</f>
        <v>2500</v>
      </c>
      <c r="G174" s="190" t="s">
        <v>1142</v>
      </c>
    </row>
    <row r="175" spans="1:7" s="40" customFormat="1" ht="29.25" customHeight="1">
      <c r="A175" s="54"/>
      <c r="B175" s="55"/>
      <c r="C175" s="52" t="s">
        <v>740</v>
      </c>
      <c r="D175" s="26" t="s">
        <v>739</v>
      </c>
      <c r="E175" s="53">
        <v>0</v>
      </c>
      <c r="F175" s="53">
        <v>2500</v>
      </c>
      <c r="G175" s="27" t="s">
        <v>1142</v>
      </c>
    </row>
    <row r="176" spans="1:7" s="40" customFormat="1" ht="18.75" customHeight="1" hidden="1">
      <c r="A176" s="54"/>
      <c r="B176" s="55"/>
      <c r="C176" s="55" t="s">
        <v>49</v>
      </c>
      <c r="D176" s="26" t="s">
        <v>1099</v>
      </c>
      <c r="E176" s="53">
        <v>0</v>
      </c>
      <c r="F176" s="53">
        <v>0</v>
      </c>
      <c r="G176" s="27" t="s">
        <v>1142</v>
      </c>
    </row>
    <row r="177" spans="1:7" s="40" customFormat="1" ht="16.5" customHeight="1" hidden="1">
      <c r="A177" s="54"/>
      <c r="B177" s="55"/>
      <c r="C177" s="52" t="s">
        <v>47</v>
      </c>
      <c r="D177" s="26" t="s">
        <v>1102</v>
      </c>
      <c r="E177" s="53">
        <v>0</v>
      </c>
      <c r="F177" s="53">
        <v>0</v>
      </c>
      <c r="G177" s="191" t="s">
        <v>1142</v>
      </c>
    </row>
    <row r="178" spans="1:7" s="40" customFormat="1" ht="82.5" customHeight="1" hidden="1">
      <c r="A178" s="54"/>
      <c r="B178" s="55"/>
      <c r="C178" s="55" t="s">
        <v>798</v>
      </c>
      <c r="D178" s="26" t="s">
        <v>817</v>
      </c>
      <c r="E178" s="53">
        <v>0</v>
      </c>
      <c r="F178" s="53">
        <v>0</v>
      </c>
      <c r="G178" s="191" t="s">
        <v>1142</v>
      </c>
    </row>
    <row r="179" spans="1:7" s="40" customFormat="1" ht="16.5" customHeight="1" hidden="1">
      <c r="A179" s="151"/>
      <c r="B179" s="152" t="s">
        <v>953</v>
      </c>
      <c r="C179" s="185"/>
      <c r="D179" s="154" t="s">
        <v>1342</v>
      </c>
      <c r="E179" s="155">
        <f>SUM(E180,E181)</f>
        <v>0</v>
      </c>
      <c r="F179" s="155">
        <f>SUM(F180,F181)</f>
        <v>0</v>
      </c>
      <c r="G179" s="190" t="s">
        <v>1142</v>
      </c>
    </row>
    <row r="180" spans="1:7" s="40" customFormat="1" ht="18.75" customHeight="1" hidden="1">
      <c r="A180" s="54"/>
      <c r="B180" s="55"/>
      <c r="C180" s="55" t="s">
        <v>49</v>
      </c>
      <c r="D180" s="26" t="s">
        <v>1099</v>
      </c>
      <c r="E180" s="53">
        <v>0</v>
      </c>
      <c r="F180" s="53">
        <v>0</v>
      </c>
      <c r="G180" s="190" t="s">
        <v>1142</v>
      </c>
    </row>
    <row r="181" spans="1:7" s="40" customFormat="1" ht="16.5" customHeight="1" hidden="1">
      <c r="A181" s="54"/>
      <c r="B181" s="55"/>
      <c r="C181" s="52" t="s">
        <v>47</v>
      </c>
      <c r="D181" s="26" t="s">
        <v>1102</v>
      </c>
      <c r="E181" s="53">
        <v>0</v>
      </c>
      <c r="F181" s="53">
        <v>0</v>
      </c>
      <c r="G181" s="191" t="s">
        <v>1142</v>
      </c>
    </row>
    <row r="182" spans="1:7" s="40" customFormat="1" ht="17.25" customHeight="1" hidden="1">
      <c r="A182" s="151"/>
      <c r="B182" s="152" t="s">
        <v>399</v>
      </c>
      <c r="C182" s="185"/>
      <c r="D182" s="154" t="s">
        <v>825</v>
      </c>
      <c r="E182" s="155">
        <f>SUM(E184,E185,E186,E187)</f>
        <v>0</v>
      </c>
      <c r="F182" s="155">
        <f>SUM(F184,F185,F186,F187)</f>
        <v>0</v>
      </c>
      <c r="G182" s="190" t="e">
        <f aca="true" t="shared" si="9" ref="G182:G187">F182/E182*100</f>
        <v>#DIV/0!</v>
      </c>
    </row>
    <row r="183" spans="1:7" s="40" customFormat="1" ht="56.25" customHeight="1" hidden="1">
      <c r="A183" s="54"/>
      <c r="B183" s="55"/>
      <c r="C183" s="52" t="s">
        <v>119</v>
      </c>
      <c r="D183" s="26" t="s">
        <v>1221</v>
      </c>
      <c r="E183" s="53">
        <v>0</v>
      </c>
      <c r="F183" s="53">
        <v>0</v>
      </c>
      <c r="G183" s="191" t="e">
        <f t="shared" si="9"/>
        <v>#DIV/0!</v>
      </c>
    </row>
    <row r="184" spans="1:7" s="40" customFormat="1" ht="58.5" customHeight="1" hidden="1">
      <c r="A184" s="54"/>
      <c r="B184" s="55"/>
      <c r="C184" s="52" t="s">
        <v>102</v>
      </c>
      <c r="D184" s="26" t="s">
        <v>1236</v>
      </c>
      <c r="E184" s="53">
        <v>0</v>
      </c>
      <c r="F184" s="53">
        <v>0</v>
      </c>
      <c r="G184" s="191" t="e">
        <f t="shared" si="9"/>
        <v>#DIV/0!</v>
      </c>
    </row>
    <row r="185" spans="1:7" s="40" customFormat="1" ht="41.25" customHeight="1" hidden="1">
      <c r="A185" s="54"/>
      <c r="B185" s="55"/>
      <c r="C185" s="52" t="s">
        <v>103</v>
      </c>
      <c r="D185" s="26" t="s">
        <v>1228</v>
      </c>
      <c r="E185" s="53">
        <v>0</v>
      </c>
      <c r="F185" s="53">
        <v>0</v>
      </c>
      <c r="G185" s="191" t="e">
        <f t="shared" si="9"/>
        <v>#DIV/0!</v>
      </c>
    </row>
    <row r="186" spans="1:7" s="40" customFormat="1" ht="55.5" customHeight="1" hidden="1">
      <c r="A186" s="54"/>
      <c r="B186" s="55"/>
      <c r="C186" s="52" t="s">
        <v>179</v>
      </c>
      <c r="D186" s="41" t="s">
        <v>1140</v>
      </c>
      <c r="E186" s="53">
        <v>0</v>
      </c>
      <c r="F186" s="53">
        <v>0</v>
      </c>
      <c r="G186" s="191" t="s">
        <v>1142</v>
      </c>
    </row>
    <row r="187" spans="1:7" s="40" customFormat="1" ht="44.25" customHeight="1" hidden="1">
      <c r="A187" s="54"/>
      <c r="B187" s="55"/>
      <c r="C187" s="52" t="s">
        <v>100</v>
      </c>
      <c r="D187" s="26" t="s">
        <v>1249</v>
      </c>
      <c r="E187" s="53">
        <v>0</v>
      </c>
      <c r="F187" s="53">
        <v>0</v>
      </c>
      <c r="G187" s="191" t="e">
        <f t="shared" si="9"/>
        <v>#DIV/0!</v>
      </c>
    </row>
    <row r="188" spans="1:7" ht="19.5" customHeight="1">
      <c r="A188" s="175" t="s">
        <v>956</v>
      </c>
      <c r="B188" s="176"/>
      <c r="C188" s="192"/>
      <c r="D188" s="177" t="s">
        <v>957</v>
      </c>
      <c r="E188" s="47">
        <f>SUM(E189,E191,E193,E197,E199)</f>
        <v>14000</v>
      </c>
      <c r="F188" s="47">
        <f>SUM(F189,F191,F193,F197,F199)</f>
        <v>10574.15</v>
      </c>
      <c r="G188" s="15">
        <f>F188/E188*100</f>
        <v>75.52964285714285</v>
      </c>
    </row>
    <row r="189" spans="1:7" ht="18" customHeight="1">
      <c r="A189" s="151"/>
      <c r="B189" s="178" t="s">
        <v>400</v>
      </c>
      <c r="C189" s="178"/>
      <c r="D189" s="198" t="s">
        <v>401</v>
      </c>
      <c r="E189" s="180">
        <f>SUM(E190)</f>
        <v>0</v>
      </c>
      <c r="F189" s="180">
        <f>SUM(F190)</f>
        <v>3100</v>
      </c>
      <c r="G189" s="21" t="s">
        <v>1142</v>
      </c>
    </row>
    <row r="190" spans="1:7" ht="65.25" customHeight="1">
      <c r="A190" s="54"/>
      <c r="B190" s="193"/>
      <c r="C190" s="193" t="s">
        <v>1274</v>
      </c>
      <c r="D190" s="41" t="s">
        <v>161</v>
      </c>
      <c r="E190" s="199">
        <v>0</v>
      </c>
      <c r="F190" s="199">
        <v>3100</v>
      </c>
      <c r="G190" s="27" t="s">
        <v>1142</v>
      </c>
    </row>
    <row r="191" spans="1:7" ht="18" customHeight="1" hidden="1">
      <c r="A191" s="151"/>
      <c r="B191" s="178" t="s">
        <v>405</v>
      </c>
      <c r="C191" s="178"/>
      <c r="D191" s="198" t="s">
        <v>333</v>
      </c>
      <c r="E191" s="180">
        <f>SUM(E192)</f>
        <v>0</v>
      </c>
      <c r="F191" s="180">
        <f>SUM(F192)</f>
        <v>0</v>
      </c>
      <c r="G191" s="21" t="s">
        <v>1142</v>
      </c>
    </row>
    <row r="192" spans="1:7" ht="20.25" customHeight="1" hidden="1">
      <c r="A192" s="54"/>
      <c r="B192" s="193"/>
      <c r="C192" s="193" t="s">
        <v>47</v>
      </c>
      <c r="D192" s="174" t="s">
        <v>1102</v>
      </c>
      <c r="E192" s="199">
        <v>0</v>
      </c>
      <c r="F192" s="199">
        <v>0</v>
      </c>
      <c r="G192" s="27" t="s">
        <v>1142</v>
      </c>
    </row>
    <row r="193" spans="1:7" ht="19.5" customHeight="1">
      <c r="A193" s="151"/>
      <c r="B193" s="178" t="s">
        <v>409</v>
      </c>
      <c r="C193" s="200"/>
      <c r="D193" s="179" t="s">
        <v>410</v>
      </c>
      <c r="E193" s="180">
        <f>SUM(E194,E195,E196)</f>
        <v>0</v>
      </c>
      <c r="F193" s="180">
        <f>SUM(F194,F195,F196)</f>
        <v>478.15000000000003</v>
      </c>
      <c r="G193" s="21" t="s">
        <v>1142</v>
      </c>
    </row>
    <row r="194" spans="1:7" s="40" customFormat="1" ht="65.25" customHeight="1">
      <c r="A194" s="54"/>
      <c r="B194" s="193"/>
      <c r="C194" s="193" t="s">
        <v>76</v>
      </c>
      <c r="D194" s="206" t="s">
        <v>77</v>
      </c>
      <c r="E194" s="199">
        <v>0</v>
      </c>
      <c r="F194" s="199">
        <v>111.73</v>
      </c>
      <c r="G194" s="21" t="s">
        <v>1142</v>
      </c>
    </row>
    <row r="195" spans="1:7" ht="19.5" customHeight="1" hidden="1">
      <c r="A195" s="151"/>
      <c r="B195" s="178"/>
      <c r="C195" s="55" t="s">
        <v>47</v>
      </c>
      <c r="D195" s="174" t="s">
        <v>1102</v>
      </c>
      <c r="E195" s="199">
        <v>0</v>
      </c>
      <c r="F195" s="199">
        <v>0</v>
      </c>
      <c r="G195" s="21" t="s">
        <v>1142</v>
      </c>
    </row>
    <row r="196" spans="1:7" ht="67.5" customHeight="1">
      <c r="A196" s="151"/>
      <c r="B196" s="178"/>
      <c r="C196" s="193" t="s">
        <v>1274</v>
      </c>
      <c r="D196" s="41" t="s">
        <v>161</v>
      </c>
      <c r="E196" s="199">
        <v>0</v>
      </c>
      <c r="F196" s="199">
        <v>366.42</v>
      </c>
      <c r="G196" s="21" t="s">
        <v>1142</v>
      </c>
    </row>
    <row r="197" spans="1:7" ht="19.5" customHeight="1" hidden="1">
      <c r="A197" s="151"/>
      <c r="B197" s="178" t="s">
        <v>958</v>
      </c>
      <c r="C197" s="200"/>
      <c r="D197" s="179" t="s">
        <v>959</v>
      </c>
      <c r="E197" s="180">
        <f>SUM(E198)</f>
        <v>0</v>
      </c>
      <c r="F197" s="180">
        <f>SUM(F198)</f>
        <v>0</v>
      </c>
      <c r="G197" s="21" t="s">
        <v>1142</v>
      </c>
    </row>
    <row r="198" spans="1:7" ht="19.5" customHeight="1" hidden="1">
      <c r="A198" s="151"/>
      <c r="B198" s="178"/>
      <c r="C198" s="55" t="s">
        <v>47</v>
      </c>
      <c r="D198" s="174" t="s">
        <v>1102</v>
      </c>
      <c r="E198" s="199">
        <v>0</v>
      </c>
      <c r="F198" s="199">
        <v>0</v>
      </c>
      <c r="G198" s="21" t="s">
        <v>1142</v>
      </c>
    </row>
    <row r="199" spans="1:7" ht="19.5" customHeight="1">
      <c r="A199" s="151"/>
      <c r="B199" s="201" t="s">
        <v>411</v>
      </c>
      <c r="C199" s="202"/>
      <c r="D199" s="203" t="s">
        <v>825</v>
      </c>
      <c r="E199" s="204">
        <f>SUM(E200,E201)</f>
        <v>14000</v>
      </c>
      <c r="F199" s="204">
        <f>SUM(F200,F201)</f>
        <v>6996</v>
      </c>
      <c r="G199" s="44">
        <f>F199/E199*100</f>
        <v>49.971428571428575</v>
      </c>
    </row>
    <row r="200" spans="1:7" s="40" customFormat="1" ht="54" customHeight="1">
      <c r="A200" s="54"/>
      <c r="B200" s="55"/>
      <c r="C200" s="25">
        <v>2010</v>
      </c>
      <c r="D200" s="26" t="s">
        <v>1221</v>
      </c>
      <c r="E200" s="53">
        <v>14000</v>
      </c>
      <c r="F200" s="53">
        <v>6996</v>
      </c>
      <c r="G200" s="27">
        <f>F200/E200*100</f>
        <v>49.971428571428575</v>
      </c>
    </row>
    <row r="201" spans="1:7" s="40" customFormat="1" ht="55.5" customHeight="1" hidden="1">
      <c r="A201" s="54"/>
      <c r="B201" s="55"/>
      <c r="C201" s="25">
        <v>2020</v>
      </c>
      <c r="D201" s="26" t="s">
        <v>1236</v>
      </c>
      <c r="E201" s="53">
        <v>0</v>
      </c>
      <c r="F201" s="53"/>
      <c r="G201" s="27" t="e">
        <f>F201/E201*100</f>
        <v>#DIV/0!</v>
      </c>
    </row>
    <row r="202" spans="1:7" s="32" customFormat="1" ht="21.75" customHeight="1">
      <c r="A202" s="175" t="s">
        <v>110</v>
      </c>
      <c r="B202" s="176"/>
      <c r="C202" s="187"/>
      <c r="D202" s="45" t="s">
        <v>121</v>
      </c>
      <c r="E202" s="47">
        <f>SUM(E203,E206,E208,E214,E220,E225,E232,E234,E238,E242)</f>
        <v>8289851</v>
      </c>
      <c r="F202" s="47">
        <f>SUM(F203,F206,F208,F214,F220,F225,F232,F234,F238,F242)</f>
        <v>4301718.15</v>
      </c>
      <c r="G202" s="15">
        <f>F202/E202*100</f>
        <v>51.891380798038476</v>
      </c>
    </row>
    <row r="203" spans="1:7" s="32" customFormat="1" ht="21.75" customHeight="1">
      <c r="A203" s="151"/>
      <c r="B203" s="152" t="s">
        <v>111</v>
      </c>
      <c r="C203" s="153"/>
      <c r="D203" s="198" t="s">
        <v>748</v>
      </c>
      <c r="E203" s="155">
        <f>SUM(E204,E205)</f>
        <v>0</v>
      </c>
      <c r="F203" s="155">
        <f>SUM(F204,F205)</f>
        <v>3300</v>
      </c>
      <c r="G203" s="21" t="s">
        <v>1142</v>
      </c>
    </row>
    <row r="204" spans="1:7" s="205" customFormat="1" ht="27.75" customHeight="1">
      <c r="A204" s="54"/>
      <c r="B204" s="55"/>
      <c r="C204" s="52" t="s">
        <v>48</v>
      </c>
      <c r="D204" s="41" t="s">
        <v>741</v>
      </c>
      <c r="E204" s="199">
        <v>0</v>
      </c>
      <c r="F204" s="53">
        <v>3300</v>
      </c>
      <c r="G204" s="27" t="s">
        <v>1142</v>
      </c>
    </row>
    <row r="205" spans="1:8" s="32" customFormat="1" ht="21.75" customHeight="1" hidden="1">
      <c r="A205" s="54"/>
      <c r="B205" s="55"/>
      <c r="C205" s="52" t="s">
        <v>47</v>
      </c>
      <c r="D205" s="206" t="s">
        <v>1102</v>
      </c>
      <c r="E205" s="199">
        <v>0</v>
      </c>
      <c r="F205" s="53">
        <v>0</v>
      </c>
      <c r="G205" s="27" t="s">
        <v>1142</v>
      </c>
      <c r="H205" s="32" t="s">
        <v>593</v>
      </c>
    </row>
    <row r="206" spans="1:7" s="32" customFormat="1" ht="21.75" customHeight="1">
      <c r="A206" s="151"/>
      <c r="B206" s="152" t="s">
        <v>414</v>
      </c>
      <c r="C206" s="153"/>
      <c r="D206" s="198" t="s">
        <v>415</v>
      </c>
      <c r="E206" s="155">
        <f>SUM(E207)</f>
        <v>0</v>
      </c>
      <c r="F206" s="155">
        <f>SUM(F207)</f>
        <v>1919.17</v>
      </c>
      <c r="G206" s="21" t="s">
        <v>1142</v>
      </c>
    </row>
    <row r="207" spans="1:7" s="32" customFormat="1" ht="21.75" customHeight="1">
      <c r="A207" s="54"/>
      <c r="B207" s="55"/>
      <c r="C207" s="52" t="s">
        <v>47</v>
      </c>
      <c r="D207" s="206" t="s">
        <v>1102</v>
      </c>
      <c r="E207" s="199">
        <v>0</v>
      </c>
      <c r="F207" s="53">
        <v>1919.17</v>
      </c>
      <c r="G207" s="27" t="s">
        <v>1142</v>
      </c>
    </row>
    <row r="208" spans="1:7" ht="21.75" customHeight="1">
      <c r="A208" s="151"/>
      <c r="B208" s="152" t="s">
        <v>122</v>
      </c>
      <c r="C208" s="153"/>
      <c r="D208" s="198" t="s">
        <v>1227</v>
      </c>
      <c r="E208" s="155">
        <f>SUM(E209,E210,E211)</f>
        <v>152000</v>
      </c>
      <c r="F208" s="155">
        <f>SUM(F209,F210,F211)</f>
        <v>78152.6</v>
      </c>
      <c r="G208" s="21">
        <f>F208/E208*100</f>
        <v>51.41618421052632</v>
      </c>
    </row>
    <row r="209" spans="1:7" ht="23.25" customHeight="1">
      <c r="A209" s="151"/>
      <c r="B209" s="152"/>
      <c r="C209" s="52" t="s">
        <v>45</v>
      </c>
      <c r="D209" s="26" t="s">
        <v>1154</v>
      </c>
      <c r="E209" s="199">
        <v>15000</v>
      </c>
      <c r="F209" s="53">
        <v>8521.6</v>
      </c>
      <c r="G209" s="27">
        <f>F209/E209*100</f>
        <v>56.81066666666666</v>
      </c>
    </row>
    <row r="210" spans="1:7" s="32" customFormat="1" ht="21.75" customHeight="1" hidden="1">
      <c r="A210" s="54"/>
      <c r="B210" s="55"/>
      <c r="C210" s="52" t="s">
        <v>47</v>
      </c>
      <c r="D210" s="206" t="s">
        <v>1102</v>
      </c>
      <c r="E210" s="199">
        <v>0</v>
      </c>
      <c r="F210" s="53">
        <v>0</v>
      </c>
      <c r="G210" s="27" t="s">
        <v>1142</v>
      </c>
    </row>
    <row r="211" spans="1:7" s="40" customFormat="1" ht="58.5" customHeight="1">
      <c r="A211" s="54"/>
      <c r="B211" s="55"/>
      <c r="C211" s="25">
        <v>2010</v>
      </c>
      <c r="D211" s="26" t="s">
        <v>1221</v>
      </c>
      <c r="E211" s="199">
        <v>137000</v>
      </c>
      <c r="F211" s="53">
        <v>69631</v>
      </c>
      <c r="G211" s="27">
        <f>F211/E211*100</f>
        <v>50.82554744525547</v>
      </c>
    </row>
    <row r="212" spans="1:7" s="32" customFormat="1" ht="21.75" customHeight="1" hidden="1">
      <c r="A212" s="151"/>
      <c r="B212" s="152" t="s">
        <v>416</v>
      </c>
      <c r="C212" s="153"/>
      <c r="D212" s="198" t="s">
        <v>417</v>
      </c>
      <c r="E212" s="155">
        <f>SUM(E213)</f>
        <v>0</v>
      </c>
      <c r="F212" s="155">
        <f>SUM(F213)</f>
        <v>0</v>
      </c>
      <c r="G212" s="21" t="s">
        <v>1142</v>
      </c>
    </row>
    <row r="213" spans="1:8" s="32" customFormat="1" ht="21.75" customHeight="1" hidden="1">
      <c r="A213" s="54"/>
      <c r="B213" s="55"/>
      <c r="C213" s="52" t="s">
        <v>47</v>
      </c>
      <c r="D213" s="206" t="s">
        <v>1102</v>
      </c>
      <c r="E213" s="199">
        <v>0</v>
      </c>
      <c r="F213" s="53">
        <v>0</v>
      </c>
      <c r="G213" s="27" t="s">
        <v>1142</v>
      </c>
      <c r="H213" s="32" t="s">
        <v>593</v>
      </c>
    </row>
    <row r="214" spans="1:7" ht="46.5" customHeight="1">
      <c r="A214" s="151"/>
      <c r="B214" s="152" t="s">
        <v>112</v>
      </c>
      <c r="C214" s="153"/>
      <c r="D214" s="207" t="s">
        <v>460</v>
      </c>
      <c r="E214" s="180">
        <f>SUM(E215,E216,E217,E218,E219)</f>
        <v>5652931</v>
      </c>
      <c r="F214" s="180">
        <f>SUM(F215,F216,F217,F218,F219)</f>
        <v>2849608.75</v>
      </c>
      <c r="G214" s="21">
        <f aca="true" t="shared" si="10" ref="G214:G225">F214/E214*100</f>
        <v>50.40940266208804</v>
      </c>
    </row>
    <row r="215" spans="1:7" s="40" customFormat="1" ht="18.75" customHeight="1">
      <c r="A215" s="54"/>
      <c r="B215" s="55"/>
      <c r="C215" s="55" t="s">
        <v>46</v>
      </c>
      <c r="D215" s="174" t="s">
        <v>1152</v>
      </c>
      <c r="E215" s="53">
        <v>11000</v>
      </c>
      <c r="F215" s="53">
        <v>4190.81</v>
      </c>
      <c r="G215" s="27">
        <f>F215/E215*100</f>
        <v>38.09827272727273</v>
      </c>
    </row>
    <row r="216" spans="1:7" ht="18" customHeight="1" hidden="1">
      <c r="A216" s="151"/>
      <c r="B216" s="152"/>
      <c r="C216" s="52" t="s">
        <v>47</v>
      </c>
      <c r="D216" s="26" t="s">
        <v>1102</v>
      </c>
      <c r="E216" s="53">
        <v>0</v>
      </c>
      <c r="F216" s="53">
        <v>0</v>
      </c>
      <c r="G216" s="27" t="s">
        <v>1142</v>
      </c>
    </row>
    <row r="217" spans="1:7" ht="29.25" customHeight="1">
      <c r="A217" s="151"/>
      <c r="B217" s="152"/>
      <c r="C217" s="52" t="s">
        <v>78</v>
      </c>
      <c r="D217" s="26" t="s">
        <v>79</v>
      </c>
      <c r="E217" s="53">
        <v>26931</v>
      </c>
      <c r="F217" s="53">
        <v>4905.53</v>
      </c>
      <c r="G217" s="27">
        <f t="shared" si="10"/>
        <v>18.215179532880324</v>
      </c>
    </row>
    <row r="218" spans="1:7" s="208" customFormat="1" ht="58.5" customHeight="1">
      <c r="A218" s="54"/>
      <c r="B218" s="55"/>
      <c r="C218" s="25">
        <v>2010</v>
      </c>
      <c r="D218" s="26" t="s">
        <v>1221</v>
      </c>
      <c r="E218" s="53">
        <v>5580000</v>
      </c>
      <c r="F218" s="53">
        <v>2825000</v>
      </c>
      <c r="G218" s="27">
        <f t="shared" si="10"/>
        <v>50.62724014336918</v>
      </c>
    </row>
    <row r="219" spans="1:7" s="208" customFormat="1" ht="68.25" customHeight="1">
      <c r="A219" s="54"/>
      <c r="B219" s="55"/>
      <c r="C219" s="25">
        <v>2910</v>
      </c>
      <c r="D219" s="26" t="s">
        <v>161</v>
      </c>
      <c r="E219" s="53">
        <v>35000</v>
      </c>
      <c r="F219" s="53">
        <v>15512.41</v>
      </c>
      <c r="G219" s="27">
        <f t="shared" si="10"/>
        <v>44.321171428571425</v>
      </c>
    </row>
    <row r="220" spans="1:7" ht="69" customHeight="1">
      <c r="A220" s="151"/>
      <c r="B220" s="152" t="s">
        <v>113</v>
      </c>
      <c r="C220" s="153"/>
      <c r="D220" s="19" t="s">
        <v>226</v>
      </c>
      <c r="E220" s="155">
        <f>SUM(E221,E222,E223,E224)</f>
        <v>133000</v>
      </c>
      <c r="F220" s="155">
        <f>SUM(F221,F222,F223,F224)</f>
        <v>43433.44</v>
      </c>
      <c r="G220" s="21">
        <f t="shared" si="10"/>
        <v>32.65672180451128</v>
      </c>
    </row>
    <row r="221" spans="1:7" s="40" customFormat="1" ht="21" customHeight="1" hidden="1">
      <c r="A221" s="54"/>
      <c r="B221" s="55"/>
      <c r="C221" s="52" t="s">
        <v>47</v>
      </c>
      <c r="D221" s="26" t="s">
        <v>1102</v>
      </c>
      <c r="E221" s="53">
        <v>0</v>
      </c>
      <c r="F221" s="53">
        <v>0</v>
      </c>
      <c r="G221" s="27" t="s">
        <v>1142</v>
      </c>
    </row>
    <row r="222" spans="1:7" s="40" customFormat="1" ht="56.25" customHeight="1">
      <c r="A222" s="54"/>
      <c r="B222" s="55"/>
      <c r="C222" s="25">
        <v>2010</v>
      </c>
      <c r="D222" s="26" t="s">
        <v>1221</v>
      </c>
      <c r="E222" s="53">
        <v>13000</v>
      </c>
      <c r="F222" s="53">
        <v>6498</v>
      </c>
      <c r="G222" s="27">
        <f t="shared" si="10"/>
        <v>49.98461538461538</v>
      </c>
    </row>
    <row r="223" spans="1:7" s="40" customFormat="1" ht="40.5" customHeight="1">
      <c r="A223" s="54"/>
      <c r="B223" s="55"/>
      <c r="C223" s="25">
        <v>2030</v>
      </c>
      <c r="D223" s="26" t="s">
        <v>1228</v>
      </c>
      <c r="E223" s="53">
        <v>119000</v>
      </c>
      <c r="F223" s="53">
        <v>36682</v>
      </c>
      <c r="G223" s="27">
        <f t="shared" si="10"/>
        <v>30.82521008403361</v>
      </c>
    </row>
    <row r="224" spans="1:7" s="208" customFormat="1" ht="65.25" customHeight="1">
      <c r="A224" s="54"/>
      <c r="B224" s="55"/>
      <c r="C224" s="25">
        <v>2910</v>
      </c>
      <c r="D224" s="26" t="s">
        <v>161</v>
      </c>
      <c r="E224" s="53">
        <v>1000</v>
      </c>
      <c r="F224" s="53">
        <v>253.44</v>
      </c>
      <c r="G224" s="27">
        <f>F224/E224*100</f>
        <v>25.344</v>
      </c>
    </row>
    <row r="225" spans="1:7" ht="32.25" customHeight="1">
      <c r="A225" s="54"/>
      <c r="B225" s="152" t="s">
        <v>114</v>
      </c>
      <c r="C225" s="25"/>
      <c r="D225" s="19" t="s">
        <v>300</v>
      </c>
      <c r="E225" s="155">
        <f>SUM(E226,E227,E228,E229)</f>
        <v>323000</v>
      </c>
      <c r="F225" s="155">
        <f>SUM(F226,F227,F228,F229)</f>
        <v>159623.29</v>
      </c>
      <c r="G225" s="21">
        <f t="shared" si="10"/>
        <v>49.41897523219814</v>
      </c>
    </row>
    <row r="226" spans="1:7" s="40" customFormat="1" ht="21" customHeight="1">
      <c r="A226" s="54"/>
      <c r="B226" s="55"/>
      <c r="C226" s="52" t="s">
        <v>47</v>
      </c>
      <c r="D226" s="26" t="s">
        <v>1102</v>
      </c>
      <c r="E226" s="53">
        <v>0</v>
      </c>
      <c r="F226" s="53">
        <v>1620</v>
      </c>
      <c r="G226" s="27" t="s">
        <v>1142</v>
      </c>
    </row>
    <row r="227" spans="1:7" s="40" customFormat="1" ht="57" customHeight="1" hidden="1">
      <c r="A227" s="54"/>
      <c r="B227" s="55"/>
      <c r="C227" s="25">
        <v>2010</v>
      </c>
      <c r="D227" s="26" t="s">
        <v>1221</v>
      </c>
      <c r="E227" s="53">
        <v>0</v>
      </c>
      <c r="F227" s="53">
        <v>0</v>
      </c>
      <c r="G227" s="27" t="e">
        <f aca="true" t="shared" si="11" ref="G227:G234">F227/E227*100</f>
        <v>#DIV/0!</v>
      </c>
    </row>
    <row r="228" spans="1:7" s="40" customFormat="1" ht="44.25" customHeight="1">
      <c r="A228" s="54"/>
      <c r="B228" s="55"/>
      <c r="C228" s="25">
        <v>2030</v>
      </c>
      <c r="D228" s="26" t="s">
        <v>1228</v>
      </c>
      <c r="E228" s="53">
        <v>305000</v>
      </c>
      <c r="F228" s="53">
        <v>152502</v>
      </c>
      <c r="G228" s="27">
        <f t="shared" si="11"/>
        <v>50.00065573770491</v>
      </c>
    </row>
    <row r="229" spans="1:7" s="40" customFormat="1" ht="63.75" customHeight="1">
      <c r="A229" s="54"/>
      <c r="B229" s="55"/>
      <c r="C229" s="25">
        <v>2910</v>
      </c>
      <c r="D229" s="26" t="s">
        <v>161</v>
      </c>
      <c r="E229" s="53">
        <v>18000</v>
      </c>
      <c r="F229" s="53">
        <v>5501.29</v>
      </c>
      <c r="G229" s="27">
        <f t="shared" si="11"/>
        <v>30.56272222222222</v>
      </c>
    </row>
    <row r="230" spans="1:7" ht="20.25" customHeight="1" hidden="1">
      <c r="A230" s="54"/>
      <c r="B230" s="152" t="s">
        <v>115</v>
      </c>
      <c r="C230" s="25"/>
      <c r="D230" s="19" t="s">
        <v>965</v>
      </c>
      <c r="E230" s="155">
        <f>SUM(E231)</f>
        <v>0</v>
      </c>
      <c r="F230" s="155">
        <f>SUM(F231)</f>
        <v>0</v>
      </c>
      <c r="G230" s="27" t="e">
        <f t="shared" si="11"/>
        <v>#DIV/0!</v>
      </c>
    </row>
    <row r="231" spans="1:7" s="40" customFormat="1" ht="21" customHeight="1" hidden="1">
      <c r="A231" s="54"/>
      <c r="B231" s="55"/>
      <c r="C231" s="52" t="s">
        <v>47</v>
      </c>
      <c r="D231" s="26" t="s">
        <v>1102</v>
      </c>
      <c r="E231" s="53">
        <v>0</v>
      </c>
      <c r="F231" s="53">
        <v>0</v>
      </c>
      <c r="G231" s="27" t="e">
        <f t="shared" si="11"/>
        <v>#DIV/0!</v>
      </c>
    </row>
    <row r="232" spans="1:7" ht="20.25" customHeight="1">
      <c r="A232" s="54"/>
      <c r="B232" s="152" t="s">
        <v>80</v>
      </c>
      <c r="C232" s="25"/>
      <c r="D232" s="19" t="s">
        <v>355</v>
      </c>
      <c r="E232" s="155">
        <f>SUM(E233)</f>
        <v>773000</v>
      </c>
      <c r="F232" s="155">
        <f>SUM(F233)</f>
        <v>401502</v>
      </c>
      <c r="G232" s="21">
        <f t="shared" si="11"/>
        <v>51.940750323415266</v>
      </c>
    </row>
    <row r="233" spans="1:7" s="40" customFormat="1" ht="39.75" customHeight="1">
      <c r="A233" s="54"/>
      <c r="B233" s="55"/>
      <c r="C233" s="52" t="s">
        <v>103</v>
      </c>
      <c r="D233" s="26" t="s">
        <v>1228</v>
      </c>
      <c r="E233" s="53">
        <v>773000</v>
      </c>
      <c r="F233" s="53">
        <v>401502</v>
      </c>
      <c r="G233" s="27">
        <f t="shared" si="11"/>
        <v>51.940750323415266</v>
      </c>
    </row>
    <row r="234" spans="1:7" ht="21.75" customHeight="1">
      <c r="A234" s="151"/>
      <c r="B234" s="152" t="s">
        <v>116</v>
      </c>
      <c r="C234" s="153"/>
      <c r="D234" s="19" t="s">
        <v>966</v>
      </c>
      <c r="E234" s="155">
        <f>SUM(E235,E236,E237)</f>
        <v>589000</v>
      </c>
      <c r="F234" s="155">
        <f>SUM(F235,F236,F237)</f>
        <v>305524.16</v>
      </c>
      <c r="G234" s="21">
        <f t="shared" si="11"/>
        <v>51.871674023769096</v>
      </c>
    </row>
    <row r="235" spans="1:7" s="40" customFormat="1" ht="21.75" customHeight="1" hidden="1">
      <c r="A235" s="54"/>
      <c r="B235" s="55"/>
      <c r="C235" s="52" t="s">
        <v>46</v>
      </c>
      <c r="D235" s="174" t="s">
        <v>1152</v>
      </c>
      <c r="E235" s="53">
        <v>0</v>
      </c>
      <c r="F235" s="53"/>
      <c r="G235" s="27" t="s">
        <v>1142</v>
      </c>
    </row>
    <row r="236" spans="1:7" ht="21.75" customHeight="1">
      <c r="A236" s="151"/>
      <c r="B236" s="152"/>
      <c r="C236" s="52" t="s">
        <v>47</v>
      </c>
      <c r="D236" s="26" t="s">
        <v>1102</v>
      </c>
      <c r="E236" s="53">
        <v>0</v>
      </c>
      <c r="F236" s="53">
        <v>24.16</v>
      </c>
      <c r="G236" s="27" t="s">
        <v>1142</v>
      </c>
    </row>
    <row r="237" spans="1:7" s="40" customFormat="1" ht="43.5" customHeight="1">
      <c r="A237" s="54"/>
      <c r="B237" s="55"/>
      <c r="C237" s="52" t="s">
        <v>103</v>
      </c>
      <c r="D237" s="26" t="s">
        <v>1228</v>
      </c>
      <c r="E237" s="53">
        <v>589000</v>
      </c>
      <c r="F237" s="53">
        <v>305500</v>
      </c>
      <c r="G237" s="27">
        <f>F237/E237*100</f>
        <v>51.86757215619694</v>
      </c>
    </row>
    <row r="238" spans="1:7" ht="27.75" customHeight="1">
      <c r="A238" s="151"/>
      <c r="B238" s="152" t="s">
        <v>118</v>
      </c>
      <c r="C238" s="153"/>
      <c r="D238" s="19" t="s">
        <v>969</v>
      </c>
      <c r="E238" s="155">
        <f>SUM(E239,E240,E241)</f>
        <v>151000</v>
      </c>
      <c r="F238" s="155">
        <f>SUM(F239,F240,F241)</f>
        <v>77390.73999999999</v>
      </c>
      <c r="G238" s="21">
        <f>F238/E238*100</f>
        <v>51.252145695364234</v>
      </c>
    </row>
    <row r="239" spans="1:7" s="40" customFormat="1" ht="17.25" customHeight="1">
      <c r="A239" s="54"/>
      <c r="B239" s="55"/>
      <c r="C239" s="52" t="s">
        <v>45</v>
      </c>
      <c r="D239" s="41" t="s">
        <v>1154</v>
      </c>
      <c r="E239" s="53">
        <v>66000</v>
      </c>
      <c r="F239" s="53">
        <v>34892.74</v>
      </c>
      <c r="G239" s="27">
        <f>F239/E239*100</f>
        <v>52.86778787878787</v>
      </c>
    </row>
    <row r="240" spans="1:7" s="40" customFormat="1" ht="17.25" customHeight="1" hidden="1">
      <c r="A240" s="54"/>
      <c r="B240" s="55"/>
      <c r="C240" s="52" t="s">
        <v>46</v>
      </c>
      <c r="D240" s="174" t="s">
        <v>1152</v>
      </c>
      <c r="E240" s="53">
        <v>0</v>
      </c>
      <c r="F240" s="53"/>
      <c r="G240" s="27" t="s">
        <v>1142</v>
      </c>
    </row>
    <row r="241" spans="1:7" ht="56.25" customHeight="1">
      <c r="A241" s="54"/>
      <c r="B241" s="55"/>
      <c r="C241" s="52" t="s">
        <v>119</v>
      </c>
      <c r="D241" s="26" t="s">
        <v>1221</v>
      </c>
      <c r="E241" s="53">
        <v>85000</v>
      </c>
      <c r="F241" s="53">
        <v>42498</v>
      </c>
      <c r="G241" s="27">
        <f>F241/E241*100</f>
        <v>49.99764705882353</v>
      </c>
    </row>
    <row r="242" spans="1:7" ht="18" customHeight="1">
      <c r="A242" s="151"/>
      <c r="B242" s="152" t="s">
        <v>120</v>
      </c>
      <c r="C242" s="185"/>
      <c r="D242" s="19" t="s">
        <v>825</v>
      </c>
      <c r="E242" s="155">
        <f>SUM(E243,E244,E245,E246)</f>
        <v>515920</v>
      </c>
      <c r="F242" s="155">
        <f>SUM(F243,F244,F245,F246)</f>
        <v>381264</v>
      </c>
      <c r="G242" s="21">
        <f>F242/E242*100</f>
        <v>73.89982943091951</v>
      </c>
    </row>
    <row r="243" spans="1:7" s="40" customFormat="1" ht="30.75" customHeight="1" hidden="1">
      <c r="A243" s="54"/>
      <c r="B243" s="55"/>
      <c r="C243" s="52" t="s">
        <v>48</v>
      </c>
      <c r="D243" s="26" t="s">
        <v>741</v>
      </c>
      <c r="E243" s="53">
        <v>0</v>
      </c>
      <c r="F243" s="53">
        <v>0</v>
      </c>
      <c r="G243" s="27" t="s">
        <v>1142</v>
      </c>
    </row>
    <row r="244" spans="1:7" s="40" customFormat="1" ht="55.5" customHeight="1">
      <c r="A244" s="54"/>
      <c r="B244" s="55"/>
      <c r="C244" s="52" t="s">
        <v>102</v>
      </c>
      <c r="D244" s="41" t="s">
        <v>1236</v>
      </c>
      <c r="E244" s="53">
        <v>6000</v>
      </c>
      <c r="F244" s="53">
        <v>0</v>
      </c>
      <c r="G244" s="27">
        <f>F244/E244*100</f>
        <v>0</v>
      </c>
    </row>
    <row r="245" spans="1:7" ht="42" customHeight="1">
      <c r="A245" s="54"/>
      <c r="B245" s="55"/>
      <c r="C245" s="52" t="s">
        <v>103</v>
      </c>
      <c r="D245" s="26" t="s">
        <v>1228</v>
      </c>
      <c r="E245" s="53">
        <v>509920</v>
      </c>
      <c r="F245" s="53">
        <v>381264</v>
      </c>
      <c r="G245" s="27">
        <f>F245/E245*100</f>
        <v>74.76937558832758</v>
      </c>
    </row>
    <row r="246" spans="1:7" ht="54.75" customHeight="1" hidden="1">
      <c r="A246" s="54"/>
      <c r="B246" s="55"/>
      <c r="C246" s="37" t="s">
        <v>105</v>
      </c>
      <c r="D246" s="41" t="s">
        <v>142</v>
      </c>
      <c r="E246" s="53">
        <v>0</v>
      </c>
      <c r="F246" s="53">
        <v>0</v>
      </c>
      <c r="G246" s="27" t="e">
        <f>F246/E246*100</f>
        <v>#DIV/0!</v>
      </c>
    </row>
    <row r="247" spans="1:7" s="32" customFormat="1" ht="30" customHeight="1">
      <c r="A247" s="175" t="s">
        <v>960</v>
      </c>
      <c r="B247" s="176"/>
      <c r="C247" s="209"/>
      <c r="D247" s="188" t="s">
        <v>420</v>
      </c>
      <c r="E247" s="47">
        <f>SUM(E248)</f>
        <v>1095270</v>
      </c>
      <c r="F247" s="47">
        <f>SUM(F248)</f>
        <v>1095390.63</v>
      </c>
      <c r="G247" s="15">
        <f>F247/E247*100</f>
        <v>100.01101372264371</v>
      </c>
    </row>
    <row r="248" spans="1:7" ht="20.25" customHeight="1">
      <c r="A248" s="151"/>
      <c r="B248" s="152" t="s">
        <v>424</v>
      </c>
      <c r="C248" s="185"/>
      <c r="D248" s="19" t="s">
        <v>825</v>
      </c>
      <c r="E248" s="155">
        <f>SUM(E249,E250,E251,E253,E255)</f>
        <v>1095270</v>
      </c>
      <c r="F248" s="155">
        <f>SUM(F249,F250,F251,F253,F255)</f>
        <v>1095390.63</v>
      </c>
      <c r="G248" s="21">
        <f>F248/E248*100</f>
        <v>100.01101372264371</v>
      </c>
    </row>
    <row r="249" spans="1:7" ht="21.75" customHeight="1" hidden="1">
      <c r="A249" s="151"/>
      <c r="B249" s="152"/>
      <c r="C249" s="52" t="s">
        <v>47</v>
      </c>
      <c r="D249" s="26" t="s">
        <v>1102</v>
      </c>
      <c r="E249" s="53">
        <v>0</v>
      </c>
      <c r="F249" s="53">
        <v>0</v>
      </c>
      <c r="G249" s="27" t="s">
        <v>1142</v>
      </c>
    </row>
    <row r="250" spans="1:7" ht="20.25" customHeight="1" hidden="1">
      <c r="A250" s="151"/>
      <c r="B250" s="152"/>
      <c r="C250" s="52" t="s">
        <v>813</v>
      </c>
      <c r="D250" s="174" t="s">
        <v>1152</v>
      </c>
      <c r="E250" s="53">
        <v>0</v>
      </c>
      <c r="F250" s="53"/>
      <c r="G250" s="27" t="s">
        <v>1142</v>
      </c>
    </row>
    <row r="251" spans="1:7" ht="65.25" customHeight="1">
      <c r="A251" s="54"/>
      <c r="B251" s="55"/>
      <c r="C251" s="52" t="s">
        <v>67</v>
      </c>
      <c r="D251" s="26" t="s">
        <v>517</v>
      </c>
      <c r="E251" s="53">
        <v>959756</v>
      </c>
      <c r="F251" s="53">
        <v>959769.37</v>
      </c>
      <c r="G251" s="27">
        <f>F251/E251*100</f>
        <v>100.00139306240337</v>
      </c>
    </row>
    <row r="252" spans="1:7" ht="14.25" customHeight="1">
      <c r="A252" s="54"/>
      <c r="B252" s="55"/>
      <c r="C252" s="52"/>
      <c r="D252" s="26" t="s">
        <v>68</v>
      </c>
      <c r="E252" s="53"/>
      <c r="F252" s="53"/>
      <c r="G252" s="27"/>
    </row>
    <row r="253" spans="1:7" ht="63.75" customHeight="1">
      <c r="A253" s="54"/>
      <c r="B253" s="55"/>
      <c r="C253" s="52" t="s">
        <v>270</v>
      </c>
      <c r="D253" s="26" t="s">
        <v>517</v>
      </c>
      <c r="E253" s="53">
        <v>135514</v>
      </c>
      <c r="F253" s="53">
        <v>135501.06</v>
      </c>
      <c r="G253" s="27">
        <f>F253/E253*100</f>
        <v>99.99045117109672</v>
      </c>
    </row>
    <row r="254" spans="1:7" ht="75.75" customHeight="1">
      <c r="A254" s="54"/>
      <c r="B254" s="55"/>
      <c r="C254" s="52"/>
      <c r="D254" s="26" t="s">
        <v>1334</v>
      </c>
      <c r="E254" s="53"/>
      <c r="F254" s="53"/>
      <c r="G254" s="27"/>
    </row>
    <row r="255" spans="1:7" s="40" customFormat="1" ht="67.5" customHeight="1">
      <c r="A255" s="54"/>
      <c r="B255" s="55"/>
      <c r="C255" s="25">
        <v>2910</v>
      </c>
      <c r="D255" s="26" t="s">
        <v>161</v>
      </c>
      <c r="E255" s="53">
        <v>0</v>
      </c>
      <c r="F255" s="53">
        <v>120.2</v>
      </c>
      <c r="G255" s="27" t="s">
        <v>1142</v>
      </c>
    </row>
    <row r="256" spans="1:7" ht="21" customHeight="1">
      <c r="A256" s="175" t="s">
        <v>970</v>
      </c>
      <c r="B256" s="176"/>
      <c r="C256" s="176"/>
      <c r="D256" s="188" t="s">
        <v>974</v>
      </c>
      <c r="E256" s="47">
        <f>SUM(E257)</f>
        <v>65206</v>
      </c>
      <c r="F256" s="47">
        <f>SUM(F257)</f>
        <v>65206</v>
      </c>
      <c r="G256" s="15">
        <f aca="true" t="shared" si="12" ref="G256:G276">F256/E256*100</f>
        <v>100</v>
      </c>
    </row>
    <row r="257" spans="1:7" ht="17.25" customHeight="1">
      <c r="A257" s="151"/>
      <c r="B257" s="152" t="s">
        <v>1046</v>
      </c>
      <c r="C257" s="152"/>
      <c r="D257" s="154" t="s">
        <v>1047</v>
      </c>
      <c r="E257" s="155">
        <f>SUM(E258)</f>
        <v>65206</v>
      </c>
      <c r="F257" s="155">
        <f>SUM(F258)</f>
        <v>65206</v>
      </c>
      <c r="G257" s="21">
        <f t="shared" si="12"/>
        <v>100</v>
      </c>
    </row>
    <row r="258" spans="1:7" s="40" customFormat="1" ht="41.25" customHeight="1">
      <c r="A258" s="54"/>
      <c r="B258" s="55"/>
      <c r="C258" s="55" t="s">
        <v>103</v>
      </c>
      <c r="D258" s="26" t="s">
        <v>1228</v>
      </c>
      <c r="E258" s="53">
        <v>65206</v>
      </c>
      <c r="F258" s="53">
        <v>65206</v>
      </c>
      <c r="G258" s="27">
        <f t="shared" si="12"/>
        <v>100</v>
      </c>
    </row>
    <row r="259" spans="1:7" s="40" customFormat="1" ht="29.25" customHeight="1">
      <c r="A259" s="175" t="s">
        <v>1049</v>
      </c>
      <c r="B259" s="176"/>
      <c r="C259" s="176"/>
      <c r="D259" s="188" t="s">
        <v>1155</v>
      </c>
      <c r="E259" s="47">
        <f>SUM(E260,E265,E270,E274,E272,E276)</f>
        <v>15203769</v>
      </c>
      <c r="F259" s="47">
        <f>SUM(F260,F265,F270,F274,F272,F276)</f>
        <v>8993192.12</v>
      </c>
      <c r="G259" s="15">
        <f t="shared" si="12"/>
        <v>59.151070501005364</v>
      </c>
    </row>
    <row r="260" spans="1:7" ht="21.75" customHeight="1" hidden="1">
      <c r="A260" s="151"/>
      <c r="B260" s="152" t="s">
        <v>123</v>
      </c>
      <c r="C260" s="185"/>
      <c r="D260" s="154" t="s">
        <v>124</v>
      </c>
      <c r="E260" s="155">
        <f>SUM(E261,E262,E263,E264)</f>
        <v>0</v>
      </c>
      <c r="F260" s="155">
        <f>SUM(F261,F262,F263,F264)</f>
        <v>0</v>
      </c>
      <c r="G260" s="21" t="e">
        <f t="shared" si="12"/>
        <v>#DIV/0!</v>
      </c>
    </row>
    <row r="261" spans="1:7" s="40" customFormat="1" ht="21.75" customHeight="1" hidden="1">
      <c r="A261" s="54"/>
      <c r="B261" s="55"/>
      <c r="C261" s="52" t="s">
        <v>1</v>
      </c>
      <c r="D261" s="26" t="s">
        <v>0</v>
      </c>
      <c r="E261" s="53">
        <v>0</v>
      </c>
      <c r="F261" s="53"/>
      <c r="G261" s="27" t="e">
        <f t="shared" si="12"/>
        <v>#DIV/0!</v>
      </c>
    </row>
    <row r="262" spans="1:7" s="40" customFormat="1" ht="21.75" customHeight="1" hidden="1">
      <c r="A262" s="54"/>
      <c r="B262" s="55"/>
      <c r="C262" s="52" t="s">
        <v>47</v>
      </c>
      <c r="D262" s="26" t="s">
        <v>1102</v>
      </c>
      <c r="E262" s="53">
        <v>0</v>
      </c>
      <c r="F262" s="53"/>
      <c r="G262" s="27" t="e">
        <f t="shared" si="12"/>
        <v>#DIV/0!</v>
      </c>
    </row>
    <row r="263" spans="1:7" ht="30.75" customHeight="1" hidden="1">
      <c r="A263" s="54"/>
      <c r="B263" s="55"/>
      <c r="C263" s="52" t="s">
        <v>53</v>
      </c>
      <c r="D263" s="26" t="s">
        <v>1235</v>
      </c>
      <c r="E263" s="53">
        <v>0</v>
      </c>
      <c r="F263" s="53"/>
      <c r="G263" s="27" t="e">
        <f t="shared" si="12"/>
        <v>#DIV/0!</v>
      </c>
    </row>
    <row r="264" spans="1:7" ht="54" customHeight="1" hidden="1">
      <c r="A264" s="54"/>
      <c r="B264" s="55"/>
      <c r="C264" s="52" t="s">
        <v>436</v>
      </c>
      <c r="D264" s="26" t="s">
        <v>440</v>
      </c>
      <c r="E264" s="53">
        <v>0</v>
      </c>
      <c r="F264" s="53">
        <v>0</v>
      </c>
      <c r="G264" s="27" t="e">
        <f t="shared" si="12"/>
        <v>#DIV/0!</v>
      </c>
    </row>
    <row r="265" spans="1:7" ht="18" customHeight="1">
      <c r="A265" s="151"/>
      <c r="B265" s="152" t="s">
        <v>455</v>
      </c>
      <c r="C265" s="185"/>
      <c r="D265" s="154" t="s">
        <v>456</v>
      </c>
      <c r="E265" s="155">
        <f>SUM(E266,E267,E268)</f>
        <v>3013000</v>
      </c>
      <c r="F265" s="155">
        <f>SUM(F266,F267,F268)</f>
        <v>0</v>
      </c>
      <c r="G265" s="21">
        <f t="shared" si="12"/>
        <v>0</v>
      </c>
    </row>
    <row r="266" spans="1:7" s="40" customFormat="1" ht="27" customHeight="1" hidden="1">
      <c r="A266" s="54"/>
      <c r="B266" s="55"/>
      <c r="C266" s="52" t="s">
        <v>740</v>
      </c>
      <c r="D266" s="41" t="s">
        <v>739</v>
      </c>
      <c r="E266" s="53">
        <v>0</v>
      </c>
      <c r="F266" s="53">
        <v>0</v>
      </c>
      <c r="G266" s="27" t="e">
        <f t="shared" si="12"/>
        <v>#DIV/0!</v>
      </c>
    </row>
    <row r="267" spans="1:7" s="40" customFormat="1" ht="55.5" customHeight="1" hidden="1">
      <c r="A267" s="54"/>
      <c r="B267" s="55"/>
      <c r="C267" s="52" t="s">
        <v>436</v>
      </c>
      <c r="D267" s="26" t="s">
        <v>440</v>
      </c>
      <c r="E267" s="53">
        <v>0</v>
      </c>
      <c r="F267" s="53">
        <v>0</v>
      </c>
      <c r="G267" s="27" t="e">
        <f t="shared" si="12"/>
        <v>#DIV/0!</v>
      </c>
    </row>
    <row r="268" spans="1:7" ht="53.25" customHeight="1">
      <c r="A268" s="54"/>
      <c r="B268" s="55"/>
      <c r="C268" s="52" t="s">
        <v>713</v>
      </c>
      <c r="D268" s="41" t="s">
        <v>142</v>
      </c>
      <c r="E268" s="53">
        <v>3013000</v>
      </c>
      <c r="F268" s="53">
        <v>0</v>
      </c>
      <c r="G268" s="27">
        <f t="shared" si="12"/>
        <v>0</v>
      </c>
    </row>
    <row r="269" spans="1:7" ht="66" customHeight="1">
      <c r="A269" s="54"/>
      <c r="B269" s="55"/>
      <c r="C269" s="52"/>
      <c r="D269" s="26" t="s">
        <v>143</v>
      </c>
      <c r="E269" s="53"/>
      <c r="F269" s="53"/>
      <c r="G269" s="27"/>
    </row>
    <row r="270" spans="1:7" ht="23.25" customHeight="1">
      <c r="A270" s="17"/>
      <c r="B270" s="33" t="s">
        <v>81</v>
      </c>
      <c r="C270" s="210"/>
      <c r="D270" s="19" t="s">
        <v>82</v>
      </c>
      <c r="E270" s="35">
        <f>SUM(E271)</f>
        <v>6177615</v>
      </c>
      <c r="F270" s="35">
        <f>SUM(F271)</f>
        <v>6177614.71</v>
      </c>
      <c r="G270" s="21">
        <f t="shared" si="12"/>
        <v>99.9999953056317</v>
      </c>
    </row>
    <row r="271" spans="1:7" ht="21" customHeight="1">
      <c r="A271" s="23"/>
      <c r="B271" s="37"/>
      <c r="C271" s="211" t="s">
        <v>47</v>
      </c>
      <c r="D271" s="41" t="s">
        <v>1102</v>
      </c>
      <c r="E271" s="39">
        <v>6177615</v>
      </c>
      <c r="F271" s="39">
        <v>6177614.71</v>
      </c>
      <c r="G271" s="27">
        <f t="shared" si="12"/>
        <v>99.9999953056317</v>
      </c>
    </row>
    <row r="272" spans="1:7" ht="23.25" customHeight="1">
      <c r="A272" s="17"/>
      <c r="B272" s="33" t="s">
        <v>1051</v>
      </c>
      <c r="C272" s="210"/>
      <c r="D272" s="19" t="s">
        <v>1052</v>
      </c>
      <c r="E272" s="35">
        <f>SUM(E273)</f>
        <v>0</v>
      </c>
      <c r="F272" s="35">
        <f>SUM(F273)</f>
        <v>2623.1</v>
      </c>
      <c r="G272" s="21" t="s">
        <v>1142</v>
      </c>
    </row>
    <row r="273" spans="1:7" ht="21" customHeight="1">
      <c r="A273" s="23"/>
      <c r="B273" s="37"/>
      <c r="C273" s="211" t="s">
        <v>47</v>
      </c>
      <c r="D273" s="41" t="s">
        <v>1102</v>
      </c>
      <c r="E273" s="39">
        <v>0</v>
      </c>
      <c r="F273" s="39">
        <v>2623.1</v>
      </c>
      <c r="G273" s="21" t="s">
        <v>1142</v>
      </c>
    </row>
    <row r="274" spans="1:7" s="40" customFormat="1" ht="30.75" customHeight="1">
      <c r="A274" s="151"/>
      <c r="B274" s="152" t="s">
        <v>1259</v>
      </c>
      <c r="C274" s="153"/>
      <c r="D274" s="154" t="s">
        <v>1260</v>
      </c>
      <c r="E274" s="155">
        <f>E275</f>
        <v>12000</v>
      </c>
      <c r="F274" s="155">
        <f>F275</f>
        <v>0</v>
      </c>
      <c r="G274" s="21">
        <f t="shared" si="12"/>
        <v>0</v>
      </c>
    </row>
    <row r="275" spans="1:7" s="40" customFormat="1" ht="22.5" customHeight="1">
      <c r="A275" s="54"/>
      <c r="B275" s="55"/>
      <c r="C275" s="52" t="s">
        <v>104</v>
      </c>
      <c r="D275" s="26" t="s">
        <v>1261</v>
      </c>
      <c r="E275" s="53">
        <v>12000</v>
      </c>
      <c r="F275" s="53">
        <v>0</v>
      </c>
      <c r="G275" s="27">
        <f t="shared" si="12"/>
        <v>0</v>
      </c>
    </row>
    <row r="276" spans="1:7" ht="20.25" customHeight="1">
      <c r="A276" s="212"/>
      <c r="B276" s="201" t="s">
        <v>1053</v>
      </c>
      <c r="C276" s="201"/>
      <c r="D276" s="213" t="s">
        <v>825</v>
      </c>
      <c r="E276" s="155">
        <f>SUM(E277,E278,E279,E280)</f>
        <v>6001154</v>
      </c>
      <c r="F276" s="204">
        <f>SUM(F277,F278,F279,F280)</f>
        <v>2812954.31</v>
      </c>
      <c r="G276" s="44">
        <f t="shared" si="12"/>
        <v>46.873556485969196</v>
      </c>
    </row>
    <row r="277" spans="1:7" ht="69.75" customHeight="1">
      <c r="A277" s="54"/>
      <c r="B277" s="55"/>
      <c r="C277" s="52" t="s">
        <v>50</v>
      </c>
      <c r="D277" s="26" t="s">
        <v>130</v>
      </c>
      <c r="E277" s="53">
        <v>2200</v>
      </c>
      <c r="F277" s="53">
        <v>1086.97</v>
      </c>
      <c r="G277" s="27">
        <f>F277/E277*100</f>
        <v>49.40772727272728</v>
      </c>
    </row>
    <row r="278" spans="1:7" s="40" customFormat="1" ht="21.75" customHeight="1">
      <c r="A278" s="54"/>
      <c r="B278" s="55"/>
      <c r="C278" s="52" t="s">
        <v>1</v>
      </c>
      <c r="D278" s="26" t="s">
        <v>0</v>
      </c>
      <c r="E278" s="53">
        <v>0</v>
      </c>
      <c r="F278" s="53">
        <v>2089.25</v>
      </c>
      <c r="G278" s="27" t="s">
        <v>1142</v>
      </c>
    </row>
    <row r="279" spans="1:7" s="40" customFormat="1" ht="18.75" customHeight="1">
      <c r="A279" s="54"/>
      <c r="B279" s="55"/>
      <c r="C279" s="55" t="s">
        <v>46</v>
      </c>
      <c r="D279" s="174" t="s">
        <v>1152</v>
      </c>
      <c r="E279" s="53">
        <v>0</v>
      </c>
      <c r="F279" s="53">
        <v>3.09</v>
      </c>
      <c r="G279" s="27" t="s">
        <v>1142</v>
      </c>
    </row>
    <row r="280" spans="1:7" s="40" customFormat="1" ht="21.75" customHeight="1">
      <c r="A280" s="54"/>
      <c r="B280" s="55"/>
      <c r="C280" s="55" t="s">
        <v>47</v>
      </c>
      <c r="D280" s="174" t="s">
        <v>1102</v>
      </c>
      <c r="E280" s="53">
        <v>5998954</v>
      </c>
      <c r="F280" s="53">
        <v>2809775</v>
      </c>
      <c r="G280" s="27">
        <f>F280/E280*100</f>
        <v>46.83774871419251</v>
      </c>
    </row>
    <row r="281" spans="1:7" s="32" customFormat="1" ht="27.75" customHeight="1">
      <c r="A281" s="175" t="s">
        <v>1080</v>
      </c>
      <c r="B281" s="176"/>
      <c r="C281" s="176"/>
      <c r="D281" s="188" t="s">
        <v>465</v>
      </c>
      <c r="E281" s="47">
        <f>SUM(E282,E285,E288)</f>
        <v>0</v>
      </c>
      <c r="F281" s="47">
        <f>SUM(F282,F285,F288)</f>
        <v>17788.21</v>
      </c>
      <c r="G281" s="27" t="s">
        <v>1142</v>
      </c>
    </row>
    <row r="282" spans="1:7" ht="21.75" customHeight="1">
      <c r="A282" s="151"/>
      <c r="B282" s="152" t="s">
        <v>466</v>
      </c>
      <c r="C282" s="152"/>
      <c r="D282" s="173" t="s">
        <v>467</v>
      </c>
      <c r="E282" s="155">
        <f>SUM(E283,E284)</f>
        <v>0</v>
      </c>
      <c r="F282" s="155">
        <f>SUM(F283,F284)</f>
        <v>17788.21</v>
      </c>
      <c r="G282" s="27" t="s">
        <v>1142</v>
      </c>
    </row>
    <row r="283" spans="1:7" s="40" customFormat="1" ht="21.75" customHeight="1">
      <c r="A283" s="54"/>
      <c r="B283" s="55"/>
      <c r="C283" s="55" t="s">
        <v>47</v>
      </c>
      <c r="D283" s="174" t="s">
        <v>1102</v>
      </c>
      <c r="E283" s="53">
        <v>0</v>
      </c>
      <c r="F283" s="53">
        <v>11788.22</v>
      </c>
      <c r="G283" s="27" t="s">
        <v>1142</v>
      </c>
    </row>
    <row r="284" spans="1:7" s="40" customFormat="1" ht="69.75" customHeight="1">
      <c r="A284" s="54"/>
      <c r="B284" s="55"/>
      <c r="C284" s="55" t="s">
        <v>1274</v>
      </c>
      <c r="D284" s="26" t="s">
        <v>161</v>
      </c>
      <c r="E284" s="53">
        <v>0</v>
      </c>
      <c r="F284" s="53">
        <v>5999.99</v>
      </c>
      <c r="G284" s="27" t="s">
        <v>1142</v>
      </c>
    </row>
    <row r="285" spans="1:7" ht="21.75" customHeight="1" hidden="1">
      <c r="A285" s="151"/>
      <c r="B285" s="152" t="s">
        <v>139</v>
      </c>
      <c r="C285" s="152"/>
      <c r="D285" s="173" t="s">
        <v>140</v>
      </c>
      <c r="E285" s="155">
        <f>SUM(E286,E287)</f>
        <v>0</v>
      </c>
      <c r="F285" s="155">
        <f>SUM(F286,F287)</f>
        <v>0</v>
      </c>
      <c r="G285" s="27" t="e">
        <f aca="true" t="shared" si="13" ref="G285:G291">F285/E285*100</f>
        <v>#DIV/0!</v>
      </c>
    </row>
    <row r="286" spans="1:7" s="40" customFormat="1" ht="30.75" customHeight="1" hidden="1">
      <c r="A286" s="54"/>
      <c r="B286" s="55"/>
      <c r="C286" s="52" t="s">
        <v>48</v>
      </c>
      <c r="D286" s="26" t="s">
        <v>741</v>
      </c>
      <c r="E286" s="53"/>
      <c r="F286" s="53"/>
      <c r="G286" s="27" t="e">
        <f t="shared" si="13"/>
        <v>#DIV/0!</v>
      </c>
    </row>
    <row r="287" spans="1:7" s="40" customFormat="1" ht="29.25" customHeight="1" hidden="1">
      <c r="A287" s="54"/>
      <c r="B287" s="55"/>
      <c r="C287" s="52" t="s">
        <v>740</v>
      </c>
      <c r="D287" s="41" t="s">
        <v>739</v>
      </c>
      <c r="E287" s="53"/>
      <c r="F287" s="53"/>
      <c r="G287" s="27" t="e">
        <f t="shared" si="13"/>
        <v>#DIV/0!</v>
      </c>
    </row>
    <row r="288" spans="1:7" ht="21.75" customHeight="1" hidden="1">
      <c r="A288" s="151"/>
      <c r="B288" s="152" t="s">
        <v>472</v>
      </c>
      <c r="C288" s="152"/>
      <c r="D288" s="173" t="s">
        <v>825</v>
      </c>
      <c r="E288" s="155">
        <v>0</v>
      </c>
      <c r="F288" s="155">
        <v>0</v>
      </c>
      <c r="G288" s="27" t="e">
        <f t="shared" si="13"/>
        <v>#DIV/0!</v>
      </c>
    </row>
    <row r="289" spans="1:7" s="40" customFormat="1" ht="22.5" customHeight="1" hidden="1">
      <c r="A289" s="54"/>
      <c r="B289" s="55"/>
      <c r="C289" s="55" t="s">
        <v>47</v>
      </c>
      <c r="D289" s="174" t="s">
        <v>1102</v>
      </c>
      <c r="E289" s="53"/>
      <c r="F289" s="53"/>
      <c r="G289" s="27" t="e">
        <f t="shared" si="13"/>
        <v>#DIV/0!</v>
      </c>
    </row>
    <row r="290" spans="1:7" ht="21" customHeight="1">
      <c r="A290" s="175" t="s">
        <v>1081</v>
      </c>
      <c r="B290" s="176"/>
      <c r="C290" s="209"/>
      <c r="D290" s="188" t="s">
        <v>1082</v>
      </c>
      <c r="E290" s="47">
        <f>SUM(E291,E298,E301)</f>
        <v>48000</v>
      </c>
      <c r="F290" s="47">
        <f>SUM(F291,F298,F301)</f>
        <v>50522.43</v>
      </c>
      <c r="G290" s="15">
        <f t="shared" si="13"/>
        <v>105.25506250000001</v>
      </c>
    </row>
    <row r="291" spans="1:7" s="40" customFormat="1" ht="18" customHeight="1">
      <c r="A291" s="151"/>
      <c r="B291" s="152" t="s">
        <v>1086</v>
      </c>
      <c r="C291" s="185"/>
      <c r="D291" s="154" t="s">
        <v>1087</v>
      </c>
      <c r="E291" s="155">
        <f>SUM(E292,E293,E294,E295,E296,E297)</f>
        <v>48000</v>
      </c>
      <c r="F291" s="155">
        <f>SUM(F292,F293,F294,F295,F296,F297)</f>
        <v>50522.43</v>
      </c>
      <c r="G291" s="21">
        <f t="shared" si="13"/>
        <v>105.25506250000001</v>
      </c>
    </row>
    <row r="292" spans="1:7" s="40" customFormat="1" ht="30.75" customHeight="1">
      <c r="A292" s="54"/>
      <c r="B292" s="55"/>
      <c r="C292" s="52" t="s">
        <v>48</v>
      </c>
      <c r="D292" s="26" t="s">
        <v>741</v>
      </c>
      <c r="E292" s="53">
        <v>0</v>
      </c>
      <c r="F292" s="53">
        <v>32.94</v>
      </c>
      <c r="G292" s="27" t="s">
        <v>1142</v>
      </c>
    </row>
    <row r="293" spans="1:7" s="40" customFormat="1" ht="29.25" customHeight="1">
      <c r="A293" s="54"/>
      <c r="B293" s="55"/>
      <c r="C293" s="52" t="s">
        <v>740</v>
      </c>
      <c r="D293" s="41" t="s">
        <v>739</v>
      </c>
      <c r="E293" s="53">
        <v>0</v>
      </c>
      <c r="F293" s="53">
        <v>1644.56</v>
      </c>
      <c r="G293" s="27" t="s">
        <v>1142</v>
      </c>
    </row>
    <row r="294" spans="1:7" s="40" customFormat="1" ht="21.75" customHeight="1">
      <c r="A294" s="304"/>
      <c r="B294" s="305"/>
      <c r="C294" s="305" t="s">
        <v>47</v>
      </c>
      <c r="D294" s="1181" t="s">
        <v>1102</v>
      </c>
      <c r="E294" s="308">
        <v>48000</v>
      </c>
      <c r="F294" s="308">
        <v>48844.93</v>
      </c>
      <c r="G294" s="309">
        <f>F294/E294*100</f>
        <v>101.76027083333335</v>
      </c>
    </row>
    <row r="295" spans="1:7" s="32" customFormat="1" ht="52.5" customHeight="1" hidden="1">
      <c r="A295" s="151"/>
      <c r="B295" s="152"/>
      <c r="C295" s="55" t="s">
        <v>436</v>
      </c>
      <c r="D295" s="26" t="s">
        <v>440</v>
      </c>
      <c r="E295" s="53">
        <v>0</v>
      </c>
      <c r="F295" s="53"/>
      <c r="G295" s="27" t="e">
        <f>F295/E295*100</f>
        <v>#DIV/0!</v>
      </c>
    </row>
    <row r="296" spans="1:7" s="32" customFormat="1" ht="54" customHeight="1" hidden="1">
      <c r="A296" s="151"/>
      <c r="B296" s="152"/>
      <c r="C296" s="55" t="s">
        <v>437</v>
      </c>
      <c r="D296" s="26" t="s">
        <v>450</v>
      </c>
      <c r="E296" s="53">
        <v>0</v>
      </c>
      <c r="F296" s="53">
        <v>0</v>
      </c>
      <c r="G296" s="27" t="e">
        <f>F296/E296*100</f>
        <v>#DIV/0!</v>
      </c>
    </row>
    <row r="297" spans="1:7" s="208" customFormat="1" ht="42" customHeight="1" hidden="1">
      <c r="A297" s="181"/>
      <c r="B297" s="182"/>
      <c r="C297" s="195" t="s">
        <v>100</v>
      </c>
      <c r="D297" s="196" t="s">
        <v>1249</v>
      </c>
      <c r="E297" s="184">
        <v>0</v>
      </c>
      <c r="F297" s="184">
        <v>0</v>
      </c>
      <c r="G297" s="8" t="e">
        <f>F297/E297*100</f>
        <v>#DIV/0!</v>
      </c>
    </row>
    <row r="298" spans="1:7" ht="19.5" customHeight="1" hidden="1">
      <c r="A298" s="151"/>
      <c r="B298" s="201" t="s">
        <v>1088</v>
      </c>
      <c r="C298" s="314"/>
      <c r="D298" s="315" t="s">
        <v>1089</v>
      </c>
      <c r="E298" s="204">
        <f>SUM(E299,E300)</f>
        <v>0</v>
      </c>
      <c r="F298" s="204">
        <f>SUM(F299,F300)</f>
        <v>0</v>
      </c>
      <c r="G298" s="44" t="s">
        <v>1142</v>
      </c>
    </row>
    <row r="299" spans="1:7" s="40" customFormat="1" ht="22.5" customHeight="1" hidden="1">
      <c r="A299" s="304"/>
      <c r="B299" s="305"/>
      <c r="C299" s="305" t="s">
        <v>47</v>
      </c>
      <c r="D299" s="1181" t="s">
        <v>1102</v>
      </c>
      <c r="E299" s="308"/>
      <c r="F299" s="308"/>
      <c r="G299" s="309" t="s">
        <v>1142</v>
      </c>
    </row>
    <row r="300" spans="1:7" ht="41.25" customHeight="1" hidden="1">
      <c r="A300" s="304"/>
      <c r="B300" s="310"/>
      <c r="C300" s="311" t="s">
        <v>1274</v>
      </c>
      <c r="D300" s="307" t="s">
        <v>1275</v>
      </c>
      <c r="E300" s="312">
        <v>0</v>
      </c>
      <c r="F300" s="312"/>
      <c r="G300" s="313" t="e">
        <f>F300/E300*100</f>
        <v>#DIV/0!</v>
      </c>
    </row>
    <row r="301" spans="1:7" ht="21.75" customHeight="1" hidden="1">
      <c r="A301" s="151"/>
      <c r="B301" s="201" t="s">
        <v>438</v>
      </c>
      <c r="C301" s="314"/>
      <c r="D301" s="315" t="s">
        <v>825</v>
      </c>
      <c r="E301" s="204">
        <f>SUM(E302)</f>
        <v>0</v>
      </c>
      <c r="F301" s="204">
        <f>SUM(F302)</f>
        <v>0</v>
      </c>
      <c r="G301" s="44" t="e">
        <f>F301/E301*100</f>
        <v>#DIV/0!</v>
      </c>
    </row>
    <row r="302" spans="1:7" ht="44.25" customHeight="1" hidden="1">
      <c r="A302" s="304"/>
      <c r="B302" s="310"/>
      <c r="C302" s="311" t="s">
        <v>439</v>
      </c>
      <c r="D302" s="316" t="s">
        <v>452</v>
      </c>
      <c r="E302" s="312">
        <v>0</v>
      </c>
      <c r="F302" s="312"/>
      <c r="G302" s="313" t="e">
        <f>F302/E302*100</f>
        <v>#DIV/0!</v>
      </c>
    </row>
    <row r="303" spans="1:7" s="233" customFormat="1" ht="19.5" customHeight="1">
      <c r="A303" s="1363" t="s">
        <v>1101</v>
      </c>
      <c r="B303" s="1364"/>
      <c r="C303" s="1364"/>
      <c r="D303" s="1365"/>
      <c r="E303" s="231">
        <f>SUM(E304,E307,E323,E327,E335,E346,E350,E357,E376,E380,E367,E396,E410,E424)</f>
        <v>60762537</v>
      </c>
      <c r="F303" s="231">
        <f>SUM(F304,F307,F323,F327,F335,F346,F350,F357,F376,F380,F367,F396,F410,F424)</f>
        <v>30707839.099999998</v>
      </c>
      <c r="G303" s="232">
        <f aca="true" t="shared" si="14" ref="G303:G320">F303/E303*100</f>
        <v>50.537453859110585</v>
      </c>
    </row>
    <row r="304" spans="1:7" s="234" customFormat="1" ht="16.5" customHeight="1" hidden="1">
      <c r="A304" s="11" t="s">
        <v>824</v>
      </c>
      <c r="B304" s="12"/>
      <c r="C304" s="12"/>
      <c r="D304" s="13" t="s">
        <v>315</v>
      </c>
      <c r="E304" s="14">
        <f>SUM(E305)</f>
        <v>0</v>
      </c>
      <c r="F304" s="14">
        <f>SUM(F305)</f>
        <v>0</v>
      </c>
      <c r="G304" s="15" t="e">
        <f t="shared" si="14"/>
        <v>#DIV/0!</v>
      </c>
    </row>
    <row r="305" spans="1:7" s="59" customFormat="1" ht="30.75" customHeight="1" hidden="1">
      <c r="A305" s="17"/>
      <c r="B305" s="18" t="s">
        <v>1366</v>
      </c>
      <c r="C305" s="18"/>
      <c r="D305" s="235" t="s">
        <v>1368</v>
      </c>
      <c r="E305" s="20">
        <f>SUM(E306)</f>
        <v>0</v>
      </c>
      <c r="F305" s="20">
        <f>SUM(F306)</f>
        <v>0</v>
      </c>
      <c r="G305" s="21" t="e">
        <f t="shared" si="14"/>
        <v>#DIV/0!</v>
      </c>
    </row>
    <row r="306" spans="1:7" s="59" customFormat="1" ht="59.25" customHeight="1" hidden="1">
      <c r="A306" s="23"/>
      <c r="B306" s="24"/>
      <c r="C306" s="24" t="s">
        <v>1367</v>
      </c>
      <c r="D306" s="41" t="s">
        <v>1211</v>
      </c>
      <c r="E306" s="7">
        <v>0</v>
      </c>
      <c r="F306" s="7">
        <v>0</v>
      </c>
      <c r="G306" s="27" t="e">
        <f t="shared" si="14"/>
        <v>#DIV/0!</v>
      </c>
    </row>
    <row r="307" spans="1:7" s="215" customFormat="1" ht="21.75" customHeight="1">
      <c r="A307" s="11" t="s">
        <v>902</v>
      </c>
      <c r="B307" s="29"/>
      <c r="C307" s="29"/>
      <c r="D307" s="45" t="s">
        <v>903</v>
      </c>
      <c r="E307" s="31">
        <f>SUM(E308,E312)</f>
        <v>3177520</v>
      </c>
      <c r="F307" s="31">
        <f>SUM(F308,F312)</f>
        <v>292370.88</v>
      </c>
      <c r="G307" s="15">
        <f t="shared" si="14"/>
        <v>9.201228631133715</v>
      </c>
    </row>
    <row r="308" spans="1:7" s="59" customFormat="1" ht="19.5" customHeight="1" hidden="1">
      <c r="A308" s="17"/>
      <c r="B308" s="33" t="s">
        <v>932</v>
      </c>
      <c r="C308" s="33"/>
      <c r="D308" s="19" t="s">
        <v>714</v>
      </c>
      <c r="E308" s="35">
        <f>SUM(E309,E310)</f>
        <v>0</v>
      </c>
      <c r="F308" s="35">
        <f>SUM(F309,F310)</f>
        <v>0</v>
      </c>
      <c r="G308" s="27" t="e">
        <f t="shared" si="14"/>
        <v>#DIV/0!</v>
      </c>
    </row>
    <row r="309" spans="1:7" s="51" customFormat="1" ht="30" customHeight="1" hidden="1">
      <c r="A309" s="23"/>
      <c r="B309" s="37"/>
      <c r="C309" s="37" t="s">
        <v>48</v>
      </c>
      <c r="D309" s="41" t="s">
        <v>741</v>
      </c>
      <c r="E309" s="39">
        <v>0</v>
      </c>
      <c r="F309" s="39">
        <v>0</v>
      </c>
      <c r="G309" s="27" t="e">
        <f t="shared" si="14"/>
        <v>#DIV/0!</v>
      </c>
    </row>
    <row r="310" spans="1:7" s="51" customFormat="1" ht="54" customHeight="1" hidden="1">
      <c r="A310" s="23"/>
      <c r="B310" s="37"/>
      <c r="C310" s="37" t="s">
        <v>713</v>
      </c>
      <c r="D310" s="41" t="s">
        <v>931</v>
      </c>
      <c r="E310" s="39">
        <v>0</v>
      </c>
      <c r="F310" s="39">
        <v>0</v>
      </c>
      <c r="G310" s="21" t="e">
        <f t="shared" si="14"/>
        <v>#DIV/0!</v>
      </c>
    </row>
    <row r="311" spans="1:7" s="51" customFormat="1" ht="65.25" customHeight="1" hidden="1">
      <c r="A311" s="23"/>
      <c r="B311" s="37"/>
      <c r="C311" s="37"/>
      <c r="D311" s="41" t="s">
        <v>216</v>
      </c>
      <c r="E311" s="39"/>
      <c r="F311" s="39"/>
      <c r="G311" s="21" t="e">
        <f t="shared" si="14"/>
        <v>#DIV/0!</v>
      </c>
    </row>
    <row r="312" spans="1:7" s="59" customFormat="1" ht="39" customHeight="1">
      <c r="A312" s="17"/>
      <c r="B312" s="33" t="s">
        <v>904</v>
      </c>
      <c r="C312" s="33"/>
      <c r="D312" s="19" t="s">
        <v>90</v>
      </c>
      <c r="E312" s="35">
        <f>SUM(E313,E314,E315,E316,E317,E318,E320,E322)</f>
        <v>3177520</v>
      </c>
      <c r="F312" s="35">
        <f>SUM(F313,F314,F315,F316,F317,F318,F320,F322)</f>
        <v>292370.88</v>
      </c>
      <c r="G312" s="21">
        <f t="shared" si="14"/>
        <v>9.201228631133715</v>
      </c>
    </row>
    <row r="313" spans="1:7" s="51" customFormat="1" ht="27" customHeight="1">
      <c r="A313" s="23"/>
      <c r="B313" s="37"/>
      <c r="C313" s="37" t="s">
        <v>48</v>
      </c>
      <c r="D313" s="41" t="s">
        <v>741</v>
      </c>
      <c r="E313" s="39">
        <v>0</v>
      </c>
      <c r="F313" s="39">
        <v>71.76</v>
      </c>
      <c r="G313" s="27" t="s">
        <v>1142</v>
      </c>
    </row>
    <row r="314" spans="1:7" s="51" customFormat="1" ht="27.75" customHeight="1">
      <c r="A314" s="23"/>
      <c r="B314" s="37"/>
      <c r="C314" s="37" t="s">
        <v>740</v>
      </c>
      <c r="D314" s="41" t="s">
        <v>739</v>
      </c>
      <c r="E314" s="39">
        <v>30000</v>
      </c>
      <c r="F314" s="39">
        <v>41341.52</v>
      </c>
      <c r="G314" s="27">
        <f t="shared" si="14"/>
        <v>137.80506666666665</v>
      </c>
    </row>
    <row r="315" spans="1:7" s="51" customFormat="1" ht="18.75" customHeight="1">
      <c r="A315" s="23"/>
      <c r="B315" s="37"/>
      <c r="C315" s="55" t="s">
        <v>46</v>
      </c>
      <c r="D315" s="174" t="s">
        <v>1152</v>
      </c>
      <c r="E315" s="39">
        <v>0</v>
      </c>
      <c r="F315" s="39">
        <v>747.95</v>
      </c>
      <c r="G315" s="27" t="s">
        <v>1142</v>
      </c>
    </row>
    <row r="316" spans="1:7" s="51" customFormat="1" ht="18" customHeight="1">
      <c r="A316" s="23"/>
      <c r="B316" s="37"/>
      <c r="C316" s="37" t="s">
        <v>47</v>
      </c>
      <c r="D316" s="41" t="s">
        <v>1102</v>
      </c>
      <c r="E316" s="39">
        <v>0</v>
      </c>
      <c r="F316" s="39">
        <v>2049.58</v>
      </c>
      <c r="G316" s="21" t="s">
        <v>1142</v>
      </c>
    </row>
    <row r="317" spans="1:7" s="51" customFormat="1" ht="51" customHeight="1">
      <c r="A317" s="23"/>
      <c r="B317" s="37"/>
      <c r="C317" s="37" t="s">
        <v>105</v>
      </c>
      <c r="D317" s="41" t="s">
        <v>142</v>
      </c>
      <c r="E317" s="7">
        <v>665520</v>
      </c>
      <c r="F317" s="7">
        <v>248160.07</v>
      </c>
      <c r="G317" s="8">
        <f t="shared" si="14"/>
        <v>37.288146111311455</v>
      </c>
    </row>
    <row r="318" spans="1:7" s="51" customFormat="1" ht="51" customHeight="1">
      <c r="A318" s="23"/>
      <c r="B318" s="318"/>
      <c r="C318" s="37" t="s">
        <v>713</v>
      </c>
      <c r="D318" s="41" t="s">
        <v>142</v>
      </c>
      <c r="E318" s="7">
        <v>2482000</v>
      </c>
      <c r="F318" s="7">
        <v>0</v>
      </c>
      <c r="G318" s="8" t="s">
        <v>1142</v>
      </c>
    </row>
    <row r="319" spans="1:7" s="51" customFormat="1" ht="69" customHeight="1">
      <c r="A319" s="23"/>
      <c r="B319" s="318"/>
      <c r="C319" s="37"/>
      <c r="D319" s="26" t="s">
        <v>143</v>
      </c>
      <c r="E319" s="7"/>
      <c r="F319" s="7"/>
      <c r="G319" s="8"/>
    </row>
    <row r="320" spans="1:7" s="51" customFormat="1" ht="57" customHeight="1" hidden="1">
      <c r="A320" s="23"/>
      <c r="B320" s="318"/>
      <c r="C320" s="37" t="s">
        <v>636</v>
      </c>
      <c r="D320" s="41" t="s">
        <v>294</v>
      </c>
      <c r="E320" s="7">
        <v>0</v>
      </c>
      <c r="F320" s="7"/>
      <c r="G320" s="8" t="e">
        <f t="shared" si="14"/>
        <v>#DIV/0!</v>
      </c>
    </row>
    <row r="321" spans="1:7" s="51" customFormat="1" ht="30" customHeight="1" hidden="1">
      <c r="A321" s="23"/>
      <c r="B321" s="318"/>
      <c r="C321" s="37"/>
      <c r="D321" s="41" t="s">
        <v>295</v>
      </c>
      <c r="E321" s="7"/>
      <c r="F321" s="7"/>
      <c r="G321" s="27"/>
    </row>
    <row r="322" spans="1:7" s="51" customFormat="1" ht="40.5" customHeight="1" hidden="1">
      <c r="A322" s="23"/>
      <c r="B322" s="318"/>
      <c r="C322" s="37" t="s">
        <v>1073</v>
      </c>
      <c r="D322" s="41" t="s">
        <v>1074</v>
      </c>
      <c r="E322" s="7">
        <v>0</v>
      </c>
      <c r="F322" s="7"/>
      <c r="G322" s="27" t="e">
        <f>F322/E322*100</f>
        <v>#DIV/0!</v>
      </c>
    </row>
    <row r="323" spans="1:7" s="215" customFormat="1" ht="20.25" customHeight="1">
      <c r="A323" s="11" t="s">
        <v>909</v>
      </c>
      <c r="B323" s="214"/>
      <c r="C323" s="29"/>
      <c r="D323" s="30" t="s">
        <v>910</v>
      </c>
      <c r="E323" s="31">
        <f>SUM(E324)</f>
        <v>44000</v>
      </c>
      <c r="F323" s="31">
        <f>SUM(F324)</f>
        <v>23122</v>
      </c>
      <c r="G323" s="15">
        <f>F323/E323*100</f>
        <v>52.55</v>
      </c>
    </row>
    <row r="324" spans="1:7" s="59" customFormat="1" ht="21" customHeight="1">
      <c r="A324" s="23"/>
      <c r="B324" s="48" t="s">
        <v>911</v>
      </c>
      <c r="C324" s="48"/>
      <c r="D324" s="216" t="s">
        <v>912</v>
      </c>
      <c r="E324" s="42">
        <f>SUM(E325,E326)</f>
        <v>44000</v>
      </c>
      <c r="F324" s="42">
        <f>SUM(F325,F326)</f>
        <v>23122</v>
      </c>
      <c r="G324" s="44">
        <f>F324/E324*100</f>
        <v>52.55</v>
      </c>
    </row>
    <row r="325" spans="1:7" s="28" customFormat="1" ht="55.5" customHeight="1">
      <c r="A325" s="23"/>
      <c r="B325" s="24"/>
      <c r="C325" s="25">
        <v>2010</v>
      </c>
      <c r="D325" s="26" t="s">
        <v>1221</v>
      </c>
      <c r="E325" s="7">
        <v>43878</v>
      </c>
      <c r="F325" s="7">
        <v>23000</v>
      </c>
      <c r="G325" s="27">
        <f>F325/E325*100</f>
        <v>52.41806828023156</v>
      </c>
    </row>
    <row r="326" spans="1:7" s="40" customFormat="1" ht="55.5" customHeight="1">
      <c r="A326" s="54"/>
      <c r="B326" s="55"/>
      <c r="C326" s="25">
        <v>6410</v>
      </c>
      <c r="D326" s="26" t="s">
        <v>730</v>
      </c>
      <c r="E326" s="53">
        <v>122</v>
      </c>
      <c r="F326" s="53">
        <v>122</v>
      </c>
      <c r="G326" s="27">
        <f>F326/E326*100</f>
        <v>100</v>
      </c>
    </row>
    <row r="327" spans="1:7" s="59" customFormat="1" ht="19.5" customHeight="1">
      <c r="A327" s="11" t="s">
        <v>913</v>
      </c>
      <c r="B327" s="29"/>
      <c r="C327" s="156"/>
      <c r="D327" s="30" t="s">
        <v>914</v>
      </c>
      <c r="E327" s="31">
        <f>SUM(E328,E330,E333)</f>
        <v>413083</v>
      </c>
      <c r="F327" s="31">
        <f>SUM(F328,F330,F333)</f>
        <v>243433</v>
      </c>
      <c r="G327" s="15">
        <f aca="true" t="shared" si="15" ref="G327:G333">F327/E327*100</f>
        <v>58.93077178194213</v>
      </c>
    </row>
    <row r="328" spans="1:7" s="59" customFormat="1" ht="19.5" customHeight="1">
      <c r="A328" s="17"/>
      <c r="B328" s="33" t="s">
        <v>915</v>
      </c>
      <c r="C328" s="33"/>
      <c r="D328" s="34" t="s">
        <v>1213</v>
      </c>
      <c r="E328" s="35">
        <f>E329</f>
        <v>46000</v>
      </c>
      <c r="F328" s="35">
        <f>F329</f>
        <v>46000</v>
      </c>
      <c r="G328" s="21">
        <f t="shared" si="15"/>
        <v>100</v>
      </c>
    </row>
    <row r="329" spans="1:7" s="51" customFormat="1" ht="54.75" customHeight="1">
      <c r="A329" s="23"/>
      <c r="B329" s="37"/>
      <c r="C329" s="37" t="s">
        <v>1367</v>
      </c>
      <c r="D329" s="41" t="s">
        <v>1211</v>
      </c>
      <c r="E329" s="39">
        <v>46000</v>
      </c>
      <c r="F329" s="39">
        <v>46000</v>
      </c>
      <c r="G329" s="27">
        <f t="shared" si="15"/>
        <v>100</v>
      </c>
    </row>
    <row r="330" spans="1:7" s="59" customFormat="1" ht="19.5" customHeight="1">
      <c r="A330" s="17"/>
      <c r="B330" s="33" t="s">
        <v>916</v>
      </c>
      <c r="C330" s="33"/>
      <c r="D330" s="19" t="s">
        <v>917</v>
      </c>
      <c r="E330" s="35">
        <f>SUM(E331,E332)</f>
        <v>11000</v>
      </c>
      <c r="F330" s="35">
        <f>SUM(F331,F332)</f>
        <v>11000</v>
      </c>
      <c r="G330" s="21">
        <f t="shared" si="15"/>
        <v>100</v>
      </c>
    </row>
    <row r="331" spans="1:7" s="51" customFormat="1" ht="28.5" customHeight="1" hidden="1">
      <c r="A331" s="23"/>
      <c r="B331" s="37"/>
      <c r="C331" s="37" t="s">
        <v>48</v>
      </c>
      <c r="D331" s="41" t="s">
        <v>741</v>
      </c>
      <c r="E331" s="39">
        <v>0</v>
      </c>
      <c r="F331" s="39">
        <v>0</v>
      </c>
      <c r="G331" s="27" t="s">
        <v>1142</v>
      </c>
    </row>
    <row r="332" spans="1:7" s="51" customFormat="1" ht="60.75" customHeight="1">
      <c r="A332" s="23"/>
      <c r="B332" s="37"/>
      <c r="C332" s="37" t="s">
        <v>1367</v>
      </c>
      <c r="D332" s="41" t="s">
        <v>1211</v>
      </c>
      <c r="E332" s="39">
        <v>11000</v>
      </c>
      <c r="F332" s="39">
        <v>11000</v>
      </c>
      <c r="G332" s="27">
        <f t="shared" si="15"/>
        <v>100</v>
      </c>
    </row>
    <row r="333" spans="1:7" s="59" customFormat="1" ht="19.5" customHeight="1">
      <c r="A333" s="17"/>
      <c r="B333" s="33" t="s">
        <v>918</v>
      </c>
      <c r="C333" s="33"/>
      <c r="D333" s="34" t="s">
        <v>922</v>
      </c>
      <c r="E333" s="35">
        <f>SUM(E334)</f>
        <v>356083</v>
      </c>
      <c r="F333" s="35">
        <f>SUM(F334)</f>
        <v>186433</v>
      </c>
      <c r="G333" s="21">
        <f t="shared" si="15"/>
        <v>52.356613486181594</v>
      </c>
    </row>
    <row r="334" spans="1:7" s="51" customFormat="1" ht="60" customHeight="1">
      <c r="A334" s="23"/>
      <c r="B334" s="37"/>
      <c r="C334" s="37" t="s">
        <v>1367</v>
      </c>
      <c r="D334" s="41" t="s">
        <v>1211</v>
      </c>
      <c r="E334" s="39">
        <v>356083</v>
      </c>
      <c r="F334" s="39">
        <v>186433</v>
      </c>
      <c r="G334" s="27">
        <f>F334/E334*100</f>
        <v>52.356613486181594</v>
      </c>
    </row>
    <row r="335" spans="1:7" s="215" customFormat="1" ht="19.5" customHeight="1">
      <c r="A335" s="11" t="s">
        <v>925</v>
      </c>
      <c r="B335" s="29"/>
      <c r="C335" s="29"/>
      <c r="D335" s="30" t="s">
        <v>926</v>
      </c>
      <c r="E335" s="31">
        <f>SUM(E336,E338,E343)</f>
        <v>783568</v>
      </c>
      <c r="F335" s="31">
        <f>SUM(F336,F338,F343)</f>
        <v>828522.03</v>
      </c>
      <c r="G335" s="15">
        <f>F335/E335*100</f>
        <v>105.7370936536459</v>
      </c>
    </row>
    <row r="336" spans="1:7" s="59" customFormat="1" ht="19.5" customHeight="1">
      <c r="A336" s="17"/>
      <c r="B336" s="33" t="s">
        <v>927</v>
      </c>
      <c r="C336" s="33"/>
      <c r="D336" s="34" t="s">
        <v>933</v>
      </c>
      <c r="E336" s="35">
        <f>SUM(E337)</f>
        <v>82100</v>
      </c>
      <c r="F336" s="35">
        <f>SUM(F337)</f>
        <v>44361</v>
      </c>
      <c r="G336" s="21">
        <f>F336/E336*100</f>
        <v>54.03288672350792</v>
      </c>
    </row>
    <row r="337" spans="1:7" s="51" customFormat="1" ht="59.25" customHeight="1">
      <c r="A337" s="23"/>
      <c r="B337" s="37"/>
      <c r="C337" s="37" t="s">
        <v>1367</v>
      </c>
      <c r="D337" s="41" t="s">
        <v>1211</v>
      </c>
      <c r="E337" s="39">
        <v>82100</v>
      </c>
      <c r="F337" s="39">
        <v>44361</v>
      </c>
      <c r="G337" s="27">
        <f>F337/E337*100</f>
        <v>54.03288672350792</v>
      </c>
    </row>
    <row r="338" spans="1:7" s="59" customFormat="1" ht="19.5" customHeight="1">
      <c r="A338" s="17"/>
      <c r="B338" s="33" t="s">
        <v>934</v>
      </c>
      <c r="C338" s="33"/>
      <c r="D338" s="34" t="s">
        <v>935</v>
      </c>
      <c r="E338" s="35">
        <f>SUM(E339,E340,E341,E342)</f>
        <v>679468</v>
      </c>
      <c r="F338" s="35">
        <f>SUM(F339,F340,F341,F342)</f>
        <v>763411.03</v>
      </c>
      <c r="G338" s="21">
        <f>F338/E338*100</f>
        <v>112.35422860237716</v>
      </c>
    </row>
    <row r="339" spans="1:7" s="59" customFormat="1" ht="19.5" customHeight="1">
      <c r="A339" s="23"/>
      <c r="B339" s="37"/>
      <c r="C339" s="37" t="s">
        <v>49</v>
      </c>
      <c r="D339" s="41" t="s">
        <v>1099</v>
      </c>
      <c r="E339" s="39">
        <v>0</v>
      </c>
      <c r="F339" s="39">
        <v>750</v>
      </c>
      <c r="G339" s="27" t="s">
        <v>1142</v>
      </c>
    </row>
    <row r="340" spans="1:7" s="59" customFormat="1" ht="69" customHeight="1">
      <c r="A340" s="23"/>
      <c r="B340" s="37"/>
      <c r="C340" s="37" t="s">
        <v>50</v>
      </c>
      <c r="D340" s="41" t="s">
        <v>130</v>
      </c>
      <c r="E340" s="39">
        <v>22368</v>
      </c>
      <c r="F340" s="39">
        <v>12429.14</v>
      </c>
      <c r="G340" s="27">
        <f aca="true" t="shared" si="16" ref="G340:G351">F340/E340*100</f>
        <v>55.566613018598</v>
      </c>
    </row>
    <row r="341" spans="1:8" s="59" customFormat="1" ht="20.25" customHeight="1">
      <c r="A341" s="23"/>
      <c r="B341" s="37"/>
      <c r="C341" s="37" t="s">
        <v>46</v>
      </c>
      <c r="D341" s="38" t="s">
        <v>1152</v>
      </c>
      <c r="E341" s="39">
        <v>0</v>
      </c>
      <c r="F341" s="39">
        <v>39.38</v>
      </c>
      <c r="G341" s="27" t="s">
        <v>1142</v>
      </c>
      <c r="H341" s="51"/>
    </row>
    <row r="342" spans="1:7" s="59" customFormat="1" ht="51.75" customHeight="1">
      <c r="A342" s="23"/>
      <c r="B342" s="37"/>
      <c r="C342" s="37" t="s">
        <v>107</v>
      </c>
      <c r="D342" s="41" t="s">
        <v>127</v>
      </c>
      <c r="E342" s="39">
        <v>657100</v>
      </c>
      <c r="F342" s="39">
        <v>750192.51</v>
      </c>
      <c r="G342" s="27">
        <f t="shared" si="16"/>
        <v>114.16717546796531</v>
      </c>
    </row>
    <row r="343" spans="1:7" s="59" customFormat="1" ht="19.5" customHeight="1">
      <c r="A343" s="17"/>
      <c r="B343" s="33" t="s">
        <v>937</v>
      </c>
      <c r="C343" s="156"/>
      <c r="D343" s="34" t="s">
        <v>376</v>
      </c>
      <c r="E343" s="35">
        <f>E344+E345</f>
        <v>22000</v>
      </c>
      <c r="F343" s="35">
        <f>F344+F345</f>
        <v>20750</v>
      </c>
      <c r="G343" s="21">
        <f t="shared" si="16"/>
        <v>94.31818181818183</v>
      </c>
    </row>
    <row r="344" spans="1:7" s="51" customFormat="1" ht="56.25" customHeight="1">
      <c r="A344" s="23"/>
      <c r="B344" s="37"/>
      <c r="C344" s="217">
        <v>2110</v>
      </c>
      <c r="D344" s="41" t="s">
        <v>1211</v>
      </c>
      <c r="E344" s="39">
        <v>19000</v>
      </c>
      <c r="F344" s="39">
        <v>19000</v>
      </c>
      <c r="G344" s="27">
        <f t="shared" si="16"/>
        <v>100</v>
      </c>
    </row>
    <row r="345" spans="1:7" s="51" customFormat="1" ht="56.25" customHeight="1">
      <c r="A345" s="23"/>
      <c r="B345" s="37"/>
      <c r="C345" s="217">
        <v>2120</v>
      </c>
      <c r="D345" s="41" t="s">
        <v>1109</v>
      </c>
      <c r="E345" s="39">
        <v>3000</v>
      </c>
      <c r="F345" s="39">
        <v>1750</v>
      </c>
      <c r="G345" s="27">
        <f t="shared" si="16"/>
        <v>58.333333333333336</v>
      </c>
    </row>
    <row r="346" spans="1:7" s="59" customFormat="1" ht="29.25" customHeight="1">
      <c r="A346" s="11" t="s">
        <v>940</v>
      </c>
      <c r="B346" s="29"/>
      <c r="C346" s="156"/>
      <c r="D346" s="45" t="s">
        <v>1044</v>
      </c>
      <c r="E346" s="31">
        <f>SUM(E347)</f>
        <v>3795084</v>
      </c>
      <c r="F346" s="31">
        <f>SUM(F347)</f>
        <v>2345634</v>
      </c>
      <c r="G346" s="15">
        <f t="shared" si="16"/>
        <v>61.80716948557661</v>
      </c>
    </row>
    <row r="347" spans="1:7" s="59" customFormat="1" ht="19.5" customHeight="1">
      <c r="A347" s="17"/>
      <c r="B347" s="33" t="s">
        <v>941</v>
      </c>
      <c r="C347" s="156"/>
      <c r="D347" s="19" t="s">
        <v>1225</v>
      </c>
      <c r="E347" s="35">
        <f>SUM(E348,E349)</f>
        <v>3795084</v>
      </c>
      <c r="F347" s="35">
        <f>SUM(F348,F349)</f>
        <v>2345634</v>
      </c>
      <c r="G347" s="21">
        <f t="shared" si="16"/>
        <v>61.80716948557661</v>
      </c>
    </row>
    <row r="348" spans="1:7" s="51" customFormat="1" ht="56.25" customHeight="1">
      <c r="A348" s="23"/>
      <c r="B348" s="24"/>
      <c r="C348" s="218">
        <v>2110</v>
      </c>
      <c r="D348" s="41" t="s">
        <v>1211</v>
      </c>
      <c r="E348" s="50">
        <v>3795084</v>
      </c>
      <c r="F348" s="50">
        <v>2345634</v>
      </c>
      <c r="G348" s="27">
        <f t="shared" si="16"/>
        <v>61.80716948557661</v>
      </c>
    </row>
    <row r="349" spans="1:7" s="51" customFormat="1" ht="57.75" customHeight="1" hidden="1">
      <c r="A349" s="23"/>
      <c r="B349" s="24"/>
      <c r="C349" s="218">
        <v>6410</v>
      </c>
      <c r="D349" s="41" t="s">
        <v>730</v>
      </c>
      <c r="E349" s="50">
        <v>0</v>
      </c>
      <c r="F349" s="50">
        <v>0</v>
      </c>
      <c r="G349" s="27" t="e">
        <f t="shared" si="16"/>
        <v>#DIV/0!</v>
      </c>
    </row>
    <row r="350" spans="1:7" s="215" customFormat="1" ht="69" customHeight="1">
      <c r="A350" s="219" t="s">
        <v>1203</v>
      </c>
      <c r="B350" s="29"/>
      <c r="C350" s="29"/>
      <c r="D350" s="45" t="s">
        <v>302</v>
      </c>
      <c r="E350" s="31">
        <f>SUM(E351,E354)</f>
        <v>7370952</v>
      </c>
      <c r="F350" s="31">
        <f>SUM(F351,F354)</f>
        <v>3012168.8</v>
      </c>
      <c r="G350" s="15">
        <f t="shared" si="16"/>
        <v>40.86539703419585</v>
      </c>
    </row>
    <row r="351" spans="1:7" s="59" customFormat="1" ht="41.25" customHeight="1">
      <c r="A351" s="17"/>
      <c r="B351" s="33" t="s">
        <v>1122</v>
      </c>
      <c r="C351" s="33"/>
      <c r="D351" s="19" t="s">
        <v>1231</v>
      </c>
      <c r="E351" s="35">
        <f>SUM(E352,E353)</f>
        <v>1046840</v>
      </c>
      <c r="F351" s="35">
        <f>SUM(F352,F353)</f>
        <v>466628.05</v>
      </c>
      <c r="G351" s="21">
        <f t="shared" si="16"/>
        <v>44.57491593748806</v>
      </c>
    </row>
    <row r="352" spans="1:7" s="51" customFormat="1" ht="19.5" customHeight="1">
      <c r="A352" s="23"/>
      <c r="B352" s="37"/>
      <c r="C352" s="37" t="s">
        <v>93</v>
      </c>
      <c r="D352" s="38" t="s">
        <v>1108</v>
      </c>
      <c r="E352" s="39">
        <v>796740</v>
      </c>
      <c r="F352" s="39">
        <v>321910.3</v>
      </c>
      <c r="G352" s="27">
        <f aca="true" t="shared" si="17" ref="G352:G376">F352/E352*100</f>
        <v>40.40343148329442</v>
      </c>
    </row>
    <row r="353" spans="1:7" s="51" customFormat="1" ht="19.5" customHeight="1">
      <c r="A353" s="23"/>
      <c r="B353" s="37"/>
      <c r="C353" s="37" t="s">
        <v>49</v>
      </c>
      <c r="D353" s="41" t="s">
        <v>1099</v>
      </c>
      <c r="E353" s="39">
        <v>250100</v>
      </c>
      <c r="F353" s="39">
        <v>144717.75</v>
      </c>
      <c r="G353" s="27">
        <f t="shared" si="17"/>
        <v>57.86395441823271</v>
      </c>
    </row>
    <row r="354" spans="1:7" s="59" customFormat="1" ht="30.75" customHeight="1">
      <c r="A354" s="17"/>
      <c r="B354" s="33" t="s">
        <v>1144</v>
      </c>
      <c r="C354" s="33"/>
      <c r="D354" s="19" t="s">
        <v>1365</v>
      </c>
      <c r="E354" s="35">
        <f>+E355+E356</f>
        <v>6324112</v>
      </c>
      <c r="F354" s="35">
        <f>F355+F356</f>
        <v>2545540.75</v>
      </c>
      <c r="G354" s="21">
        <f t="shared" si="17"/>
        <v>40.25135465659052</v>
      </c>
    </row>
    <row r="355" spans="1:7" s="51" customFormat="1" ht="19.5" customHeight="1">
      <c r="A355" s="23"/>
      <c r="B355" s="37"/>
      <c r="C355" s="37" t="s">
        <v>97</v>
      </c>
      <c r="D355" s="41" t="s">
        <v>1139</v>
      </c>
      <c r="E355" s="39">
        <v>6124112</v>
      </c>
      <c r="F355" s="39">
        <v>2470603</v>
      </c>
      <c r="G355" s="27">
        <f t="shared" si="17"/>
        <v>40.34222430941824</v>
      </c>
    </row>
    <row r="356" spans="1:7" s="51" customFormat="1" ht="19.5" customHeight="1">
      <c r="A356" s="23"/>
      <c r="B356" s="37"/>
      <c r="C356" s="37" t="s">
        <v>98</v>
      </c>
      <c r="D356" s="38" t="s">
        <v>1143</v>
      </c>
      <c r="E356" s="39">
        <v>200000</v>
      </c>
      <c r="F356" s="39">
        <v>74937.75</v>
      </c>
      <c r="G356" s="27">
        <f t="shared" si="17"/>
        <v>37.468875000000004</v>
      </c>
    </row>
    <row r="357" spans="1:7" s="215" customFormat="1" ht="19.5" customHeight="1">
      <c r="A357" s="11" t="s">
        <v>945</v>
      </c>
      <c r="B357" s="29"/>
      <c r="C357" s="29"/>
      <c r="D357" s="30" t="s">
        <v>946</v>
      </c>
      <c r="E357" s="31">
        <f>SUM(E358,E360,E363,E365)</f>
        <v>42382704</v>
      </c>
      <c r="F357" s="31">
        <f>SUM(F358,F360,F363,F365)</f>
        <v>23092658</v>
      </c>
      <c r="G357" s="15">
        <f t="shared" si="17"/>
        <v>54.48604223081189</v>
      </c>
    </row>
    <row r="358" spans="1:7" s="59" customFormat="1" ht="33.75" customHeight="1">
      <c r="A358" s="17"/>
      <c r="B358" s="33" t="s">
        <v>1145</v>
      </c>
      <c r="C358" s="33"/>
      <c r="D358" s="19" t="s">
        <v>1147</v>
      </c>
      <c r="E358" s="35">
        <f>E359</f>
        <v>16478013</v>
      </c>
      <c r="F358" s="35">
        <f>F359</f>
        <v>10140312</v>
      </c>
      <c r="G358" s="21">
        <f t="shared" si="17"/>
        <v>61.53843913098017</v>
      </c>
    </row>
    <row r="359" spans="1:7" s="215" customFormat="1" ht="19.5" customHeight="1">
      <c r="A359" s="11"/>
      <c r="B359" s="29"/>
      <c r="C359" s="37" t="s">
        <v>99</v>
      </c>
      <c r="D359" s="41" t="s">
        <v>1226</v>
      </c>
      <c r="E359" s="39">
        <v>16478013</v>
      </c>
      <c r="F359" s="39">
        <v>10140312</v>
      </c>
      <c r="G359" s="27">
        <f t="shared" si="17"/>
        <v>61.53843913098017</v>
      </c>
    </row>
    <row r="360" spans="1:7" s="59" customFormat="1" ht="30" customHeight="1">
      <c r="A360" s="17"/>
      <c r="B360" s="33" t="s">
        <v>1149</v>
      </c>
      <c r="C360" s="33"/>
      <c r="D360" s="19" t="s">
        <v>311</v>
      </c>
      <c r="E360" s="35">
        <f>SUM(E362,E361)</f>
        <v>22000000</v>
      </c>
      <c r="F360" s="35">
        <f>SUM(F362,F361)</f>
        <v>11000000</v>
      </c>
      <c r="G360" s="21">
        <f t="shared" si="17"/>
        <v>50</v>
      </c>
    </row>
    <row r="361" spans="1:7" s="51" customFormat="1" ht="55.5" customHeight="1">
      <c r="A361" s="23"/>
      <c r="B361" s="37"/>
      <c r="C361" s="37" t="s">
        <v>108</v>
      </c>
      <c r="D361" s="41" t="s">
        <v>1335</v>
      </c>
      <c r="E361" s="39">
        <v>22000000</v>
      </c>
      <c r="F361" s="39">
        <v>11000000</v>
      </c>
      <c r="G361" s="27">
        <f t="shared" si="17"/>
        <v>50</v>
      </c>
    </row>
    <row r="362" spans="1:7" s="51" customFormat="1" ht="53.25" customHeight="1" hidden="1">
      <c r="A362" s="23"/>
      <c r="B362" s="37"/>
      <c r="C362" s="37" t="s">
        <v>266</v>
      </c>
      <c r="D362" s="41" t="s">
        <v>228</v>
      </c>
      <c r="E362" s="39">
        <v>0</v>
      </c>
      <c r="F362" s="39"/>
      <c r="G362" s="27" t="e">
        <f>F362/E362*100</f>
        <v>#DIV/0!</v>
      </c>
    </row>
    <row r="363" spans="1:7" s="59" customFormat="1" ht="26.25" customHeight="1">
      <c r="A363" s="17"/>
      <c r="B363" s="33" t="s">
        <v>267</v>
      </c>
      <c r="C363" s="33"/>
      <c r="D363" s="19" t="s">
        <v>269</v>
      </c>
      <c r="E363" s="35">
        <f>SUM(E364)</f>
        <v>317486</v>
      </c>
      <c r="F363" s="35">
        <f>SUM(F364)</f>
        <v>158742</v>
      </c>
      <c r="G363" s="21">
        <f>F363/E363*100</f>
        <v>49.99968502548144</v>
      </c>
    </row>
    <row r="364" spans="1:7" s="51" customFormat="1" ht="19.5" customHeight="1">
      <c r="A364" s="23"/>
      <c r="B364" s="37"/>
      <c r="C364" s="37" t="s">
        <v>99</v>
      </c>
      <c r="D364" s="41" t="s">
        <v>1226</v>
      </c>
      <c r="E364" s="39">
        <v>317486</v>
      </c>
      <c r="F364" s="39">
        <v>158742</v>
      </c>
      <c r="G364" s="27">
        <f>F364/E364*100</f>
        <v>49.99968502548144</v>
      </c>
    </row>
    <row r="365" spans="1:7" s="59" customFormat="1" ht="25.5" customHeight="1">
      <c r="A365" s="17"/>
      <c r="B365" s="33" t="s">
        <v>109</v>
      </c>
      <c r="C365" s="210"/>
      <c r="D365" s="19" t="s">
        <v>125</v>
      </c>
      <c r="E365" s="35">
        <f>E366</f>
        <v>3587205</v>
      </c>
      <c r="F365" s="35">
        <f>F366</f>
        <v>1793604</v>
      </c>
      <c r="G365" s="21">
        <f t="shared" si="17"/>
        <v>50.00004181528516</v>
      </c>
    </row>
    <row r="366" spans="1:7" s="51" customFormat="1" ht="21" customHeight="1">
      <c r="A366" s="23"/>
      <c r="B366" s="37"/>
      <c r="C366" s="211" t="s">
        <v>99</v>
      </c>
      <c r="D366" s="220" t="s">
        <v>1148</v>
      </c>
      <c r="E366" s="39">
        <v>3587205</v>
      </c>
      <c r="F366" s="39">
        <v>1793604</v>
      </c>
      <c r="G366" s="27">
        <f t="shared" si="17"/>
        <v>50.00004181528516</v>
      </c>
    </row>
    <row r="367" spans="1:7" s="59" customFormat="1" ht="19.5" customHeight="1">
      <c r="A367" s="11" t="s">
        <v>947</v>
      </c>
      <c r="B367" s="29"/>
      <c r="C367" s="156"/>
      <c r="D367" s="30" t="s">
        <v>948</v>
      </c>
      <c r="E367" s="31">
        <f>SUM(E368,E373)</f>
        <v>1238364</v>
      </c>
      <c r="F367" s="31">
        <f>SUM(F368,F373)</f>
        <v>0</v>
      </c>
      <c r="G367" s="15">
        <f aca="true" t="shared" si="18" ref="G367:G375">F367/E367*100</f>
        <v>0</v>
      </c>
    </row>
    <row r="368" spans="1:7" s="59" customFormat="1" ht="19.5" customHeight="1">
      <c r="A368" s="17"/>
      <c r="B368" s="33" t="s">
        <v>954</v>
      </c>
      <c r="C368" s="156"/>
      <c r="D368" s="34" t="s">
        <v>955</v>
      </c>
      <c r="E368" s="35">
        <f>SUM(E369,E371)</f>
        <v>1238364</v>
      </c>
      <c r="F368" s="35">
        <f>SUM(F369,F371)</f>
        <v>0</v>
      </c>
      <c r="G368" s="21">
        <f t="shared" si="18"/>
        <v>0</v>
      </c>
    </row>
    <row r="369" spans="1:7" s="51" customFormat="1" ht="64.5" customHeight="1">
      <c r="A369" s="23"/>
      <c r="B369" s="37"/>
      <c r="C369" s="221">
        <v>2008</v>
      </c>
      <c r="D369" s="26" t="s">
        <v>517</v>
      </c>
      <c r="E369" s="39">
        <v>1238364</v>
      </c>
      <c r="F369" s="39">
        <v>0</v>
      </c>
      <c r="G369" s="27">
        <f t="shared" si="18"/>
        <v>0</v>
      </c>
    </row>
    <row r="370" spans="1:7" s="51" customFormat="1" ht="66.75" customHeight="1">
      <c r="A370" s="23"/>
      <c r="B370" s="37"/>
      <c r="C370" s="221"/>
      <c r="D370" s="26" t="s">
        <v>143</v>
      </c>
      <c r="E370" s="39"/>
      <c r="F370" s="39"/>
      <c r="G370" s="27"/>
    </row>
    <row r="371" spans="1:7" s="51" customFormat="1" ht="30.75" customHeight="1" hidden="1">
      <c r="A371" s="23"/>
      <c r="B371" s="37"/>
      <c r="C371" s="221">
        <v>2009</v>
      </c>
      <c r="D371" s="41"/>
      <c r="E371" s="39"/>
      <c r="F371" s="39"/>
      <c r="G371" s="27" t="e">
        <f t="shared" si="18"/>
        <v>#DIV/0!</v>
      </c>
    </row>
    <row r="372" spans="1:7" s="51" customFormat="1" ht="30.75" customHeight="1" hidden="1">
      <c r="A372" s="23"/>
      <c r="B372" s="37"/>
      <c r="C372" s="221"/>
      <c r="D372" s="41"/>
      <c r="E372" s="39"/>
      <c r="F372" s="39"/>
      <c r="G372" s="27"/>
    </row>
    <row r="373" spans="1:7" s="59" customFormat="1" ht="21" customHeight="1" hidden="1">
      <c r="A373" s="17"/>
      <c r="B373" s="210" t="s">
        <v>399</v>
      </c>
      <c r="C373" s="156"/>
      <c r="D373" s="19" t="s">
        <v>825</v>
      </c>
      <c r="E373" s="35">
        <f>SUM(E374,E375)</f>
        <v>0</v>
      </c>
      <c r="F373" s="35">
        <f>SUM(F374,F375)</f>
        <v>0</v>
      </c>
      <c r="G373" s="21" t="e">
        <f t="shared" si="18"/>
        <v>#DIV/0!</v>
      </c>
    </row>
    <row r="374" spans="1:7" s="51" customFormat="1" ht="31.5" customHeight="1" hidden="1">
      <c r="A374" s="23"/>
      <c r="B374" s="37"/>
      <c r="C374" s="217">
        <v>2130</v>
      </c>
      <c r="D374" s="41" t="s">
        <v>731</v>
      </c>
      <c r="E374" s="39">
        <v>0</v>
      </c>
      <c r="F374" s="39">
        <v>0</v>
      </c>
      <c r="G374" s="27" t="e">
        <f t="shared" si="18"/>
        <v>#DIV/0!</v>
      </c>
    </row>
    <row r="375" spans="1:7" s="51" customFormat="1" ht="45" customHeight="1" hidden="1">
      <c r="A375" s="23"/>
      <c r="B375" s="37"/>
      <c r="C375" s="211" t="s">
        <v>1073</v>
      </c>
      <c r="D375" s="220" t="s">
        <v>1074</v>
      </c>
      <c r="E375" s="39">
        <v>0</v>
      </c>
      <c r="F375" s="39">
        <v>0</v>
      </c>
      <c r="G375" s="27" t="e">
        <f t="shared" si="18"/>
        <v>#DIV/0!</v>
      </c>
    </row>
    <row r="376" spans="1:7" s="59" customFormat="1" ht="19.5" customHeight="1">
      <c r="A376" s="11" t="s">
        <v>956</v>
      </c>
      <c r="B376" s="29"/>
      <c r="C376" s="156"/>
      <c r="D376" s="30" t="s">
        <v>957</v>
      </c>
      <c r="E376" s="31">
        <f>SUM(E377)</f>
        <v>827000</v>
      </c>
      <c r="F376" s="31">
        <f>SUM(F377)</f>
        <v>470287</v>
      </c>
      <c r="G376" s="15">
        <f t="shared" si="17"/>
        <v>56.86662636033857</v>
      </c>
    </row>
    <row r="377" spans="1:7" s="59" customFormat="1" ht="43.5" customHeight="1">
      <c r="A377" s="17"/>
      <c r="B377" s="210" t="s">
        <v>1153</v>
      </c>
      <c r="C377" s="156"/>
      <c r="D377" s="19" t="s">
        <v>312</v>
      </c>
      <c r="E377" s="35">
        <f>SUM(E378,E379)</f>
        <v>827000</v>
      </c>
      <c r="F377" s="35">
        <f>SUM(F378,F379)</f>
        <v>470287</v>
      </c>
      <c r="G377" s="21">
        <f aca="true" t="shared" si="19" ref="G377:G426">F377/E377*100</f>
        <v>56.86662636033857</v>
      </c>
    </row>
    <row r="378" spans="1:7" s="51" customFormat="1" ht="52.5" customHeight="1">
      <c r="A378" s="23"/>
      <c r="B378" s="37"/>
      <c r="C378" s="217">
        <v>2110</v>
      </c>
      <c r="D378" s="41" t="s">
        <v>1211</v>
      </c>
      <c r="E378" s="39">
        <v>827000</v>
      </c>
      <c r="F378" s="39">
        <v>470287</v>
      </c>
      <c r="G378" s="27">
        <f t="shared" si="19"/>
        <v>56.86662636033857</v>
      </c>
    </row>
    <row r="379" spans="1:7" s="51" customFormat="1" ht="41.25" customHeight="1" hidden="1">
      <c r="A379" s="23"/>
      <c r="B379" s="37"/>
      <c r="C379" s="217">
        <v>2910</v>
      </c>
      <c r="D379" s="41" t="s">
        <v>1275</v>
      </c>
      <c r="E379" s="39"/>
      <c r="F379" s="39"/>
      <c r="G379" s="27" t="s">
        <v>1142</v>
      </c>
    </row>
    <row r="380" spans="1:7" s="215" customFormat="1" ht="21.75" customHeight="1">
      <c r="A380" s="11" t="s">
        <v>110</v>
      </c>
      <c r="B380" s="29"/>
      <c r="C380" s="222"/>
      <c r="D380" s="45" t="s">
        <v>121</v>
      </c>
      <c r="E380" s="31">
        <f>SUM(E381,E383,E385,E388,E390,E392,E394)</f>
        <v>433537</v>
      </c>
      <c r="F380" s="31">
        <f>SUM(F381,F383,F385,F388,F390,F392,F394)</f>
        <v>202324.84</v>
      </c>
      <c r="G380" s="15">
        <f t="shared" si="19"/>
        <v>46.66841353794486</v>
      </c>
    </row>
    <row r="381" spans="1:7" s="59" customFormat="1" ht="21.75" customHeight="1">
      <c r="A381" s="17"/>
      <c r="B381" s="33" t="s">
        <v>111</v>
      </c>
      <c r="C381" s="223"/>
      <c r="D381" s="224" t="s">
        <v>748</v>
      </c>
      <c r="E381" s="35">
        <f>SUM(E382)</f>
        <v>0</v>
      </c>
      <c r="F381" s="35">
        <f>SUM(F382)</f>
        <v>1422.31</v>
      </c>
      <c r="G381" s="27" t="s">
        <v>1142</v>
      </c>
    </row>
    <row r="382" spans="1:7" s="51" customFormat="1" ht="21.75" customHeight="1">
      <c r="A382" s="23"/>
      <c r="B382" s="37"/>
      <c r="C382" s="211" t="s">
        <v>47</v>
      </c>
      <c r="D382" s="220" t="s">
        <v>1102</v>
      </c>
      <c r="E382" s="39">
        <v>0</v>
      </c>
      <c r="F382" s="39">
        <v>1422.31</v>
      </c>
      <c r="G382" s="27" t="s">
        <v>1142</v>
      </c>
    </row>
    <row r="383" spans="1:7" s="59" customFormat="1" ht="21.75" customHeight="1" hidden="1">
      <c r="A383" s="17"/>
      <c r="B383" s="33" t="s">
        <v>122</v>
      </c>
      <c r="C383" s="223"/>
      <c r="D383" s="224" t="s">
        <v>1227</v>
      </c>
      <c r="E383" s="35">
        <f>SUM(E384)</f>
        <v>0</v>
      </c>
      <c r="F383" s="35">
        <f>SUM(F384)</f>
        <v>0</v>
      </c>
      <c r="G383" s="21" t="e">
        <f t="shared" si="19"/>
        <v>#DIV/0!</v>
      </c>
    </row>
    <row r="384" spans="1:7" s="51" customFormat="1" ht="54" customHeight="1" hidden="1">
      <c r="A384" s="23"/>
      <c r="B384" s="37"/>
      <c r="C384" s="217">
        <v>2110</v>
      </c>
      <c r="D384" s="41" t="s">
        <v>1211</v>
      </c>
      <c r="E384" s="50">
        <v>0</v>
      </c>
      <c r="F384" s="39">
        <v>0</v>
      </c>
      <c r="G384" s="27" t="e">
        <f t="shared" si="19"/>
        <v>#DIV/0!</v>
      </c>
    </row>
    <row r="385" spans="1:7" s="59" customFormat="1" ht="20.25" customHeight="1">
      <c r="A385" s="17"/>
      <c r="B385" s="33" t="s">
        <v>416</v>
      </c>
      <c r="C385" s="223"/>
      <c r="D385" s="19" t="s">
        <v>417</v>
      </c>
      <c r="E385" s="225">
        <f>SUM(E386,E387)</f>
        <v>74637</v>
      </c>
      <c r="F385" s="225">
        <f>SUM(F386,F387)</f>
        <v>28402.530000000002</v>
      </c>
      <c r="G385" s="21">
        <f t="shared" si="19"/>
        <v>38.054222436593115</v>
      </c>
    </row>
    <row r="386" spans="1:7" s="51" customFormat="1" ht="20.25" customHeight="1">
      <c r="A386" s="23"/>
      <c r="B386" s="37"/>
      <c r="C386" s="211" t="s">
        <v>47</v>
      </c>
      <c r="D386" s="41" t="s">
        <v>1102</v>
      </c>
      <c r="E386" s="50">
        <v>0</v>
      </c>
      <c r="F386" s="39">
        <v>204.47</v>
      </c>
      <c r="G386" s="27" t="s">
        <v>1142</v>
      </c>
    </row>
    <row r="387" spans="1:7" s="51" customFormat="1" ht="54.75" customHeight="1">
      <c r="A387" s="23"/>
      <c r="B387" s="37"/>
      <c r="C387" s="37" t="s">
        <v>19</v>
      </c>
      <c r="D387" s="41" t="s">
        <v>20</v>
      </c>
      <c r="E387" s="50">
        <v>74637</v>
      </c>
      <c r="F387" s="39">
        <v>28198.06</v>
      </c>
      <c r="G387" s="27">
        <f t="shared" si="19"/>
        <v>37.78026983935582</v>
      </c>
    </row>
    <row r="388" spans="1:7" s="51" customFormat="1" ht="24.75" customHeight="1">
      <c r="A388" s="17"/>
      <c r="B388" s="210" t="s">
        <v>83</v>
      </c>
      <c r="C388" s="156"/>
      <c r="D388" s="19" t="s">
        <v>1318</v>
      </c>
      <c r="E388" s="35">
        <f>E389</f>
        <v>318000</v>
      </c>
      <c r="F388" s="35">
        <f>F389</f>
        <v>168000</v>
      </c>
      <c r="G388" s="21">
        <f>F388/E388*100</f>
        <v>52.83018867924528</v>
      </c>
    </row>
    <row r="389" spans="1:7" s="215" customFormat="1" ht="54" customHeight="1">
      <c r="A389" s="23"/>
      <c r="B389" s="37"/>
      <c r="C389" s="217">
        <v>2110</v>
      </c>
      <c r="D389" s="41" t="s">
        <v>1211</v>
      </c>
      <c r="E389" s="39">
        <v>318000</v>
      </c>
      <c r="F389" s="39">
        <v>168000</v>
      </c>
      <c r="G389" s="27">
        <f>F389/E389*100</f>
        <v>52.83018867924528</v>
      </c>
    </row>
    <row r="390" spans="1:7" s="59" customFormat="1" ht="21.75" customHeight="1">
      <c r="A390" s="17"/>
      <c r="B390" s="33" t="s">
        <v>418</v>
      </c>
      <c r="C390" s="210"/>
      <c r="D390" s="19" t="s">
        <v>419</v>
      </c>
      <c r="E390" s="35">
        <f>SUM(E391)</f>
        <v>4500</v>
      </c>
      <c r="F390" s="35">
        <f>SUM(F391)</f>
        <v>4500</v>
      </c>
      <c r="G390" s="21">
        <f t="shared" si="19"/>
        <v>100</v>
      </c>
    </row>
    <row r="391" spans="1:7" s="51" customFormat="1" ht="31.5" customHeight="1">
      <c r="A391" s="23"/>
      <c r="B391" s="37"/>
      <c r="C391" s="211" t="s">
        <v>101</v>
      </c>
      <c r="D391" s="41" t="s">
        <v>1098</v>
      </c>
      <c r="E391" s="39">
        <v>4500</v>
      </c>
      <c r="F391" s="39">
        <v>4500</v>
      </c>
      <c r="G391" s="27">
        <f t="shared" si="19"/>
        <v>100</v>
      </c>
    </row>
    <row r="392" spans="1:7" s="51" customFormat="1" ht="39" customHeight="1" hidden="1">
      <c r="A392" s="17"/>
      <c r="B392" s="33" t="s">
        <v>590</v>
      </c>
      <c r="C392" s="210"/>
      <c r="D392" s="19" t="s">
        <v>591</v>
      </c>
      <c r="E392" s="35">
        <f>SUM(E393)</f>
        <v>0</v>
      </c>
      <c r="F392" s="35">
        <f>SUM(F393)</f>
        <v>0</v>
      </c>
      <c r="G392" s="21" t="e">
        <f>F392/E392*100</f>
        <v>#DIV/0!</v>
      </c>
    </row>
    <row r="393" spans="1:7" s="51" customFormat="1" ht="31.5" customHeight="1" hidden="1">
      <c r="A393" s="23"/>
      <c r="B393" s="37"/>
      <c r="C393" s="211" t="s">
        <v>101</v>
      </c>
      <c r="D393" s="41" t="s">
        <v>1098</v>
      </c>
      <c r="E393" s="39">
        <v>0</v>
      </c>
      <c r="F393" s="39"/>
      <c r="G393" s="27" t="e">
        <f>F393/E393*100</f>
        <v>#DIV/0!</v>
      </c>
    </row>
    <row r="394" spans="1:7" s="59" customFormat="1" ht="15.75" customHeight="1">
      <c r="A394" s="17"/>
      <c r="B394" s="33" t="s">
        <v>120</v>
      </c>
      <c r="C394" s="210"/>
      <c r="D394" s="19" t="s">
        <v>825</v>
      </c>
      <c r="E394" s="35">
        <f>SUM(E395)</f>
        <v>36400</v>
      </c>
      <c r="F394" s="35">
        <f>SUM(F395)</f>
        <v>0</v>
      </c>
      <c r="G394" s="27">
        <f>F394/E394*100</f>
        <v>0</v>
      </c>
    </row>
    <row r="395" spans="1:7" s="51" customFormat="1" ht="53.25" customHeight="1">
      <c r="A395" s="23"/>
      <c r="B395" s="37"/>
      <c r="C395" s="211" t="s">
        <v>84</v>
      </c>
      <c r="D395" s="41" t="s">
        <v>1109</v>
      </c>
      <c r="E395" s="39">
        <v>36400</v>
      </c>
      <c r="F395" s="39">
        <v>0</v>
      </c>
      <c r="G395" s="27">
        <f>F395/E395*100</f>
        <v>0</v>
      </c>
    </row>
    <row r="396" spans="1:7" s="51" customFormat="1" ht="32.25" customHeight="1">
      <c r="A396" s="11" t="s">
        <v>960</v>
      </c>
      <c r="B396" s="29"/>
      <c r="C396" s="29"/>
      <c r="D396" s="45" t="s">
        <v>303</v>
      </c>
      <c r="E396" s="31">
        <f>SUM(E397,E399,E401,E403,E405)</f>
        <v>251187</v>
      </c>
      <c r="F396" s="31">
        <f>SUM(F397,F399,F401,F403,F405)</f>
        <v>144825.31</v>
      </c>
      <c r="G396" s="15">
        <f t="shared" si="19"/>
        <v>57.656371547890615</v>
      </c>
    </row>
    <row r="397" spans="1:7" s="51" customFormat="1" ht="22.5" customHeight="1">
      <c r="A397" s="17"/>
      <c r="B397" s="210" t="s">
        <v>968</v>
      </c>
      <c r="C397" s="156"/>
      <c r="D397" s="19" t="s">
        <v>1233</v>
      </c>
      <c r="E397" s="35">
        <f>E398</f>
        <v>36000</v>
      </c>
      <c r="F397" s="35">
        <f>F398</f>
        <v>18000</v>
      </c>
      <c r="G397" s="21">
        <f t="shared" si="19"/>
        <v>50</v>
      </c>
    </row>
    <row r="398" spans="1:7" s="215" customFormat="1" ht="54.75" customHeight="1">
      <c r="A398" s="23"/>
      <c r="B398" s="37"/>
      <c r="C398" s="217">
        <v>2110</v>
      </c>
      <c r="D398" s="41" t="s">
        <v>1211</v>
      </c>
      <c r="E398" s="39">
        <v>36000</v>
      </c>
      <c r="F398" s="39">
        <v>18000</v>
      </c>
      <c r="G398" s="27">
        <f t="shared" si="19"/>
        <v>50</v>
      </c>
    </row>
    <row r="399" spans="1:7" s="59" customFormat="1" ht="28.5" customHeight="1" hidden="1">
      <c r="A399" s="17"/>
      <c r="B399" s="33" t="s">
        <v>799</v>
      </c>
      <c r="C399" s="223"/>
      <c r="D399" s="19" t="s">
        <v>800</v>
      </c>
      <c r="E399" s="35">
        <f>SUM(E400)</f>
        <v>0</v>
      </c>
      <c r="F399" s="35">
        <f>SUM(F400)</f>
        <v>0</v>
      </c>
      <c r="G399" s="21" t="e">
        <f t="shared" si="19"/>
        <v>#DIV/0!</v>
      </c>
    </row>
    <row r="400" spans="1:7" s="51" customFormat="1" ht="21" customHeight="1" hidden="1">
      <c r="A400" s="23"/>
      <c r="B400" s="37"/>
      <c r="C400" s="211" t="s">
        <v>47</v>
      </c>
      <c r="D400" s="41" t="s">
        <v>1102</v>
      </c>
      <c r="E400" s="39">
        <v>0</v>
      </c>
      <c r="F400" s="39">
        <v>0</v>
      </c>
      <c r="G400" s="27" t="e">
        <f t="shared" si="19"/>
        <v>#DIV/0!</v>
      </c>
    </row>
    <row r="401" spans="1:7" s="51" customFormat="1" ht="20.25" customHeight="1">
      <c r="A401" s="17"/>
      <c r="B401" s="33" t="s">
        <v>422</v>
      </c>
      <c r="C401" s="210"/>
      <c r="D401" s="19" t="s">
        <v>423</v>
      </c>
      <c r="E401" s="35">
        <f>SUM(E402)</f>
        <v>128400</v>
      </c>
      <c r="F401" s="35">
        <f>SUM(F402)</f>
        <v>64000</v>
      </c>
      <c r="G401" s="21">
        <f t="shared" si="19"/>
        <v>49.84423676012461</v>
      </c>
    </row>
    <row r="402" spans="1:7" s="51" customFormat="1" ht="63" customHeight="1">
      <c r="A402" s="23"/>
      <c r="B402" s="37"/>
      <c r="C402" s="211" t="s">
        <v>750</v>
      </c>
      <c r="D402" s="41" t="s">
        <v>1141</v>
      </c>
      <c r="E402" s="39">
        <v>128400</v>
      </c>
      <c r="F402" s="39">
        <v>64000</v>
      </c>
      <c r="G402" s="27">
        <f t="shared" si="19"/>
        <v>49.84423676012461</v>
      </c>
    </row>
    <row r="403" spans="1:7" s="51" customFormat="1" ht="20.25" customHeight="1" hidden="1">
      <c r="A403" s="17"/>
      <c r="B403" s="33" t="s">
        <v>188</v>
      </c>
      <c r="C403" s="210"/>
      <c r="D403" s="19" t="s">
        <v>189</v>
      </c>
      <c r="E403" s="35">
        <f>SUM(E404)</f>
        <v>0</v>
      </c>
      <c r="F403" s="35">
        <f>SUM(F404)</f>
        <v>0</v>
      </c>
      <c r="G403" s="21" t="e">
        <f>F403/E403*100</f>
        <v>#DIV/0!</v>
      </c>
    </row>
    <row r="404" spans="1:7" s="51" customFormat="1" ht="63" customHeight="1" hidden="1">
      <c r="A404" s="23"/>
      <c r="B404" s="37"/>
      <c r="C404" s="217">
        <v>2110</v>
      </c>
      <c r="D404" s="41" t="s">
        <v>1211</v>
      </c>
      <c r="E404" s="39">
        <v>0</v>
      </c>
      <c r="F404" s="39">
        <v>0</v>
      </c>
      <c r="G404" s="27" t="e">
        <f>F404/E404*100</f>
        <v>#DIV/0!</v>
      </c>
    </row>
    <row r="405" spans="1:7" s="59" customFormat="1" ht="18.75" customHeight="1">
      <c r="A405" s="17"/>
      <c r="B405" s="33" t="s">
        <v>424</v>
      </c>
      <c r="C405" s="210"/>
      <c r="D405" s="19" t="s">
        <v>825</v>
      </c>
      <c r="E405" s="35">
        <f>SUM(E406,E408)</f>
        <v>86787</v>
      </c>
      <c r="F405" s="35">
        <f>SUM(F406,F408)</f>
        <v>62825.31</v>
      </c>
      <c r="G405" s="27">
        <f t="shared" si="19"/>
        <v>72.39023125583324</v>
      </c>
    </row>
    <row r="406" spans="1:7" s="51" customFormat="1" ht="66.75" customHeight="1">
      <c r="A406" s="23"/>
      <c r="B406" s="37"/>
      <c r="C406" s="211" t="s">
        <v>67</v>
      </c>
      <c r="D406" s="26" t="s">
        <v>517</v>
      </c>
      <c r="E406" s="39">
        <v>86787</v>
      </c>
      <c r="F406" s="39">
        <v>62825.31</v>
      </c>
      <c r="G406" s="27">
        <f t="shared" si="19"/>
        <v>72.39023125583324</v>
      </c>
    </row>
    <row r="407" spans="1:7" s="51" customFormat="1" ht="18.75" customHeight="1">
      <c r="A407" s="23"/>
      <c r="B407" s="37"/>
      <c r="C407" s="211"/>
      <c r="D407" s="41" t="s">
        <v>85</v>
      </c>
      <c r="E407" s="39"/>
      <c r="F407" s="39"/>
      <c r="G407" s="27"/>
    </row>
    <row r="408" spans="1:7" s="51" customFormat="1" ht="30" customHeight="1" hidden="1">
      <c r="A408" s="23"/>
      <c r="B408" s="37"/>
      <c r="C408" s="52" t="s">
        <v>270</v>
      </c>
      <c r="D408" s="26"/>
      <c r="E408" s="53"/>
      <c r="F408" s="53"/>
      <c r="G408" s="27" t="e">
        <f t="shared" si="19"/>
        <v>#DIV/0!</v>
      </c>
    </row>
    <row r="409" spans="1:7" s="51" customFormat="1" ht="78" customHeight="1" hidden="1">
      <c r="A409" s="23"/>
      <c r="B409" s="37"/>
      <c r="C409" s="52"/>
      <c r="D409" s="26" t="s">
        <v>1334</v>
      </c>
      <c r="E409" s="53"/>
      <c r="F409" s="53"/>
      <c r="G409" s="27" t="e">
        <f t="shared" si="19"/>
        <v>#DIV/0!</v>
      </c>
    </row>
    <row r="410" spans="1:7" s="59" customFormat="1" ht="21" customHeight="1" hidden="1">
      <c r="A410" s="11" t="s">
        <v>970</v>
      </c>
      <c r="B410" s="29"/>
      <c r="C410" s="29"/>
      <c r="D410" s="45" t="s">
        <v>974</v>
      </c>
      <c r="E410" s="31">
        <f>SUM(E411,E413,E415,E421)</f>
        <v>0</v>
      </c>
      <c r="F410" s="31">
        <f>SUM(F411,F413,F415,F421)</f>
        <v>0</v>
      </c>
      <c r="G410" s="27" t="e">
        <f t="shared" si="19"/>
        <v>#DIV/0!</v>
      </c>
    </row>
    <row r="411" spans="1:7" s="59" customFormat="1" ht="30" customHeight="1" hidden="1">
      <c r="A411" s="17"/>
      <c r="B411" s="33" t="s">
        <v>976</v>
      </c>
      <c r="C411" s="33"/>
      <c r="D411" s="19" t="s">
        <v>963</v>
      </c>
      <c r="E411" s="35">
        <f>SUM(E412)</f>
        <v>0</v>
      </c>
      <c r="F411" s="35">
        <f>SUM(F412)</f>
        <v>0</v>
      </c>
      <c r="G411" s="27" t="e">
        <f t="shared" si="19"/>
        <v>#DIV/0!</v>
      </c>
    </row>
    <row r="412" spans="1:7" s="59" customFormat="1" ht="33" customHeight="1" hidden="1">
      <c r="A412" s="23"/>
      <c r="B412" s="37"/>
      <c r="C412" s="37" t="s">
        <v>101</v>
      </c>
      <c r="D412" s="41" t="s">
        <v>1098</v>
      </c>
      <c r="E412" s="39">
        <v>0</v>
      </c>
      <c r="F412" s="39"/>
      <c r="G412" s="27" t="e">
        <f t="shared" si="19"/>
        <v>#DIV/0!</v>
      </c>
    </row>
    <row r="413" spans="1:7" s="59" customFormat="1" ht="20.25" customHeight="1" hidden="1">
      <c r="A413" s="17"/>
      <c r="B413" s="33" t="s">
        <v>1043</v>
      </c>
      <c r="C413" s="33"/>
      <c r="D413" s="19" t="s">
        <v>428</v>
      </c>
      <c r="E413" s="35">
        <f>SUM(E414)</f>
        <v>0</v>
      </c>
      <c r="F413" s="35">
        <f>SUM(F414)</f>
        <v>0</v>
      </c>
      <c r="G413" s="27" t="e">
        <f t="shared" si="19"/>
        <v>#DIV/0!</v>
      </c>
    </row>
    <row r="414" spans="1:7" s="59" customFormat="1" ht="33" customHeight="1" hidden="1">
      <c r="A414" s="23"/>
      <c r="B414" s="37"/>
      <c r="C414" s="37" t="s">
        <v>101</v>
      </c>
      <c r="D414" s="41" t="s">
        <v>1098</v>
      </c>
      <c r="E414" s="39">
        <v>0</v>
      </c>
      <c r="F414" s="39"/>
      <c r="G414" s="27" t="e">
        <f t="shared" si="19"/>
        <v>#DIV/0!</v>
      </c>
    </row>
    <row r="415" spans="1:7" s="59" customFormat="1" ht="20.25" customHeight="1" hidden="1">
      <c r="A415" s="17"/>
      <c r="B415" s="33" t="s">
        <v>1046</v>
      </c>
      <c r="C415" s="33"/>
      <c r="D415" s="19" t="s">
        <v>1047</v>
      </c>
      <c r="E415" s="35">
        <f>SUM(E416,E417,E419)</f>
        <v>0</v>
      </c>
      <c r="F415" s="35">
        <f>SUM(F416,F417,F419)</f>
        <v>0</v>
      </c>
      <c r="G415" s="27" t="e">
        <f t="shared" si="19"/>
        <v>#DIV/0!</v>
      </c>
    </row>
    <row r="416" spans="1:7" s="59" customFormat="1" ht="30.75" customHeight="1" hidden="1">
      <c r="A416" s="23"/>
      <c r="B416" s="37"/>
      <c r="C416" s="37" t="s">
        <v>101</v>
      </c>
      <c r="D416" s="41" t="s">
        <v>1098</v>
      </c>
      <c r="E416" s="39">
        <v>0</v>
      </c>
      <c r="F416" s="39"/>
      <c r="G416" s="27" t="e">
        <f t="shared" si="19"/>
        <v>#DIV/0!</v>
      </c>
    </row>
    <row r="417" spans="1:7" s="51" customFormat="1" ht="67.5" customHeight="1" hidden="1">
      <c r="A417" s="23"/>
      <c r="B417" s="37"/>
      <c r="C417" s="37" t="s">
        <v>21</v>
      </c>
      <c r="D417" s="41" t="s">
        <v>23</v>
      </c>
      <c r="E417" s="39">
        <v>0</v>
      </c>
      <c r="F417" s="39">
        <v>0</v>
      </c>
      <c r="G417" s="27" t="e">
        <f t="shared" si="19"/>
        <v>#DIV/0!</v>
      </c>
    </row>
    <row r="418" spans="1:7" s="51" customFormat="1" ht="68.25" customHeight="1" hidden="1">
      <c r="A418" s="23"/>
      <c r="B418" s="37"/>
      <c r="C418" s="37"/>
      <c r="D418" s="41" t="s">
        <v>216</v>
      </c>
      <c r="E418" s="39"/>
      <c r="F418" s="39"/>
      <c r="G418" s="27" t="e">
        <f t="shared" si="19"/>
        <v>#DIV/0!</v>
      </c>
    </row>
    <row r="419" spans="1:7" s="1182" customFormat="1" ht="67.5" customHeight="1" hidden="1">
      <c r="A419" s="23"/>
      <c r="B419" s="37"/>
      <c r="C419" s="37" t="s">
        <v>22</v>
      </c>
      <c r="D419" s="41" t="s">
        <v>23</v>
      </c>
      <c r="E419" s="39">
        <v>0</v>
      </c>
      <c r="F419" s="39">
        <v>0</v>
      </c>
      <c r="G419" s="27" t="e">
        <f t="shared" si="19"/>
        <v>#DIV/0!</v>
      </c>
    </row>
    <row r="420" spans="1:7" s="51" customFormat="1" ht="79.5" customHeight="1" hidden="1">
      <c r="A420" s="23"/>
      <c r="B420" s="37"/>
      <c r="C420" s="37"/>
      <c r="D420" s="41" t="s">
        <v>227</v>
      </c>
      <c r="E420" s="39"/>
      <c r="F420" s="39"/>
      <c r="G420" s="27" t="e">
        <f t="shared" si="19"/>
        <v>#DIV/0!</v>
      </c>
    </row>
    <row r="421" spans="1:7" s="59" customFormat="1" ht="21" customHeight="1" hidden="1">
      <c r="A421" s="17"/>
      <c r="B421" s="33" t="s">
        <v>433</v>
      </c>
      <c r="C421" s="33"/>
      <c r="D421" s="19" t="s">
        <v>825</v>
      </c>
      <c r="E421" s="20">
        <f>SUM(E422,E423)</f>
        <v>0</v>
      </c>
      <c r="F421" s="20">
        <f>SUM(F422,F423)</f>
        <v>0</v>
      </c>
      <c r="G421" s="27" t="e">
        <f t="shared" si="19"/>
        <v>#DIV/0!</v>
      </c>
    </row>
    <row r="422" spans="1:7" s="51" customFormat="1" ht="30" customHeight="1" hidden="1">
      <c r="A422" s="23"/>
      <c r="B422" s="37"/>
      <c r="C422" s="37" t="s">
        <v>101</v>
      </c>
      <c r="D422" s="41" t="s">
        <v>1098</v>
      </c>
      <c r="E422" s="7">
        <v>0</v>
      </c>
      <c r="F422" s="7"/>
      <c r="G422" s="27" t="e">
        <f t="shared" si="19"/>
        <v>#DIV/0!</v>
      </c>
    </row>
    <row r="423" spans="1:7" s="51" customFormat="1" ht="44.25" customHeight="1" hidden="1">
      <c r="A423" s="23"/>
      <c r="B423" s="37"/>
      <c r="C423" s="37" t="s">
        <v>1073</v>
      </c>
      <c r="D423" s="41" t="s">
        <v>453</v>
      </c>
      <c r="E423" s="7">
        <v>0</v>
      </c>
      <c r="F423" s="7"/>
      <c r="G423" s="27" t="e">
        <f t="shared" si="19"/>
        <v>#DIV/0!</v>
      </c>
    </row>
    <row r="424" spans="1:7" s="51" customFormat="1" ht="29.25" customHeight="1">
      <c r="A424" s="11" t="s">
        <v>1049</v>
      </c>
      <c r="B424" s="29"/>
      <c r="C424" s="29"/>
      <c r="D424" s="45" t="s">
        <v>1155</v>
      </c>
      <c r="E424" s="31">
        <f>SUM(E425,E427)</f>
        <v>45538</v>
      </c>
      <c r="F424" s="31">
        <f>SUM(F425,F427)</f>
        <v>52493.240000000005</v>
      </c>
      <c r="G424" s="15">
        <f t="shared" si="19"/>
        <v>115.27348587992448</v>
      </c>
    </row>
    <row r="425" spans="1:7" s="59" customFormat="1" ht="20.25" customHeight="1">
      <c r="A425" s="17"/>
      <c r="B425" s="33" t="s">
        <v>81</v>
      </c>
      <c r="C425" s="210"/>
      <c r="D425" s="19" t="s">
        <v>82</v>
      </c>
      <c r="E425" s="42">
        <f>SUM(E426)</f>
        <v>45538</v>
      </c>
      <c r="F425" s="35">
        <f>SUM(F426)</f>
        <v>45537.62</v>
      </c>
      <c r="G425" s="21">
        <f t="shared" si="19"/>
        <v>99.9991655320831</v>
      </c>
    </row>
    <row r="426" spans="1:7" s="59" customFormat="1" ht="21" customHeight="1">
      <c r="A426" s="1183"/>
      <c r="B426" s="318"/>
      <c r="C426" s="1184" t="s">
        <v>47</v>
      </c>
      <c r="D426" s="1185" t="s">
        <v>1102</v>
      </c>
      <c r="E426" s="39">
        <v>45538</v>
      </c>
      <c r="F426" s="43">
        <v>45537.62</v>
      </c>
      <c r="G426" s="8">
        <f t="shared" si="19"/>
        <v>99.9991655320831</v>
      </c>
    </row>
    <row r="427" spans="1:7" s="59" customFormat="1" ht="20.25" customHeight="1">
      <c r="A427" s="60"/>
      <c r="B427" s="48" t="s">
        <v>1051</v>
      </c>
      <c r="C427" s="236"/>
      <c r="D427" s="203" t="s">
        <v>1052</v>
      </c>
      <c r="E427" s="35">
        <f>SUM(E428)</f>
        <v>0</v>
      </c>
      <c r="F427" s="42">
        <f>SUM(F428)</f>
        <v>6955.62</v>
      </c>
      <c r="G427" s="8" t="s">
        <v>1142</v>
      </c>
    </row>
    <row r="428" spans="1:7" s="59" customFormat="1" ht="21" customHeight="1" thickBot="1">
      <c r="A428" s="226"/>
      <c r="B428" s="227"/>
      <c r="C428" s="228" t="s">
        <v>47</v>
      </c>
      <c r="D428" s="237" t="s">
        <v>1102</v>
      </c>
      <c r="E428" s="229">
        <v>0</v>
      </c>
      <c r="F428" s="229">
        <v>6955.62</v>
      </c>
      <c r="G428" s="230" t="s">
        <v>1142</v>
      </c>
    </row>
    <row r="429" spans="1:7" s="240" customFormat="1" ht="21" customHeight="1" thickBot="1">
      <c r="A429" s="1358" t="s">
        <v>977</v>
      </c>
      <c r="B429" s="1359"/>
      <c r="C429" s="1359"/>
      <c r="D429" s="1360"/>
      <c r="E429" s="238">
        <f>SUM(E7,E303)</f>
        <v>208778856.63</v>
      </c>
      <c r="F429" s="238">
        <f>SUM(F7,F303)</f>
        <v>95512504.01</v>
      </c>
      <c r="G429" s="239">
        <f>F429/E429*100</f>
        <v>45.74816892462834</v>
      </c>
    </row>
    <row r="430" spans="1:7" s="32" customFormat="1" ht="19.5" customHeight="1">
      <c r="A430" s="1186"/>
      <c r="B430" s="1186"/>
      <c r="C430" s="1186"/>
      <c r="D430" s="1187" t="s">
        <v>978</v>
      </c>
      <c r="E430" s="1188">
        <v>208778856.63</v>
      </c>
      <c r="F430" s="1188">
        <v>95512504.01</v>
      </c>
      <c r="G430" s="1189"/>
    </row>
    <row r="431" spans="1:7" s="32" customFormat="1" ht="19.5" customHeight="1">
      <c r="A431" s="1186"/>
      <c r="B431" s="1186"/>
      <c r="C431" s="1186"/>
      <c r="D431" s="1187" t="s">
        <v>979</v>
      </c>
      <c r="E431" s="1190">
        <f>E430-E429</f>
        <v>0</v>
      </c>
      <c r="F431" s="1190">
        <f>F430-F429</f>
        <v>0</v>
      </c>
      <c r="G431" s="1189"/>
    </row>
    <row r="432" spans="1:7" s="40" customFormat="1" ht="19.5" customHeight="1">
      <c r="A432" s="324"/>
      <c r="B432" s="324"/>
      <c r="C432" s="324"/>
      <c r="D432" s="325"/>
      <c r="E432" s="326"/>
      <c r="F432" s="327"/>
      <c r="G432" s="328"/>
    </row>
    <row r="433" spans="1:7" s="40" customFormat="1" ht="19.5" customHeight="1">
      <c r="A433" s="324"/>
      <c r="B433" s="324"/>
      <c r="C433" s="324"/>
      <c r="D433" s="325"/>
      <c r="E433" s="326"/>
      <c r="F433" s="326"/>
      <c r="G433" s="328"/>
    </row>
    <row r="434" spans="1:6" ht="19.5" customHeight="1">
      <c r="A434" s="319"/>
      <c r="B434" s="319"/>
      <c r="C434" s="319"/>
      <c r="D434" s="320"/>
      <c r="E434" s="329"/>
      <c r="F434" s="330"/>
    </row>
    <row r="435" spans="1:6" ht="19.5" customHeight="1">
      <c r="A435" s="319"/>
      <c r="B435" s="319"/>
      <c r="C435" s="319"/>
      <c r="D435" s="320"/>
      <c r="E435" s="329"/>
      <c r="F435" s="330"/>
    </row>
    <row r="436" spans="1:6" ht="19.5" customHeight="1">
      <c r="A436" s="319"/>
      <c r="B436" s="319"/>
      <c r="C436" s="319"/>
      <c r="D436" s="320"/>
      <c r="E436" s="329"/>
      <c r="F436" s="330"/>
    </row>
    <row r="437" spans="1:6" ht="19.5" customHeight="1">
      <c r="A437" s="319"/>
      <c r="B437" s="319"/>
      <c r="C437" s="319"/>
      <c r="D437" s="320"/>
      <c r="E437" s="329"/>
      <c r="F437" s="330"/>
    </row>
    <row r="438" spans="1:6" ht="19.5" customHeight="1">
      <c r="A438" s="319"/>
      <c r="B438" s="319"/>
      <c r="C438" s="319"/>
      <c r="D438" s="320"/>
      <c r="E438" s="329"/>
      <c r="F438" s="330"/>
    </row>
    <row r="439" spans="1:6" ht="19.5" customHeight="1">
      <c r="A439" s="319"/>
      <c r="B439" s="319"/>
      <c r="C439" s="319"/>
      <c r="D439" s="320"/>
      <c r="E439" s="329"/>
      <c r="F439" s="330"/>
    </row>
    <row r="440" spans="1:6" ht="19.5" customHeight="1">
      <c r="A440" s="319"/>
      <c r="B440" s="319"/>
      <c r="C440" s="319"/>
      <c r="D440" s="320"/>
      <c r="E440" s="329"/>
      <c r="F440" s="330"/>
    </row>
    <row r="441" spans="1:6" ht="19.5" customHeight="1">
      <c r="A441" s="319"/>
      <c r="B441" s="319"/>
      <c r="C441" s="319"/>
      <c r="D441" s="320"/>
      <c r="E441" s="329"/>
      <c r="F441" s="330"/>
    </row>
    <row r="442" spans="1:6" ht="19.5" customHeight="1">
      <c r="A442" s="319"/>
      <c r="B442" s="319"/>
      <c r="C442" s="319"/>
      <c r="D442" s="320"/>
      <c r="E442" s="329"/>
      <c r="F442" s="330"/>
    </row>
    <row r="443" spans="1:6" ht="19.5" customHeight="1">
      <c r="A443" s="319"/>
      <c r="B443" s="319"/>
      <c r="C443" s="319"/>
      <c r="D443" s="320"/>
      <c r="E443" s="329"/>
      <c r="F443" s="330"/>
    </row>
    <row r="444" spans="1:6" ht="19.5" customHeight="1">
      <c r="A444" s="319"/>
      <c r="B444" s="319"/>
      <c r="C444" s="319"/>
      <c r="D444" s="320"/>
      <c r="E444" s="329"/>
      <c r="F444" s="330"/>
    </row>
    <row r="445" spans="1:6" ht="19.5" customHeight="1">
      <c r="A445" s="319"/>
      <c r="B445" s="319"/>
      <c r="C445" s="319"/>
      <c r="D445" s="320"/>
      <c r="E445" s="329"/>
      <c r="F445" s="330"/>
    </row>
    <row r="446" spans="1:6" ht="19.5" customHeight="1">
      <c r="A446" s="319"/>
      <c r="B446" s="319"/>
      <c r="C446" s="319"/>
      <c r="D446" s="320"/>
      <c r="E446" s="329"/>
      <c r="F446" s="330"/>
    </row>
    <row r="447" spans="1:6" ht="19.5" customHeight="1">
      <c r="A447" s="319"/>
      <c r="B447" s="319"/>
      <c r="C447" s="319"/>
      <c r="D447" s="320"/>
      <c r="E447" s="329"/>
      <c r="F447" s="330"/>
    </row>
    <row r="448" spans="1:6" ht="19.5" customHeight="1">
      <c r="A448" s="319"/>
      <c r="B448" s="319"/>
      <c r="C448" s="319"/>
      <c r="D448" s="320"/>
      <c r="E448" s="329"/>
      <c r="F448" s="330"/>
    </row>
    <row r="449" spans="1:6" ht="19.5" customHeight="1">
      <c r="A449" s="319"/>
      <c r="B449" s="319"/>
      <c r="C449" s="319"/>
      <c r="D449" s="320"/>
      <c r="E449" s="329"/>
      <c r="F449" s="330"/>
    </row>
    <row r="450" spans="1:6" ht="19.5" customHeight="1">
      <c r="A450" s="319"/>
      <c r="B450" s="319"/>
      <c r="C450" s="319"/>
      <c r="D450" s="320"/>
      <c r="E450" s="329"/>
      <c r="F450" s="330"/>
    </row>
    <row r="451" spans="1:6" ht="19.5" customHeight="1">
      <c r="A451" s="319"/>
      <c r="B451" s="319"/>
      <c r="C451" s="319"/>
      <c r="D451" s="320"/>
      <c r="E451" s="329"/>
      <c r="F451" s="330"/>
    </row>
    <row r="452" spans="1:6" ht="19.5" customHeight="1">
      <c r="A452" s="319"/>
      <c r="B452" s="319"/>
      <c r="C452" s="319"/>
      <c r="D452" s="320"/>
      <c r="E452" s="329"/>
      <c r="F452" s="330"/>
    </row>
    <row r="453" spans="1:6" ht="19.5" customHeight="1">
      <c r="A453" s="319"/>
      <c r="B453" s="319"/>
      <c r="C453" s="319"/>
      <c r="D453" s="320"/>
      <c r="E453" s="329"/>
      <c r="F453" s="330"/>
    </row>
    <row r="454" spans="1:6" ht="19.5" customHeight="1">
      <c r="A454" s="319"/>
      <c r="B454" s="319"/>
      <c r="C454" s="319"/>
      <c r="D454" s="320"/>
      <c r="E454" s="329"/>
      <c r="F454" s="330"/>
    </row>
    <row r="455" spans="1:6" ht="19.5" customHeight="1">
      <c r="A455" s="319"/>
      <c r="B455" s="319"/>
      <c r="C455" s="319"/>
      <c r="D455" s="320"/>
      <c r="E455" s="329"/>
      <c r="F455" s="330"/>
    </row>
    <row r="456" spans="1:6" ht="19.5" customHeight="1">
      <c r="A456" s="319"/>
      <c r="B456" s="319"/>
      <c r="C456" s="319"/>
      <c r="D456" s="320"/>
      <c r="E456" s="329"/>
      <c r="F456" s="330"/>
    </row>
    <row r="457" spans="1:6" ht="19.5" customHeight="1">
      <c r="A457" s="319"/>
      <c r="B457" s="319"/>
      <c r="C457" s="319"/>
      <c r="D457" s="320"/>
      <c r="E457" s="329"/>
      <c r="F457" s="330"/>
    </row>
    <row r="458" spans="1:6" ht="19.5" customHeight="1">
      <c r="A458" s="319"/>
      <c r="B458" s="319"/>
      <c r="C458" s="319"/>
      <c r="D458" s="320"/>
      <c r="E458" s="329"/>
      <c r="F458" s="330"/>
    </row>
    <row r="459" spans="1:6" ht="19.5" customHeight="1">
      <c r="A459" s="319"/>
      <c r="B459" s="319"/>
      <c r="C459" s="319"/>
      <c r="D459" s="320"/>
      <c r="E459" s="329"/>
      <c r="F459" s="330"/>
    </row>
    <row r="460" spans="1:6" ht="19.5" customHeight="1">
      <c r="A460" s="319"/>
      <c r="B460" s="319"/>
      <c r="C460" s="319"/>
      <c r="D460" s="320"/>
      <c r="E460" s="329"/>
      <c r="F460" s="330"/>
    </row>
    <row r="461" spans="1:6" ht="19.5" customHeight="1">
      <c r="A461" s="319"/>
      <c r="B461" s="319"/>
      <c r="C461" s="319"/>
      <c r="D461" s="320"/>
      <c r="E461" s="329"/>
      <c r="F461" s="330"/>
    </row>
    <row r="462" spans="1:6" ht="19.5" customHeight="1">
      <c r="A462" s="319"/>
      <c r="B462" s="319"/>
      <c r="C462" s="319"/>
      <c r="D462" s="320"/>
      <c r="E462" s="329"/>
      <c r="F462" s="330"/>
    </row>
    <row r="463" spans="1:6" ht="19.5" customHeight="1">
      <c r="A463" s="319"/>
      <c r="B463" s="319"/>
      <c r="C463" s="319"/>
      <c r="D463" s="320"/>
      <c r="E463" s="329"/>
      <c r="F463" s="330"/>
    </row>
    <row r="464" spans="1:6" ht="19.5" customHeight="1">
      <c r="A464" s="319"/>
      <c r="B464" s="319"/>
      <c r="C464" s="319"/>
      <c r="D464" s="320"/>
      <c r="E464" s="329"/>
      <c r="F464" s="330"/>
    </row>
    <row r="465" spans="1:6" ht="19.5" customHeight="1">
      <c r="A465" s="319"/>
      <c r="B465" s="319"/>
      <c r="C465" s="319"/>
      <c r="D465" s="320"/>
      <c r="E465" s="329"/>
      <c r="F465" s="330"/>
    </row>
    <row r="466" spans="1:6" ht="19.5" customHeight="1">
      <c r="A466" s="319"/>
      <c r="B466" s="319"/>
      <c r="C466" s="319"/>
      <c r="D466" s="320"/>
      <c r="E466" s="329"/>
      <c r="F466" s="330"/>
    </row>
    <row r="467" spans="1:6" ht="19.5" customHeight="1">
      <c r="A467" s="319"/>
      <c r="B467" s="319"/>
      <c r="C467" s="319"/>
      <c r="D467" s="320"/>
      <c r="E467" s="329"/>
      <c r="F467" s="330"/>
    </row>
    <row r="468" spans="1:6" ht="19.5" customHeight="1">
      <c r="A468" s="319"/>
      <c r="B468" s="319"/>
      <c r="C468" s="319"/>
      <c r="D468" s="320"/>
      <c r="E468" s="329"/>
      <c r="F468" s="330"/>
    </row>
    <row r="469" spans="1:6" ht="19.5" customHeight="1">
      <c r="A469" s="319"/>
      <c r="B469" s="319"/>
      <c r="C469" s="319"/>
      <c r="D469" s="320"/>
      <c r="E469" s="329"/>
      <c r="F469" s="330"/>
    </row>
    <row r="470" spans="1:6" ht="19.5" customHeight="1">
      <c r="A470" s="319"/>
      <c r="B470" s="319"/>
      <c r="C470" s="319"/>
      <c r="D470" s="320"/>
      <c r="E470" s="329"/>
      <c r="F470" s="330"/>
    </row>
    <row r="471" spans="1:6" ht="19.5" customHeight="1">
      <c r="A471" s="319"/>
      <c r="B471" s="319"/>
      <c r="C471" s="319"/>
      <c r="D471" s="320"/>
      <c r="E471" s="329"/>
      <c r="F471" s="330"/>
    </row>
    <row r="472" spans="1:6" ht="19.5" customHeight="1">
      <c r="A472" s="319"/>
      <c r="B472" s="319"/>
      <c r="C472" s="319"/>
      <c r="D472" s="320"/>
      <c r="E472" s="329"/>
      <c r="F472" s="330"/>
    </row>
    <row r="473" spans="1:6" ht="19.5" customHeight="1">
      <c r="A473" s="319"/>
      <c r="B473" s="319"/>
      <c r="C473" s="319"/>
      <c r="D473" s="320"/>
      <c r="E473" s="329"/>
      <c r="F473" s="330"/>
    </row>
    <row r="474" spans="1:6" ht="19.5" customHeight="1">
      <c r="A474" s="319"/>
      <c r="B474" s="319"/>
      <c r="C474" s="319"/>
      <c r="D474" s="320"/>
      <c r="E474" s="329"/>
      <c r="F474" s="330"/>
    </row>
    <row r="475" spans="1:6" ht="19.5" customHeight="1">
      <c r="A475" s="319"/>
      <c r="B475" s="319"/>
      <c r="C475" s="319"/>
      <c r="D475" s="320"/>
      <c r="E475" s="329"/>
      <c r="F475" s="330"/>
    </row>
    <row r="476" spans="1:6" ht="19.5" customHeight="1">
      <c r="A476" s="319"/>
      <c r="B476" s="319"/>
      <c r="C476" s="319"/>
      <c r="D476" s="320"/>
      <c r="E476" s="329"/>
      <c r="F476" s="330"/>
    </row>
    <row r="477" spans="1:6" ht="19.5" customHeight="1">
      <c r="A477" s="319"/>
      <c r="B477" s="319"/>
      <c r="C477" s="319"/>
      <c r="D477" s="320"/>
      <c r="E477" s="329"/>
      <c r="F477" s="330"/>
    </row>
    <row r="478" spans="1:6" ht="19.5" customHeight="1">
      <c r="A478" s="319"/>
      <c r="B478" s="319"/>
      <c r="C478" s="319"/>
      <c r="D478" s="320"/>
      <c r="E478" s="329"/>
      <c r="F478" s="330"/>
    </row>
    <row r="479" spans="1:6" ht="19.5" customHeight="1">
      <c r="A479" s="319"/>
      <c r="B479" s="319"/>
      <c r="C479" s="319"/>
      <c r="D479" s="320"/>
      <c r="E479" s="329"/>
      <c r="F479" s="330"/>
    </row>
    <row r="480" spans="1:6" ht="19.5" customHeight="1">
      <c r="A480" s="319"/>
      <c r="B480" s="319"/>
      <c r="C480" s="319"/>
      <c r="D480" s="320"/>
      <c r="E480" s="329"/>
      <c r="F480" s="330"/>
    </row>
    <row r="481" spans="1:6" ht="19.5" customHeight="1">
      <c r="A481" s="319"/>
      <c r="B481" s="319"/>
      <c r="C481" s="319"/>
      <c r="D481" s="320"/>
      <c r="E481" s="329"/>
      <c r="F481" s="330"/>
    </row>
    <row r="482" spans="1:6" ht="19.5" customHeight="1">
      <c r="A482" s="319"/>
      <c r="B482" s="319"/>
      <c r="C482" s="319"/>
      <c r="D482" s="320"/>
      <c r="E482" s="329"/>
      <c r="F482" s="330"/>
    </row>
    <row r="483" spans="1:6" ht="19.5" customHeight="1">
      <c r="A483" s="319"/>
      <c r="B483" s="319"/>
      <c r="C483" s="319"/>
      <c r="D483" s="320"/>
      <c r="E483" s="329"/>
      <c r="F483" s="330"/>
    </row>
    <row r="484" spans="1:6" ht="19.5" customHeight="1">
      <c r="A484" s="319"/>
      <c r="B484" s="319"/>
      <c r="C484" s="319"/>
      <c r="D484" s="320"/>
      <c r="E484" s="329"/>
      <c r="F484" s="330"/>
    </row>
    <row r="485" spans="1:6" ht="19.5" customHeight="1">
      <c r="A485" s="319"/>
      <c r="B485" s="319"/>
      <c r="C485" s="319"/>
      <c r="D485" s="320"/>
      <c r="E485" s="329"/>
      <c r="F485" s="330"/>
    </row>
    <row r="486" spans="1:6" ht="19.5" customHeight="1">
      <c r="A486" s="319"/>
      <c r="B486" s="319"/>
      <c r="C486" s="319"/>
      <c r="D486" s="320"/>
      <c r="E486" s="329"/>
      <c r="F486" s="330"/>
    </row>
    <row r="487" spans="1:6" ht="19.5" customHeight="1">
      <c r="A487" s="319"/>
      <c r="B487" s="319"/>
      <c r="C487" s="319"/>
      <c r="D487" s="320"/>
      <c r="E487" s="329"/>
      <c r="F487" s="330"/>
    </row>
    <row r="488" spans="1:6" ht="19.5" customHeight="1">
      <c r="A488" s="319"/>
      <c r="B488" s="319"/>
      <c r="C488" s="319"/>
      <c r="D488" s="320"/>
      <c r="E488" s="329"/>
      <c r="F488" s="330"/>
    </row>
    <row r="489" spans="1:6" ht="19.5" customHeight="1">
      <c r="A489" s="319"/>
      <c r="B489" s="319"/>
      <c r="C489" s="319"/>
      <c r="D489" s="320"/>
      <c r="E489" s="329"/>
      <c r="F489" s="330"/>
    </row>
    <row r="490" spans="1:6" ht="19.5" customHeight="1">
      <c r="A490" s="319"/>
      <c r="B490" s="319"/>
      <c r="C490" s="319"/>
      <c r="D490" s="320"/>
      <c r="E490" s="329"/>
      <c r="F490" s="330"/>
    </row>
    <row r="491" spans="1:6" ht="19.5" customHeight="1">
      <c r="A491" s="319"/>
      <c r="B491" s="319"/>
      <c r="C491" s="319"/>
      <c r="D491" s="320"/>
      <c r="E491" s="329"/>
      <c r="F491" s="330"/>
    </row>
    <row r="492" spans="1:6" ht="19.5" customHeight="1">
      <c r="A492" s="319"/>
      <c r="B492" s="319"/>
      <c r="C492" s="319"/>
      <c r="D492" s="320"/>
      <c r="E492" s="329"/>
      <c r="F492" s="330"/>
    </row>
    <row r="493" spans="1:6" ht="19.5" customHeight="1">
      <c r="A493" s="319"/>
      <c r="B493" s="319"/>
      <c r="C493" s="319"/>
      <c r="D493" s="320"/>
      <c r="E493" s="329"/>
      <c r="F493" s="330"/>
    </row>
    <row r="494" spans="1:6" ht="19.5" customHeight="1">
      <c r="A494" s="319"/>
      <c r="B494" s="319"/>
      <c r="C494" s="319"/>
      <c r="D494" s="320"/>
      <c r="E494" s="329"/>
      <c r="F494" s="330"/>
    </row>
    <row r="495" spans="1:6" ht="19.5" customHeight="1">
      <c r="A495" s="319"/>
      <c r="B495" s="319"/>
      <c r="C495" s="319"/>
      <c r="D495" s="320"/>
      <c r="E495" s="329"/>
      <c r="F495" s="330"/>
    </row>
    <row r="496" spans="1:6" ht="19.5" customHeight="1">
      <c r="A496" s="319"/>
      <c r="B496" s="319"/>
      <c r="C496" s="319"/>
      <c r="D496" s="320"/>
      <c r="E496" s="329"/>
      <c r="F496" s="330"/>
    </row>
    <row r="497" spans="1:6" ht="19.5" customHeight="1">
      <c r="A497" s="319"/>
      <c r="B497" s="319"/>
      <c r="C497" s="319"/>
      <c r="D497" s="320"/>
      <c r="E497" s="329"/>
      <c r="F497" s="330"/>
    </row>
    <row r="498" spans="1:6" ht="19.5" customHeight="1">
      <c r="A498" s="319"/>
      <c r="B498" s="319"/>
      <c r="C498" s="319"/>
      <c r="D498" s="320"/>
      <c r="E498" s="329"/>
      <c r="F498" s="330"/>
    </row>
    <row r="499" spans="1:6" ht="19.5" customHeight="1">
      <c r="A499" s="319"/>
      <c r="B499" s="319"/>
      <c r="C499" s="319"/>
      <c r="D499" s="320"/>
      <c r="E499" s="329"/>
      <c r="F499" s="330"/>
    </row>
    <row r="500" spans="1:6" ht="19.5" customHeight="1">
      <c r="A500" s="319"/>
      <c r="B500" s="319"/>
      <c r="C500" s="319"/>
      <c r="D500" s="320"/>
      <c r="E500" s="329"/>
      <c r="F500" s="330"/>
    </row>
    <row r="501" spans="1:6" ht="19.5" customHeight="1">
      <c r="A501" s="319"/>
      <c r="B501" s="319"/>
      <c r="C501" s="319"/>
      <c r="D501" s="320"/>
      <c r="E501" s="329"/>
      <c r="F501" s="330"/>
    </row>
    <row r="502" spans="1:6" ht="19.5" customHeight="1">
      <c r="A502" s="319"/>
      <c r="B502" s="319"/>
      <c r="C502" s="319"/>
      <c r="D502" s="320"/>
      <c r="E502" s="329"/>
      <c r="F502" s="330"/>
    </row>
    <row r="503" spans="1:6" ht="19.5" customHeight="1">
      <c r="A503" s="319"/>
      <c r="B503" s="319"/>
      <c r="C503" s="319"/>
      <c r="D503" s="320"/>
      <c r="E503" s="329"/>
      <c r="F503" s="330"/>
    </row>
    <row r="504" spans="1:6" ht="19.5" customHeight="1">
      <c r="A504" s="319"/>
      <c r="B504" s="319"/>
      <c r="C504" s="319"/>
      <c r="D504" s="320"/>
      <c r="E504" s="329"/>
      <c r="F504" s="330"/>
    </row>
    <row r="505" spans="1:6" ht="19.5" customHeight="1">
      <c r="A505" s="319"/>
      <c r="B505" s="319"/>
      <c r="C505" s="319"/>
      <c r="D505" s="320"/>
      <c r="E505" s="329"/>
      <c r="F505" s="330"/>
    </row>
    <row r="506" spans="1:6" ht="19.5" customHeight="1">
      <c r="A506" s="319"/>
      <c r="B506" s="319"/>
      <c r="C506" s="319"/>
      <c r="D506" s="320"/>
      <c r="E506" s="329"/>
      <c r="F506" s="330"/>
    </row>
    <row r="507" spans="1:6" ht="19.5" customHeight="1">
      <c r="A507" s="319"/>
      <c r="B507" s="319"/>
      <c r="C507" s="319"/>
      <c r="D507" s="320"/>
      <c r="E507" s="329"/>
      <c r="F507" s="330"/>
    </row>
    <row r="508" spans="1:6" ht="19.5" customHeight="1">
      <c r="A508" s="319"/>
      <c r="B508" s="319"/>
      <c r="C508" s="319"/>
      <c r="D508" s="320"/>
      <c r="E508" s="329"/>
      <c r="F508" s="330"/>
    </row>
    <row r="509" spans="1:6" ht="19.5" customHeight="1">
      <c r="A509" s="319"/>
      <c r="B509" s="319"/>
      <c r="C509" s="319"/>
      <c r="D509" s="320"/>
      <c r="E509" s="329"/>
      <c r="F509" s="330"/>
    </row>
    <row r="510" spans="1:6" ht="19.5" customHeight="1">
      <c r="A510" s="319"/>
      <c r="B510" s="319"/>
      <c r="C510" s="319"/>
      <c r="D510" s="320"/>
      <c r="E510" s="329"/>
      <c r="F510" s="330"/>
    </row>
    <row r="511" spans="1:6" ht="19.5" customHeight="1">
      <c r="A511" s="319"/>
      <c r="B511" s="319"/>
      <c r="C511" s="319"/>
      <c r="D511" s="320"/>
      <c r="E511" s="329"/>
      <c r="F511" s="330"/>
    </row>
    <row r="512" spans="1:6" ht="19.5" customHeight="1">
      <c r="A512" s="319"/>
      <c r="B512" s="319"/>
      <c r="C512" s="319"/>
      <c r="D512" s="320"/>
      <c r="E512" s="329"/>
      <c r="F512" s="330"/>
    </row>
    <row r="513" spans="1:6" ht="19.5" customHeight="1">
      <c r="A513" s="319"/>
      <c r="B513" s="319"/>
      <c r="C513" s="319"/>
      <c r="D513" s="320"/>
      <c r="E513" s="329"/>
      <c r="F513" s="330"/>
    </row>
    <row r="514" spans="1:6" ht="19.5" customHeight="1">
      <c r="A514" s="319"/>
      <c r="B514" s="319"/>
      <c r="C514" s="319"/>
      <c r="D514" s="320"/>
      <c r="E514" s="329"/>
      <c r="F514" s="330"/>
    </row>
    <row r="515" spans="1:6" ht="19.5" customHeight="1">
      <c r="A515" s="319"/>
      <c r="B515" s="319"/>
      <c r="C515" s="319"/>
      <c r="D515" s="320"/>
      <c r="E515" s="329"/>
      <c r="F515" s="330"/>
    </row>
    <row r="516" spans="1:6" ht="19.5" customHeight="1">
      <c r="A516" s="319"/>
      <c r="B516" s="319"/>
      <c r="C516" s="319"/>
      <c r="D516" s="320"/>
      <c r="E516" s="329"/>
      <c r="F516" s="330"/>
    </row>
    <row r="517" spans="1:6" ht="19.5" customHeight="1">
      <c r="A517" s="319"/>
      <c r="B517" s="319"/>
      <c r="C517" s="319"/>
      <c r="D517" s="320"/>
      <c r="E517" s="329"/>
      <c r="F517" s="330"/>
    </row>
    <row r="518" spans="1:6" ht="19.5" customHeight="1">
      <c r="A518" s="319"/>
      <c r="B518" s="319"/>
      <c r="C518" s="319"/>
      <c r="D518" s="320"/>
      <c r="E518" s="329"/>
      <c r="F518" s="330"/>
    </row>
    <row r="519" spans="1:6" ht="19.5" customHeight="1">
      <c r="A519" s="319"/>
      <c r="B519" s="319"/>
      <c r="C519" s="319"/>
      <c r="D519" s="320"/>
      <c r="E519" s="208"/>
      <c r="F519" s="330"/>
    </row>
    <row r="520" spans="1:6" ht="19.5" customHeight="1">
      <c r="A520" s="319"/>
      <c r="B520" s="319"/>
      <c r="C520" s="319"/>
      <c r="D520" s="320"/>
      <c r="E520" s="208"/>
      <c r="F520" s="330"/>
    </row>
    <row r="521" spans="1:6" ht="19.5" customHeight="1">
      <c r="A521" s="319"/>
      <c r="B521" s="319"/>
      <c r="C521" s="319"/>
      <c r="D521" s="320"/>
      <c r="E521" s="208"/>
      <c r="F521" s="330"/>
    </row>
    <row r="522" spans="1:6" ht="19.5" customHeight="1">
      <c r="A522" s="319"/>
      <c r="B522" s="319"/>
      <c r="C522" s="319"/>
      <c r="D522" s="320"/>
      <c r="E522" s="208"/>
      <c r="F522" s="330"/>
    </row>
    <row r="523" spans="1:6" ht="19.5" customHeight="1">
      <c r="A523" s="319"/>
      <c r="B523" s="319"/>
      <c r="C523" s="319"/>
      <c r="D523" s="320"/>
      <c r="E523" s="208"/>
      <c r="F523" s="330"/>
    </row>
    <row r="524" spans="1:6" ht="19.5" customHeight="1">
      <c r="A524" s="319"/>
      <c r="B524" s="319"/>
      <c r="C524" s="319"/>
      <c r="D524" s="320"/>
      <c r="E524" s="208"/>
      <c r="F524" s="330"/>
    </row>
    <row r="525" spans="1:6" ht="19.5" customHeight="1">
      <c r="A525" s="319"/>
      <c r="B525" s="319"/>
      <c r="C525" s="319"/>
      <c r="D525" s="320"/>
      <c r="E525" s="208"/>
      <c r="F525" s="330"/>
    </row>
    <row r="526" spans="1:6" ht="19.5" customHeight="1">
      <c r="A526" s="319"/>
      <c r="B526" s="319"/>
      <c r="C526" s="319"/>
      <c r="D526" s="320"/>
      <c r="E526" s="208"/>
      <c r="F526" s="330"/>
    </row>
    <row r="527" spans="1:6" ht="19.5" customHeight="1">
      <c r="A527" s="319"/>
      <c r="B527" s="319"/>
      <c r="C527" s="319"/>
      <c r="D527" s="320"/>
      <c r="E527" s="208"/>
      <c r="F527" s="330"/>
    </row>
    <row r="528" spans="1:6" ht="19.5" customHeight="1">
      <c r="A528" s="319"/>
      <c r="B528" s="319"/>
      <c r="C528" s="319"/>
      <c r="D528" s="320"/>
      <c r="E528" s="208"/>
      <c r="F528" s="330"/>
    </row>
    <row r="529" spans="1:6" ht="19.5" customHeight="1">
      <c r="A529" s="319"/>
      <c r="B529" s="319"/>
      <c r="C529" s="319"/>
      <c r="D529" s="320"/>
      <c r="E529" s="208"/>
      <c r="F529" s="330"/>
    </row>
    <row r="530" spans="1:6" ht="19.5" customHeight="1">
      <c r="A530" s="319"/>
      <c r="B530" s="319"/>
      <c r="C530" s="319"/>
      <c r="D530" s="320"/>
      <c r="E530" s="208"/>
      <c r="F530" s="330"/>
    </row>
    <row r="531" spans="1:6" ht="19.5" customHeight="1">
      <c r="A531" s="319"/>
      <c r="B531" s="319"/>
      <c r="C531" s="319"/>
      <c r="D531" s="320"/>
      <c r="E531" s="208"/>
      <c r="F531" s="330"/>
    </row>
    <row r="532" spans="1:6" ht="19.5" customHeight="1">
      <c r="A532" s="319"/>
      <c r="B532" s="319"/>
      <c r="C532" s="319"/>
      <c r="D532" s="320"/>
      <c r="E532" s="208"/>
      <c r="F532" s="330"/>
    </row>
    <row r="533" spans="1:6" ht="19.5" customHeight="1">
      <c r="A533" s="319"/>
      <c r="B533" s="319"/>
      <c r="C533" s="319"/>
      <c r="D533" s="320"/>
      <c r="E533" s="208"/>
      <c r="F533" s="330"/>
    </row>
    <row r="534" spans="1:6" ht="19.5" customHeight="1">
      <c r="A534" s="319"/>
      <c r="B534" s="319"/>
      <c r="C534" s="319"/>
      <c r="D534" s="320"/>
      <c r="E534" s="208"/>
      <c r="F534" s="330"/>
    </row>
    <row r="535" spans="1:6" ht="19.5" customHeight="1">
      <c r="A535" s="319"/>
      <c r="B535" s="319"/>
      <c r="C535" s="319"/>
      <c r="D535" s="320"/>
      <c r="E535" s="208"/>
      <c r="F535" s="330"/>
    </row>
    <row r="536" spans="1:6" ht="19.5" customHeight="1">
      <c r="A536" s="319"/>
      <c r="B536" s="319"/>
      <c r="C536" s="319"/>
      <c r="D536" s="320"/>
      <c r="E536" s="208"/>
      <c r="F536" s="330"/>
    </row>
    <row r="537" spans="1:6" ht="19.5" customHeight="1">
      <c r="A537" s="319"/>
      <c r="B537" s="319"/>
      <c r="C537" s="319"/>
      <c r="D537" s="320"/>
      <c r="E537" s="208"/>
      <c r="F537" s="330"/>
    </row>
    <row r="538" spans="1:6" ht="19.5" customHeight="1">
      <c r="A538" s="319"/>
      <c r="B538" s="319"/>
      <c r="C538" s="319"/>
      <c r="D538" s="320"/>
      <c r="E538" s="208"/>
      <c r="F538" s="330"/>
    </row>
    <row r="539" spans="1:6" ht="19.5" customHeight="1">
      <c r="A539" s="319"/>
      <c r="B539" s="319"/>
      <c r="C539" s="319"/>
      <c r="D539" s="320"/>
      <c r="E539" s="208"/>
      <c r="F539" s="330"/>
    </row>
    <row r="540" spans="1:6" ht="19.5" customHeight="1">
      <c r="A540" s="319"/>
      <c r="B540" s="319"/>
      <c r="C540" s="319"/>
      <c r="D540" s="320"/>
      <c r="E540" s="208"/>
      <c r="F540" s="330"/>
    </row>
    <row r="541" spans="1:6" ht="19.5" customHeight="1">
      <c r="A541" s="319"/>
      <c r="B541" s="319"/>
      <c r="C541" s="319"/>
      <c r="D541" s="320"/>
      <c r="E541" s="208"/>
      <c r="F541" s="330"/>
    </row>
    <row r="542" spans="1:6" ht="19.5" customHeight="1">
      <c r="A542" s="319"/>
      <c r="B542" s="319"/>
      <c r="C542" s="319"/>
      <c r="D542" s="320"/>
      <c r="E542" s="208"/>
      <c r="F542" s="330"/>
    </row>
    <row r="543" spans="1:6" ht="19.5" customHeight="1">
      <c r="A543" s="319"/>
      <c r="B543" s="319"/>
      <c r="C543" s="319"/>
      <c r="D543" s="320"/>
      <c r="E543" s="208"/>
      <c r="F543" s="330"/>
    </row>
    <row r="544" spans="1:6" ht="19.5" customHeight="1">
      <c r="A544" s="319"/>
      <c r="B544" s="319"/>
      <c r="C544" s="319"/>
      <c r="D544" s="320"/>
      <c r="E544" s="208"/>
      <c r="F544" s="330"/>
    </row>
    <row r="545" spans="1:6" ht="19.5" customHeight="1">
      <c r="A545" s="319"/>
      <c r="B545" s="319"/>
      <c r="C545" s="319"/>
      <c r="D545" s="320"/>
      <c r="E545" s="208"/>
      <c r="F545" s="330"/>
    </row>
    <row r="546" spans="1:6" ht="19.5" customHeight="1">
      <c r="A546" s="319"/>
      <c r="B546" s="319"/>
      <c r="C546" s="319"/>
      <c r="D546" s="320"/>
      <c r="E546" s="208"/>
      <c r="F546" s="330"/>
    </row>
    <row r="547" spans="1:6" ht="19.5" customHeight="1">
      <c r="A547" s="319"/>
      <c r="B547" s="319"/>
      <c r="C547" s="319"/>
      <c r="D547" s="320"/>
      <c r="E547" s="208"/>
      <c r="F547" s="330"/>
    </row>
    <row r="548" spans="1:5" ht="19.5" customHeight="1">
      <c r="A548" s="319"/>
      <c r="B548" s="319"/>
      <c r="C548" s="319"/>
      <c r="D548" s="320"/>
      <c r="E548" s="208"/>
    </row>
    <row r="549" spans="1:5" ht="19.5" customHeight="1">
      <c r="A549" s="319"/>
      <c r="B549" s="319"/>
      <c r="C549" s="319"/>
      <c r="D549" s="320"/>
      <c r="E549" s="208"/>
    </row>
    <row r="550" spans="1:5" ht="19.5" customHeight="1">
      <c r="A550" s="319"/>
      <c r="B550" s="319"/>
      <c r="C550" s="319"/>
      <c r="D550" s="320"/>
      <c r="E550" s="208"/>
    </row>
    <row r="551" spans="1:5" ht="19.5" customHeight="1">
      <c r="A551" s="319"/>
      <c r="B551" s="319"/>
      <c r="C551" s="319"/>
      <c r="D551" s="320"/>
      <c r="E551" s="208"/>
    </row>
    <row r="552" spans="1:5" ht="19.5" customHeight="1">
      <c r="A552" s="319"/>
      <c r="B552" s="319"/>
      <c r="C552" s="319"/>
      <c r="D552" s="320"/>
      <c r="E552" s="208"/>
    </row>
    <row r="553" spans="1:5" ht="19.5" customHeight="1">
      <c r="A553" s="319"/>
      <c r="B553" s="319"/>
      <c r="C553" s="319"/>
      <c r="D553" s="320"/>
      <c r="E553" s="208"/>
    </row>
    <row r="554" spans="1:5" ht="19.5" customHeight="1">
      <c r="A554" s="319"/>
      <c r="B554" s="319"/>
      <c r="C554" s="319"/>
      <c r="D554" s="320"/>
      <c r="E554" s="208"/>
    </row>
    <row r="555" spans="1:5" ht="19.5" customHeight="1">
      <c r="A555" s="319"/>
      <c r="B555" s="319"/>
      <c r="C555" s="319"/>
      <c r="D555" s="320"/>
      <c r="E555" s="208"/>
    </row>
    <row r="556" spans="1:5" ht="19.5" customHeight="1">
      <c r="A556" s="319"/>
      <c r="B556" s="319"/>
      <c r="C556" s="319"/>
      <c r="D556" s="320"/>
      <c r="E556" s="208"/>
    </row>
    <row r="557" spans="1:5" ht="19.5" customHeight="1">
      <c r="A557" s="319"/>
      <c r="B557" s="319"/>
      <c r="C557" s="319"/>
      <c r="D557" s="320"/>
      <c r="E557" s="208"/>
    </row>
    <row r="558" spans="1:5" ht="19.5" customHeight="1">
      <c r="A558" s="319"/>
      <c r="B558" s="319"/>
      <c r="C558" s="319"/>
      <c r="D558" s="320"/>
      <c r="E558" s="208"/>
    </row>
    <row r="559" spans="1:5" ht="19.5" customHeight="1">
      <c r="A559" s="319"/>
      <c r="B559" s="319"/>
      <c r="C559" s="319"/>
      <c r="D559" s="320"/>
      <c r="E559" s="208"/>
    </row>
    <row r="560" spans="1:5" ht="19.5" customHeight="1">
      <c r="A560" s="319"/>
      <c r="B560" s="319"/>
      <c r="C560" s="319"/>
      <c r="D560" s="320"/>
      <c r="E560" s="208"/>
    </row>
    <row r="561" spans="1:5" ht="19.5" customHeight="1">
      <c r="A561" s="319"/>
      <c r="B561" s="319"/>
      <c r="C561" s="319"/>
      <c r="D561" s="320"/>
      <c r="E561" s="208"/>
    </row>
    <row r="562" spans="1:5" ht="19.5" customHeight="1">
      <c r="A562" s="319"/>
      <c r="B562" s="319"/>
      <c r="C562" s="319"/>
      <c r="D562" s="320"/>
      <c r="E562" s="208"/>
    </row>
    <row r="563" spans="1:5" ht="19.5" customHeight="1">
      <c r="A563" s="319"/>
      <c r="B563" s="319"/>
      <c r="C563" s="319"/>
      <c r="D563" s="320"/>
      <c r="E563" s="208"/>
    </row>
    <row r="564" spans="1:5" ht="19.5" customHeight="1">
      <c r="A564" s="319"/>
      <c r="B564" s="319"/>
      <c r="C564" s="319"/>
      <c r="D564" s="320"/>
      <c r="E564" s="208"/>
    </row>
    <row r="565" spans="1:5" ht="19.5" customHeight="1">
      <c r="A565" s="319"/>
      <c r="B565" s="319"/>
      <c r="C565" s="319"/>
      <c r="D565" s="320"/>
      <c r="E565" s="208"/>
    </row>
    <row r="566" spans="1:5" ht="19.5" customHeight="1">
      <c r="A566" s="319"/>
      <c r="B566" s="319"/>
      <c r="C566" s="319"/>
      <c r="D566" s="320"/>
      <c r="E566" s="208"/>
    </row>
    <row r="567" spans="1:5" ht="19.5" customHeight="1">
      <c r="A567" s="319"/>
      <c r="B567" s="319"/>
      <c r="C567" s="319"/>
      <c r="D567" s="320"/>
      <c r="E567" s="208"/>
    </row>
    <row r="568" spans="1:5" ht="19.5" customHeight="1">
      <c r="A568" s="319"/>
      <c r="B568" s="319"/>
      <c r="C568" s="319"/>
      <c r="D568" s="320"/>
      <c r="E568" s="208"/>
    </row>
    <row r="569" spans="1:5" ht="19.5" customHeight="1">
      <c r="A569" s="319"/>
      <c r="B569" s="319"/>
      <c r="C569" s="319"/>
      <c r="D569" s="320"/>
      <c r="E569" s="208"/>
    </row>
    <row r="570" spans="1:5" ht="19.5" customHeight="1">
      <c r="A570" s="319"/>
      <c r="B570" s="319"/>
      <c r="C570" s="319"/>
      <c r="D570" s="320"/>
      <c r="E570" s="208"/>
    </row>
    <row r="571" spans="1:5" ht="19.5" customHeight="1">
      <c r="A571" s="319"/>
      <c r="B571" s="319"/>
      <c r="C571" s="319"/>
      <c r="D571" s="320"/>
      <c r="E571" s="208"/>
    </row>
    <row r="572" spans="1:5" ht="19.5" customHeight="1">
      <c r="A572" s="319"/>
      <c r="B572" s="319"/>
      <c r="C572" s="319"/>
      <c r="D572" s="320"/>
      <c r="E572" s="208"/>
    </row>
    <row r="573" spans="1:5" ht="19.5" customHeight="1">
      <c r="A573" s="319"/>
      <c r="B573" s="319"/>
      <c r="C573" s="319"/>
      <c r="D573" s="320"/>
      <c r="E573" s="208"/>
    </row>
    <row r="574" spans="1:5" ht="19.5" customHeight="1">
      <c r="A574" s="319"/>
      <c r="B574" s="319"/>
      <c r="C574" s="319"/>
      <c r="D574" s="320"/>
      <c r="E574" s="208"/>
    </row>
    <row r="575" spans="1:5" ht="19.5" customHeight="1">
      <c r="A575" s="319"/>
      <c r="B575" s="319"/>
      <c r="C575" s="319"/>
      <c r="D575" s="320"/>
      <c r="E575" s="208"/>
    </row>
    <row r="576" spans="1:5" ht="19.5" customHeight="1">
      <c r="A576" s="319"/>
      <c r="B576" s="319"/>
      <c r="C576" s="319"/>
      <c r="D576" s="320"/>
      <c r="E576" s="208"/>
    </row>
    <row r="577" spans="1:5" ht="19.5" customHeight="1">
      <c r="A577" s="319"/>
      <c r="B577" s="319"/>
      <c r="C577" s="319"/>
      <c r="D577" s="320"/>
      <c r="E577" s="208"/>
    </row>
    <row r="578" spans="1:5" ht="19.5" customHeight="1">
      <c r="A578" s="319"/>
      <c r="B578" s="319"/>
      <c r="C578" s="319"/>
      <c r="D578" s="320"/>
      <c r="E578" s="208"/>
    </row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</sheetData>
  <sheetProtection password="CF93" sheet="1"/>
  <mergeCells count="11">
    <mergeCell ref="G99:G100"/>
    <mergeCell ref="F1:G1"/>
    <mergeCell ref="A3:G3"/>
    <mergeCell ref="A7:D7"/>
    <mergeCell ref="A429:D429"/>
    <mergeCell ref="E43:E44"/>
    <mergeCell ref="F43:F44"/>
    <mergeCell ref="G43:G44"/>
    <mergeCell ref="A303:D303"/>
    <mergeCell ref="E99:E100"/>
    <mergeCell ref="F99:F100"/>
  </mergeCells>
  <printOptions horizontalCentered="1"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H217"/>
  <sheetViews>
    <sheetView view="pageBreakPreview" zoomScaleSheetLayoutView="100" zoomScalePageLayoutView="0" workbookViewId="0" topLeftCell="A1">
      <pane ySplit="6" topLeftCell="A33" activePane="bottomLeft" state="frozen"/>
      <selection pane="topLeft" activeCell="A1" sqref="A1"/>
      <selection pane="bottomLeft" activeCell="J3" sqref="J3"/>
    </sheetView>
  </sheetViews>
  <sheetFormatPr defaultColWidth="9.00390625" defaultRowHeight="12.75"/>
  <cols>
    <col min="1" max="1" width="5.625" style="331" customWidth="1"/>
    <col min="2" max="2" width="6.375" style="331" customWidth="1"/>
    <col min="3" max="3" width="5.125" style="331" customWidth="1"/>
    <col min="4" max="4" width="40.25390625" style="332" customWidth="1"/>
    <col min="5" max="5" width="13.375" style="36" customWidth="1"/>
    <col min="6" max="6" width="13.00390625" style="36" customWidth="1"/>
    <col min="7" max="7" width="6.375" style="322" customWidth="1"/>
    <col min="8" max="8" width="9.125" style="36" customWidth="1"/>
    <col min="9" max="9" width="29.875" style="36" customWidth="1"/>
    <col min="10" max="16384" width="9.125" style="36" customWidth="1"/>
  </cols>
  <sheetData>
    <row r="1" spans="1:7" s="159" customFormat="1" ht="12.75">
      <c r="A1" s="157"/>
      <c r="B1" s="157"/>
      <c r="C1" s="157"/>
      <c r="D1" s="158"/>
      <c r="E1" s="158"/>
      <c r="F1" s="1328" t="s">
        <v>774</v>
      </c>
      <c r="G1" s="1328"/>
    </row>
    <row r="2" spans="1:7" s="159" customFormat="1" ht="17.25" customHeight="1">
      <c r="A2" s="157"/>
      <c r="B2" s="157"/>
      <c r="C2" s="157"/>
      <c r="E2" s="158"/>
      <c r="G2" s="160"/>
    </row>
    <row r="3" spans="1:7" s="161" customFormat="1" ht="30.75" customHeight="1">
      <c r="A3" s="1366" t="s">
        <v>775</v>
      </c>
      <c r="B3" s="1366"/>
      <c r="C3" s="1366"/>
      <c r="D3" s="1366"/>
      <c r="E3" s="1366"/>
      <c r="F3" s="1366"/>
      <c r="G3" s="1366"/>
    </row>
    <row r="4" spans="1:7" s="159" customFormat="1" ht="13.5" thickBot="1">
      <c r="A4" s="157"/>
      <c r="B4" s="157"/>
      <c r="C4" s="157"/>
      <c r="D4" s="158"/>
      <c r="G4" s="160"/>
    </row>
    <row r="5" spans="1:7" s="166" customFormat="1" ht="15" customHeight="1">
      <c r="A5" s="162" t="s">
        <v>1090</v>
      </c>
      <c r="B5" s="163" t="s">
        <v>819</v>
      </c>
      <c r="C5" s="163" t="s">
        <v>1095</v>
      </c>
      <c r="D5" s="163" t="s">
        <v>820</v>
      </c>
      <c r="E5" s="133" t="s">
        <v>821</v>
      </c>
      <c r="F5" s="164" t="s">
        <v>822</v>
      </c>
      <c r="G5" s="165" t="s">
        <v>823</v>
      </c>
    </row>
    <row r="6" spans="1:7" s="172" customFormat="1" ht="13.5" customHeight="1" thickBot="1">
      <c r="A6" s="167">
        <v>1</v>
      </c>
      <c r="B6" s="168">
        <v>2</v>
      </c>
      <c r="C6" s="168">
        <v>3</v>
      </c>
      <c r="D6" s="168">
        <v>4</v>
      </c>
      <c r="E6" s="169">
        <v>5</v>
      </c>
      <c r="F6" s="170">
        <v>6</v>
      </c>
      <c r="G6" s="171">
        <v>7</v>
      </c>
    </row>
    <row r="7" spans="1:7" s="58" customFormat="1" ht="22.5" customHeight="1">
      <c r="A7" s="1355" t="s">
        <v>776</v>
      </c>
      <c r="B7" s="1356"/>
      <c r="C7" s="1356"/>
      <c r="D7" s="1357"/>
      <c r="E7" s="56">
        <f>SUM(E8,E14,E23,E30,E35,E38)</f>
        <v>38199000</v>
      </c>
      <c r="F7" s="56">
        <f>SUM(F8,F14,F23,F30,F35,F38)</f>
        <v>3520078.9999999995</v>
      </c>
      <c r="G7" s="57">
        <f>F7/E7*100</f>
        <v>9.215107725333123</v>
      </c>
    </row>
    <row r="8" spans="1:7" s="32" customFormat="1" ht="18" customHeight="1">
      <c r="A8" s="11" t="s">
        <v>826</v>
      </c>
      <c r="B8" s="29"/>
      <c r="C8" s="29"/>
      <c r="D8" s="30" t="s">
        <v>1096</v>
      </c>
      <c r="E8" s="31">
        <f>SUM(E9)</f>
        <v>40000</v>
      </c>
      <c r="F8" s="31">
        <f>SUM(F9)</f>
        <v>17732.85</v>
      </c>
      <c r="G8" s="15">
        <f>F8/E8*100</f>
        <v>44.332125</v>
      </c>
    </row>
    <row r="9" spans="1:7" ht="21" customHeight="1">
      <c r="A9" s="17"/>
      <c r="B9" s="33" t="s">
        <v>827</v>
      </c>
      <c r="C9" s="33"/>
      <c r="D9" s="34" t="s">
        <v>825</v>
      </c>
      <c r="E9" s="35">
        <f>SUM(E10)</f>
        <v>40000</v>
      </c>
      <c r="F9" s="35">
        <f>SUM(F10)</f>
        <v>17732.85</v>
      </c>
      <c r="G9" s="21">
        <f>F9/E9*100</f>
        <v>44.332125</v>
      </c>
    </row>
    <row r="10" spans="1:7" s="40" customFormat="1" ht="21" customHeight="1">
      <c r="A10" s="23"/>
      <c r="B10" s="37"/>
      <c r="C10" s="37" t="s">
        <v>1</v>
      </c>
      <c r="D10" s="41" t="s">
        <v>0</v>
      </c>
      <c r="E10" s="39">
        <f>6D!E14</f>
        <v>40000</v>
      </c>
      <c r="F10" s="39">
        <f>6D!F14</f>
        <v>17732.85</v>
      </c>
      <c r="G10" s="27">
        <f>F10/E10*100</f>
        <v>44.332125</v>
      </c>
    </row>
    <row r="11" spans="1:7" s="32" customFormat="1" ht="19.5" customHeight="1" hidden="1">
      <c r="A11" s="11" t="s">
        <v>1209</v>
      </c>
      <c r="B11" s="29"/>
      <c r="C11" s="29"/>
      <c r="D11" s="30" t="s">
        <v>1212</v>
      </c>
      <c r="E11" s="31">
        <f>E13</f>
        <v>0</v>
      </c>
      <c r="F11" s="31">
        <f>F12</f>
        <v>0</v>
      </c>
      <c r="G11" s="15" t="s">
        <v>1142</v>
      </c>
    </row>
    <row r="12" spans="1:7" ht="21.75" customHeight="1" hidden="1">
      <c r="A12" s="17"/>
      <c r="B12" s="33" t="s">
        <v>51</v>
      </c>
      <c r="C12" s="33"/>
      <c r="D12" s="34" t="s">
        <v>52</v>
      </c>
      <c r="E12" s="42">
        <f>E13</f>
        <v>0</v>
      </c>
      <c r="F12" s="35">
        <f>F13</f>
        <v>0</v>
      </c>
      <c r="G12" s="21" t="s">
        <v>1142</v>
      </c>
    </row>
    <row r="13" spans="1:7" s="40" customFormat="1" ht="29.25" customHeight="1" hidden="1">
      <c r="A13" s="23"/>
      <c r="B13" s="37"/>
      <c r="C13" s="37" t="s">
        <v>53</v>
      </c>
      <c r="D13" s="41" t="s">
        <v>1235</v>
      </c>
      <c r="E13" s="43">
        <v>0</v>
      </c>
      <c r="F13" s="39"/>
      <c r="G13" s="27" t="s">
        <v>1142</v>
      </c>
    </row>
    <row r="14" spans="1:7" ht="19.5" customHeight="1" hidden="1">
      <c r="A14" s="11" t="s">
        <v>902</v>
      </c>
      <c r="B14" s="29"/>
      <c r="C14" s="29"/>
      <c r="D14" s="45" t="s">
        <v>903</v>
      </c>
      <c r="E14" s="46">
        <f>SUM(E15,E18)</f>
        <v>0</v>
      </c>
      <c r="F14" s="47">
        <f>SUM(F15,F18)</f>
        <v>0</v>
      </c>
      <c r="G14" s="15" t="s">
        <v>1142</v>
      </c>
    </row>
    <row r="15" spans="1:7" ht="19.5" customHeight="1" hidden="1">
      <c r="A15" s="17"/>
      <c r="B15" s="33" t="s">
        <v>905</v>
      </c>
      <c r="C15" s="33"/>
      <c r="D15" s="19" t="s">
        <v>906</v>
      </c>
      <c r="E15" s="42">
        <f>SUM(E16)</f>
        <v>0</v>
      </c>
      <c r="F15" s="42">
        <f>SUM(F16)</f>
        <v>0</v>
      </c>
      <c r="G15" s="44" t="s">
        <v>1142</v>
      </c>
    </row>
    <row r="16" spans="1:7" s="40" customFormat="1" ht="20.25" customHeight="1" hidden="1">
      <c r="A16" s="23"/>
      <c r="B16" s="37"/>
      <c r="C16" s="37" t="s">
        <v>1</v>
      </c>
      <c r="D16" s="41" t="s">
        <v>0</v>
      </c>
      <c r="E16" s="39">
        <f>6D!E26</f>
        <v>0</v>
      </c>
      <c r="F16" s="39">
        <f>6D!F26</f>
        <v>0</v>
      </c>
      <c r="G16" s="27" t="s">
        <v>1142</v>
      </c>
    </row>
    <row r="17" spans="1:7" s="40" customFormat="1" ht="20.25" customHeight="1" hidden="1">
      <c r="A17" s="23"/>
      <c r="B17" s="37"/>
      <c r="C17" s="37" t="s">
        <v>47</v>
      </c>
      <c r="D17" s="41" t="s">
        <v>1102</v>
      </c>
      <c r="E17" s="39">
        <v>0</v>
      </c>
      <c r="F17" s="39">
        <v>0</v>
      </c>
      <c r="G17" s="27" t="e">
        <f>F17/E17*100</f>
        <v>#DIV/0!</v>
      </c>
    </row>
    <row r="18" spans="1:7" ht="21.75" customHeight="1" hidden="1">
      <c r="A18" s="17"/>
      <c r="B18" s="48" t="s">
        <v>1256</v>
      </c>
      <c r="C18" s="33"/>
      <c r="D18" s="19" t="s">
        <v>1257</v>
      </c>
      <c r="E18" s="20">
        <f>SUM(E19,E21)</f>
        <v>0</v>
      </c>
      <c r="F18" s="20">
        <f>SUM(F19,F21)</f>
        <v>0</v>
      </c>
      <c r="G18" s="21" t="e">
        <f>F18/E18*100</f>
        <v>#DIV/0!</v>
      </c>
    </row>
    <row r="19" spans="1:7" s="40" customFormat="1" ht="54.75" customHeight="1" hidden="1">
      <c r="A19" s="23"/>
      <c r="B19" s="318"/>
      <c r="C19" s="37" t="s">
        <v>713</v>
      </c>
      <c r="D19" s="41" t="s">
        <v>142</v>
      </c>
      <c r="E19" s="7"/>
      <c r="F19" s="7"/>
      <c r="G19" s="27" t="e">
        <f>F19/E19*100</f>
        <v>#DIV/0!</v>
      </c>
    </row>
    <row r="20" spans="1:7" s="40" customFormat="1" ht="66.75" customHeight="1" hidden="1">
      <c r="A20" s="23"/>
      <c r="B20" s="318"/>
      <c r="C20" s="37"/>
      <c r="D20" s="26" t="s">
        <v>216</v>
      </c>
      <c r="E20" s="7"/>
      <c r="F20" s="7"/>
      <c r="G20" s="27"/>
    </row>
    <row r="21" spans="1:7" s="40" customFormat="1" ht="54" customHeight="1" hidden="1">
      <c r="A21" s="23"/>
      <c r="B21" s="318"/>
      <c r="C21" s="37" t="s">
        <v>637</v>
      </c>
      <c r="D21" s="41" t="s">
        <v>142</v>
      </c>
      <c r="E21" s="7"/>
      <c r="F21" s="7"/>
      <c r="G21" s="27" t="e">
        <f>F21/E21*100</f>
        <v>#DIV/0!</v>
      </c>
    </row>
    <row r="22" spans="1:7" s="40" customFormat="1" ht="66.75" customHeight="1" hidden="1">
      <c r="A22" s="23"/>
      <c r="B22" s="318"/>
      <c r="C22" s="37"/>
      <c r="D22" s="26" t="s">
        <v>227</v>
      </c>
      <c r="E22" s="7"/>
      <c r="F22" s="7"/>
      <c r="G22" s="27"/>
    </row>
    <row r="23" spans="1:7" s="32" customFormat="1" ht="15" customHeight="1">
      <c r="A23" s="11" t="s">
        <v>907</v>
      </c>
      <c r="B23" s="29"/>
      <c r="C23" s="29"/>
      <c r="D23" s="45" t="s">
        <v>908</v>
      </c>
      <c r="E23" s="31">
        <f>SUM(E24,E26)</f>
        <v>2060000</v>
      </c>
      <c r="F23" s="31">
        <f>SUM(F24,F26)</f>
        <v>266.51</v>
      </c>
      <c r="G23" s="15" t="s">
        <v>1142</v>
      </c>
    </row>
    <row r="24" spans="1:7" ht="16.5" customHeight="1">
      <c r="A24" s="17"/>
      <c r="B24" s="33" t="s">
        <v>1237</v>
      </c>
      <c r="C24" s="33"/>
      <c r="D24" s="19" t="s">
        <v>1238</v>
      </c>
      <c r="E24" s="35">
        <f>SUM(E25)</f>
        <v>0</v>
      </c>
      <c r="F24" s="35">
        <f>SUM(F25)</f>
        <v>266.51</v>
      </c>
      <c r="G24" s="21" t="s">
        <v>1142</v>
      </c>
    </row>
    <row r="25" spans="1:7" ht="21" customHeight="1">
      <c r="A25" s="23"/>
      <c r="B25" s="37"/>
      <c r="C25" s="37" t="s">
        <v>1</v>
      </c>
      <c r="D25" s="41" t="s">
        <v>0</v>
      </c>
      <c r="E25" s="39">
        <f>6D!E40</f>
        <v>0</v>
      </c>
      <c r="F25" s="39">
        <f>6D!F40</f>
        <v>266.51</v>
      </c>
      <c r="G25" s="27" t="s">
        <v>1142</v>
      </c>
    </row>
    <row r="26" spans="1:7" s="40" customFormat="1" ht="18" customHeight="1">
      <c r="A26" s="17"/>
      <c r="B26" s="33" t="s">
        <v>337</v>
      </c>
      <c r="C26" s="33"/>
      <c r="D26" s="19" t="s">
        <v>825</v>
      </c>
      <c r="E26" s="35">
        <f>SUM(E27,E28)</f>
        <v>2060000</v>
      </c>
      <c r="F26" s="35">
        <f>SUM(F27,F28)</f>
        <v>0</v>
      </c>
      <c r="G26" s="245">
        <f>F26/E26*100</f>
        <v>0</v>
      </c>
    </row>
    <row r="27" spans="1:7" s="40" customFormat="1" ht="29.25" customHeight="1" hidden="1">
      <c r="A27" s="23"/>
      <c r="B27" s="37"/>
      <c r="C27" s="37" t="s">
        <v>48</v>
      </c>
      <c r="D27" s="41" t="s">
        <v>741</v>
      </c>
      <c r="E27" s="39">
        <v>0</v>
      </c>
      <c r="F27" s="39">
        <v>0</v>
      </c>
      <c r="G27" s="27" t="e">
        <f>F27/E27*100</f>
        <v>#DIV/0!</v>
      </c>
    </row>
    <row r="28" spans="1:7" s="40" customFormat="1" ht="51.75" customHeight="1">
      <c r="A28" s="23"/>
      <c r="B28" s="37"/>
      <c r="C28" s="37" t="s">
        <v>713</v>
      </c>
      <c r="D28" s="41" t="s">
        <v>142</v>
      </c>
      <c r="E28" s="39">
        <f>6D!E48</f>
        <v>2060000</v>
      </c>
      <c r="F28" s="39">
        <f>6D!F48</f>
        <v>0</v>
      </c>
      <c r="G28" s="27">
        <f>F28/E28*100</f>
        <v>0</v>
      </c>
    </row>
    <row r="29" spans="1:7" s="40" customFormat="1" ht="81" customHeight="1">
      <c r="A29" s="23"/>
      <c r="B29" s="37"/>
      <c r="C29" s="37"/>
      <c r="D29" s="26" t="s">
        <v>143</v>
      </c>
      <c r="E29" s="39"/>
      <c r="F29" s="39"/>
      <c r="G29" s="27"/>
    </row>
    <row r="30" spans="1:7" s="32" customFormat="1" ht="21" customHeight="1">
      <c r="A30" s="11" t="s">
        <v>909</v>
      </c>
      <c r="B30" s="29"/>
      <c r="C30" s="29"/>
      <c r="D30" s="30" t="s">
        <v>910</v>
      </c>
      <c r="E30" s="31">
        <f>SUM(E31)</f>
        <v>33086000</v>
      </c>
      <c r="F30" s="31">
        <f>SUM(F31)</f>
        <v>3499949.4099999997</v>
      </c>
      <c r="G30" s="15">
        <f>F30/E30*100</f>
        <v>10.578339509157951</v>
      </c>
    </row>
    <row r="31" spans="1:7" ht="21" customHeight="1">
      <c r="A31" s="23"/>
      <c r="B31" s="33" t="s">
        <v>911</v>
      </c>
      <c r="C31" s="33"/>
      <c r="D31" s="34" t="s">
        <v>912</v>
      </c>
      <c r="E31" s="35">
        <f>SUM(E32,E33)</f>
        <v>33086000</v>
      </c>
      <c r="F31" s="35">
        <f>SUM(F32,F33)</f>
        <v>3499949.4099999997</v>
      </c>
      <c r="G31" s="21">
        <f>F31/E31*100</f>
        <v>10.578339509157951</v>
      </c>
    </row>
    <row r="32" spans="1:7" s="40" customFormat="1" ht="42" customHeight="1">
      <c r="A32" s="23"/>
      <c r="B32" s="37"/>
      <c r="C32" s="37" t="s">
        <v>56</v>
      </c>
      <c r="D32" s="41" t="s">
        <v>1107</v>
      </c>
      <c r="E32" s="39">
        <f>6D!E60</f>
        <v>200000</v>
      </c>
      <c r="F32" s="39">
        <f>6D!F60</f>
        <v>64056.36</v>
      </c>
      <c r="G32" s="27">
        <f>F32/E32*100</f>
        <v>32.02818</v>
      </c>
    </row>
    <row r="33" spans="1:7" s="51" customFormat="1" ht="39" customHeight="1">
      <c r="A33" s="23"/>
      <c r="B33" s="37"/>
      <c r="C33" s="37" t="s">
        <v>57</v>
      </c>
      <c r="D33" s="41" t="s">
        <v>144</v>
      </c>
      <c r="E33" s="39">
        <f>6D!E61</f>
        <v>32886000</v>
      </c>
      <c r="F33" s="39">
        <f>6D!F61</f>
        <v>3435893.05</v>
      </c>
      <c r="G33" s="27">
        <f>F33/E33*100</f>
        <v>10.447889831539255</v>
      </c>
    </row>
    <row r="34" spans="1:7" s="40" customFormat="1" ht="8.25" customHeight="1" hidden="1">
      <c r="A34" s="54"/>
      <c r="B34" s="55"/>
      <c r="C34" s="25">
        <v>6290</v>
      </c>
      <c r="D34" s="41" t="s">
        <v>142</v>
      </c>
      <c r="E34" s="53">
        <v>0</v>
      </c>
      <c r="F34" s="53">
        <v>0</v>
      </c>
      <c r="G34" s="27" t="e">
        <f>F34/E34*100</f>
        <v>#DIV/0!</v>
      </c>
    </row>
    <row r="35" spans="1:7" s="40" customFormat="1" ht="24" customHeight="1">
      <c r="A35" s="175" t="s">
        <v>925</v>
      </c>
      <c r="B35" s="176"/>
      <c r="C35" s="176"/>
      <c r="D35" s="177" t="s">
        <v>926</v>
      </c>
      <c r="E35" s="47">
        <f>E36</f>
        <v>0</v>
      </c>
      <c r="F35" s="47">
        <f>F36</f>
        <v>40.98</v>
      </c>
      <c r="G35" s="15" t="s">
        <v>1142</v>
      </c>
    </row>
    <row r="36" spans="1:8" s="40" customFormat="1" ht="21" customHeight="1">
      <c r="A36" s="151"/>
      <c r="B36" s="178" t="s">
        <v>936</v>
      </c>
      <c r="C36" s="178"/>
      <c r="D36" s="179" t="s">
        <v>1222</v>
      </c>
      <c r="E36" s="155">
        <f>E37</f>
        <v>0</v>
      </c>
      <c r="F36" s="155">
        <f>F37</f>
        <v>40.98</v>
      </c>
      <c r="G36" s="21" t="s">
        <v>1142</v>
      </c>
      <c r="H36" s="36"/>
    </row>
    <row r="37" spans="1:7" s="40" customFormat="1" ht="22.5" customHeight="1">
      <c r="A37" s="54"/>
      <c r="B37" s="55"/>
      <c r="C37" s="52" t="s">
        <v>1</v>
      </c>
      <c r="D37" s="26" t="s">
        <v>0</v>
      </c>
      <c r="E37" s="53">
        <f>6D!E85</f>
        <v>0</v>
      </c>
      <c r="F37" s="53">
        <f>6D!F85</f>
        <v>40.98</v>
      </c>
      <c r="G37" s="27" t="s">
        <v>1142</v>
      </c>
    </row>
    <row r="38" spans="1:7" s="40" customFormat="1" ht="29.25" customHeight="1">
      <c r="A38" s="175" t="s">
        <v>1049</v>
      </c>
      <c r="B38" s="176"/>
      <c r="C38" s="176"/>
      <c r="D38" s="188" t="s">
        <v>1155</v>
      </c>
      <c r="E38" s="47">
        <f>SUM(E39,E42)</f>
        <v>3013000</v>
      </c>
      <c r="F38" s="47">
        <f>SUM(F39,F42)</f>
        <v>2089.25</v>
      </c>
      <c r="G38" s="15">
        <f>F38/E38*100</f>
        <v>0.06934118818453369</v>
      </c>
    </row>
    <row r="39" spans="1:7" ht="18" customHeight="1">
      <c r="A39" s="151"/>
      <c r="B39" s="152" t="s">
        <v>455</v>
      </c>
      <c r="C39" s="185"/>
      <c r="D39" s="154" t="s">
        <v>456</v>
      </c>
      <c r="E39" s="155">
        <f>SUM(E40)</f>
        <v>3013000</v>
      </c>
      <c r="F39" s="155">
        <f>SUM(F40)</f>
        <v>0</v>
      </c>
      <c r="G39" s="21">
        <f>F39/E39*100</f>
        <v>0</v>
      </c>
    </row>
    <row r="40" spans="1:7" ht="53.25" customHeight="1">
      <c r="A40" s="54"/>
      <c r="B40" s="55"/>
      <c r="C40" s="52" t="s">
        <v>713</v>
      </c>
      <c r="D40" s="41" t="s">
        <v>142</v>
      </c>
      <c r="E40" s="53">
        <f>6D!E268</f>
        <v>3013000</v>
      </c>
      <c r="F40" s="53">
        <f>6D!F268</f>
        <v>0</v>
      </c>
      <c r="G40" s="27">
        <f>F40/E40*100</f>
        <v>0</v>
      </c>
    </row>
    <row r="41" spans="1:7" ht="74.25" customHeight="1">
      <c r="A41" s="54"/>
      <c r="B41" s="55"/>
      <c r="C41" s="52"/>
      <c r="D41" s="26" t="s">
        <v>143</v>
      </c>
      <c r="E41" s="53"/>
      <c r="F41" s="53"/>
      <c r="G41" s="27"/>
    </row>
    <row r="42" spans="1:7" ht="20.25" customHeight="1">
      <c r="A42" s="212"/>
      <c r="B42" s="201" t="s">
        <v>1053</v>
      </c>
      <c r="C42" s="201"/>
      <c r="D42" s="213" t="s">
        <v>825</v>
      </c>
      <c r="E42" s="155">
        <f>SUM(E43)</f>
        <v>0</v>
      </c>
      <c r="F42" s="155">
        <f>SUM(F43)</f>
        <v>2089.25</v>
      </c>
      <c r="G42" s="44" t="s">
        <v>1142</v>
      </c>
    </row>
    <row r="43" spans="1:7" s="40" customFormat="1" ht="21.75" customHeight="1">
      <c r="A43" s="304"/>
      <c r="B43" s="305"/>
      <c r="C43" s="306" t="s">
        <v>1</v>
      </c>
      <c r="D43" s="307" t="s">
        <v>0</v>
      </c>
      <c r="E43" s="308">
        <f>6D!E278</f>
        <v>0</v>
      </c>
      <c r="F43" s="308">
        <f>6D!F278</f>
        <v>2089.25</v>
      </c>
      <c r="G43" s="309" t="s">
        <v>1142</v>
      </c>
    </row>
    <row r="44" spans="1:7" ht="41.25" customHeight="1" hidden="1">
      <c r="A44" s="304"/>
      <c r="B44" s="310"/>
      <c r="C44" s="311" t="s">
        <v>1274</v>
      </c>
      <c r="D44" s="307" t="s">
        <v>1275</v>
      </c>
      <c r="E44" s="312">
        <v>0</v>
      </c>
      <c r="F44" s="312"/>
      <c r="G44" s="313" t="e">
        <f aca="true" t="shared" si="0" ref="G44:G50">F44/E44*100</f>
        <v>#DIV/0!</v>
      </c>
    </row>
    <row r="45" spans="1:7" ht="21.75" customHeight="1" hidden="1">
      <c r="A45" s="151"/>
      <c r="B45" s="201" t="s">
        <v>438</v>
      </c>
      <c r="C45" s="314"/>
      <c r="D45" s="315" t="s">
        <v>825</v>
      </c>
      <c r="E45" s="204">
        <f>SUM(E46)</f>
        <v>0</v>
      </c>
      <c r="F45" s="204">
        <f>SUM(F46)</f>
        <v>0</v>
      </c>
      <c r="G45" s="44" t="e">
        <f t="shared" si="0"/>
        <v>#DIV/0!</v>
      </c>
    </row>
    <row r="46" spans="1:7" ht="44.25" customHeight="1" hidden="1">
      <c r="A46" s="304"/>
      <c r="B46" s="310"/>
      <c r="C46" s="311" t="s">
        <v>439</v>
      </c>
      <c r="D46" s="316" t="s">
        <v>452</v>
      </c>
      <c r="E46" s="312">
        <v>0</v>
      </c>
      <c r="F46" s="312"/>
      <c r="G46" s="313" t="e">
        <f t="shared" si="0"/>
        <v>#DIV/0!</v>
      </c>
    </row>
    <row r="47" spans="1:7" s="233" customFormat="1" ht="19.5" customHeight="1">
      <c r="A47" s="1363" t="s">
        <v>777</v>
      </c>
      <c r="B47" s="1364"/>
      <c r="C47" s="1364"/>
      <c r="D47" s="1365"/>
      <c r="E47" s="231">
        <f>SUM(E48,E53)</f>
        <v>3147642</v>
      </c>
      <c r="F47" s="231">
        <f>SUM(F48,F53)</f>
        <v>248282.07</v>
      </c>
      <c r="G47" s="232">
        <f t="shared" si="0"/>
        <v>7.887875114133055</v>
      </c>
    </row>
    <row r="48" spans="1:7" s="234" customFormat="1" ht="16.5" customHeight="1">
      <c r="A48" s="11" t="s">
        <v>902</v>
      </c>
      <c r="B48" s="29"/>
      <c r="C48" s="29"/>
      <c r="D48" s="45" t="s">
        <v>903</v>
      </c>
      <c r="E48" s="14">
        <f>SUM(E49)</f>
        <v>3147520</v>
      </c>
      <c r="F48" s="14">
        <f>SUM(F49)</f>
        <v>248160.07</v>
      </c>
      <c r="G48" s="15">
        <f t="shared" si="0"/>
        <v>7.88430478599024</v>
      </c>
    </row>
    <row r="49" spans="1:7" s="59" customFormat="1" ht="39.75" customHeight="1">
      <c r="A49" s="17"/>
      <c r="B49" s="33" t="s">
        <v>904</v>
      </c>
      <c r="C49" s="33"/>
      <c r="D49" s="19" t="s">
        <v>90</v>
      </c>
      <c r="E49" s="20">
        <f>SUM(E50,E51)</f>
        <v>3147520</v>
      </c>
      <c r="F49" s="20">
        <f>SUM(F50,F51)</f>
        <v>248160.07</v>
      </c>
      <c r="G49" s="21">
        <f t="shared" si="0"/>
        <v>7.88430478599024</v>
      </c>
    </row>
    <row r="50" spans="1:7" s="59" customFormat="1" ht="59.25" customHeight="1">
      <c r="A50" s="23"/>
      <c r="B50" s="24"/>
      <c r="C50" s="37" t="s">
        <v>105</v>
      </c>
      <c r="D50" s="41" t="s">
        <v>142</v>
      </c>
      <c r="E50" s="7">
        <f>6D!E317</f>
        <v>665520</v>
      </c>
      <c r="F50" s="7">
        <f>6D!F317</f>
        <v>248160.07</v>
      </c>
      <c r="G50" s="27">
        <f t="shared" si="0"/>
        <v>37.288146111311455</v>
      </c>
    </row>
    <row r="51" spans="1:7" s="317" customFormat="1" ht="57" customHeight="1">
      <c r="A51" s="60"/>
      <c r="B51" s="48"/>
      <c r="C51" s="37" t="s">
        <v>713</v>
      </c>
      <c r="D51" s="41" t="s">
        <v>142</v>
      </c>
      <c r="E51" s="43">
        <f>6D!E318</f>
        <v>2482000</v>
      </c>
      <c r="F51" s="43">
        <f>6D!F318</f>
        <v>0</v>
      </c>
      <c r="G51" s="8">
        <f>F51/E51*100</f>
        <v>0</v>
      </c>
    </row>
    <row r="52" spans="1:7" s="317" customFormat="1" ht="80.25" customHeight="1">
      <c r="A52" s="60"/>
      <c r="B52" s="48"/>
      <c r="C52" s="37"/>
      <c r="D52" s="26" t="s">
        <v>143</v>
      </c>
      <c r="E52" s="43"/>
      <c r="F52" s="43"/>
      <c r="G52" s="8"/>
    </row>
    <row r="53" spans="1:7" s="59" customFormat="1" ht="21" customHeight="1">
      <c r="A53" s="11" t="s">
        <v>909</v>
      </c>
      <c r="B53" s="214"/>
      <c r="C53" s="29"/>
      <c r="D53" s="30" t="s">
        <v>910</v>
      </c>
      <c r="E53" s="31">
        <f>SUM(E54)</f>
        <v>122</v>
      </c>
      <c r="F53" s="31">
        <f>SUM(F54)</f>
        <v>122</v>
      </c>
      <c r="G53" s="15">
        <f>F53/E53*100</f>
        <v>100</v>
      </c>
    </row>
    <row r="54" spans="1:7" s="59" customFormat="1" ht="19.5" customHeight="1">
      <c r="A54" s="23"/>
      <c r="B54" s="48" t="s">
        <v>911</v>
      </c>
      <c r="C54" s="48"/>
      <c r="D54" s="216" t="s">
        <v>912</v>
      </c>
      <c r="E54" s="35">
        <f>SUM(E55)</f>
        <v>122</v>
      </c>
      <c r="F54" s="35">
        <f>SUM(F55)</f>
        <v>122</v>
      </c>
      <c r="G54" s="21">
        <f>F54/E54*100</f>
        <v>100</v>
      </c>
    </row>
    <row r="55" spans="1:7" s="51" customFormat="1" ht="53.25" customHeight="1" thickBot="1">
      <c r="A55" s="23"/>
      <c r="B55" s="24"/>
      <c r="C55" s="25">
        <v>6410</v>
      </c>
      <c r="D55" s="26" t="s">
        <v>730</v>
      </c>
      <c r="E55" s="50">
        <f>6D!E326</f>
        <v>122</v>
      </c>
      <c r="F55" s="50">
        <f>6D!F326</f>
        <v>122</v>
      </c>
      <c r="G55" s="27">
        <f>F55/E55*100</f>
        <v>100</v>
      </c>
    </row>
    <row r="56" spans="1:7" s="59" customFormat="1" ht="19.5" customHeight="1" hidden="1">
      <c r="A56" s="11"/>
      <c r="B56" s="29"/>
      <c r="C56" s="156"/>
      <c r="D56" s="30"/>
      <c r="E56" s="31"/>
      <c r="F56" s="31"/>
      <c r="G56" s="15"/>
    </row>
    <row r="57" spans="1:7" s="59" customFormat="1" ht="17.25" customHeight="1" hidden="1">
      <c r="A57" s="17"/>
      <c r="B57" s="210"/>
      <c r="C57" s="156"/>
      <c r="D57" s="19"/>
      <c r="E57" s="35"/>
      <c r="F57" s="35"/>
      <c r="G57" s="21"/>
    </row>
    <row r="58" spans="1:7" s="51" customFormat="1" ht="41.25" customHeight="1" hidden="1" thickBot="1">
      <c r="A58" s="23"/>
      <c r="B58" s="37"/>
      <c r="C58" s="211"/>
      <c r="D58" s="220"/>
      <c r="E58" s="39"/>
      <c r="F58" s="39"/>
      <c r="G58" s="27"/>
    </row>
    <row r="59" spans="1:7" s="51" customFormat="1" ht="39" customHeight="1" hidden="1">
      <c r="A59" s="17"/>
      <c r="B59" s="33" t="s">
        <v>590</v>
      </c>
      <c r="C59" s="210"/>
      <c r="D59" s="19" t="s">
        <v>591</v>
      </c>
      <c r="E59" s="35">
        <f>SUM(E60)</f>
        <v>0</v>
      </c>
      <c r="F59" s="35">
        <f>SUM(F60)</f>
        <v>0</v>
      </c>
      <c r="G59" s="21" t="e">
        <f aca="true" t="shared" si="1" ref="G59:G68">F59/E59*100</f>
        <v>#DIV/0!</v>
      </c>
    </row>
    <row r="60" spans="1:7" s="51" customFormat="1" ht="31.5" customHeight="1" hidden="1">
      <c r="A60" s="23"/>
      <c r="B60" s="37"/>
      <c r="C60" s="211" t="s">
        <v>101</v>
      </c>
      <c r="D60" s="41" t="s">
        <v>1098</v>
      </c>
      <c r="E60" s="39">
        <v>0</v>
      </c>
      <c r="F60" s="39"/>
      <c r="G60" s="27" t="e">
        <f t="shared" si="1"/>
        <v>#DIV/0!</v>
      </c>
    </row>
    <row r="61" spans="1:7" s="59" customFormat="1" ht="30" customHeight="1" hidden="1">
      <c r="A61" s="17"/>
      <c r="B61" s="33" t="s">
        <v>976</v>
      </c>
      <c r="C61" s="33"/>
      <c r="D61" s="19" t="s">
        <v>963</v>
      </c>
      <c r="E61" s="35">
        <f>SUM(E62)</f>
        <v>0</v>
      </c>
      <c r="F61" s="35">
        <f>SUM(F62)</f>
        <v>0</v>
      </c>
      <c r="G61" s="21" t="e">
        <f t="shared" si="1"/>
        <v>#DIV/0!</v>
      </c>
    </row>
    <row r="62" spans="1:7" s="59" customFormat="1" ht="33" customHeight="1" hidden="1">
      <c r="A62" s="23"/>
      <c r="B62" s="37"/>
      <c r="C62" s="37" t="s">
        <v>101</v>
      </c>
      <c r="D62" s="41" t="s">
        <v>1098</v>
      </c>
      <c r="E62" s="39">
        <v>0</v>
      </c>
      <c r="F62" s="39"/>
      <c r="G62" s="27" t="e">
        <f t="shared" si="1"/>
        <v>#DIV/0!</v>
      </c>
    </row>
    <row r="63" spans="1:7" s="59" customFormat="1" ht="20.25" customHeight="1" hidden="1">
      <c r="A63" s="17"/>
      <c r="B63" s="33" t="s">
        <v>1043</v>
      </c>
      <c r="C63" s="33"/>
      <c r="D63" s="19" t="s">
        <v>428</v>
      </c>
      <c r="E63" s="35">
        <f>SUM(E64)</f>
        <v>0</v>
      </c>
      <c r="F63" s="35">
        <f>SUM(F64)</f>
        <v>0</v>
      </c>
      <c r="G63" s="21" t="e">
        <f t="shared" si="1"/>
        <v>#DIV/0!</v>
      </c>
    </row>
    <row r="64" spans="1:7" s="59" customFormat="1" ht="33" customHeight="1" hidden="1">
      <c r="A64" s="23"/>
      <c r="B64" s="37"/>
      <c r="C64" s="37" t="s">
        <v>101</v>
      </c>
      <c r="D64" s="41" t="s">
        <v>1098</v>
      </c>
      <c r="E64" s="39">
        <v>0</v>
      </c>
      <c r="F64" s="39"/>
      <c r="G64" s="27" t="e">
        <f t="shared" si="1"/>
        <v>#DIV/0!</v>
      </c>
    </row>
    <row r="65" spans="1:7" s="59" customFormat="1" ht="21" customHeight="1" hidden="1">
      <c r="A65" s="17"/>
      <c r="B65" s="33" t="s">
        <v>433</v>
      </c>
      <c r="C65" s="33"/>
      <c r="D65" s="19" t="s">
        <v>825</v>
      </c>
      <c r="E65" s="20">
        <f>SUM(E66,E67)</f>
        <v>0</v>
      </c>
      <c r="F65" s="20">
        <f>SUM(F66,F67)</f>
        <v>0</v>
      </c>
      <c r="G65" s="21" t="e">
        <f t="shared" si="1"/>
        <v>#DIV/0!</v>
      </c>
    </row>
    <row r="66" spans="1:7" s="51" customFormat="1" ht="30" customHeight="1" hidden="1">
      <c r="A66" s="23"/>
      <c r="B66" s="37"/>
      <c r="C66" s="37" t="s">
        <v>101</v>
      </c>
      <c r="D66" s="41" t="s">
        <v>1098</v>
      </c>
      <c r="E66" s="7">
        <v>0</v>
      </c>
      <c r="F66" s="7"/>
      <c r="G66" s="27" t="e">
        <f t="shared" si="1"/>
        <v>#DIV/0!</v>
      </c>
    </row>
    <row r="67" spans="1:7" s="51" customFormat="1" ht="44.25" customHeight="1" hidden="1">
      <c r="A67" s="23"/>
      <c r="B67" s="37"/>
      <c r="C67" s="37" t="s">
        <v>1073</v>
      </c>
      <c r="D67" s="41" t="s">
        <v>453</v>
      </c>
      <c r="E67" s="7">
        <v>0</v>
      </c>
      <c r="F67" s="7"/>
      <c r="G67" s="27" t="e">
        <f t="shared" si="1"/>
        <v>#DIV/0!</v>
      </c>
    </row>
    <row r="68" spans="1:7" s="240" customFormat="1" ht="21" customHeight="1" thickBot="1">
      <c r="A68" s="1358" t="s">
        <v>778</v>
      </c>
      <c r="B68" s="1359"/>
      <c r="C68" s="1359"/>
      <c r="D68" s="1360"/>
      <c r="E68" s="238">
        <f>SUM(E7,E47)</f>
        <v>41346642</v>
      </c>
      <c r="F68" s="238">
        <f>SUM(F7,F47)</f>
        <v>3768361.0699999994</v>
      </c>
      <c r="G68" s="239">
        <f t="shared" si="1"/>
        <v>9.1140680058129</v>
      </c>
    </row>
    <row r="69" spans="1:6" ht="19.5" customHeight="1">
      <c r="A69" s="319"/>
      <c r="B69" s="319"/>
      <c r="C69" s="319"/>
      <c r="D69" s="320" t="s">
        <v>978</v>
      </c>
      <c r="E69" s="321">
        <v>208778856.63</v>
      </c>
      <c r="F69" s="321">
        <v>95512504.01</v>
      </c>
    </row>
    <row r="70" spans="1:6" ht="19.5" customHeight="1">
      <c r="A70" s="319"/>
      <c r="B70" s="319"/>
      <c r="C70" s="319"/>
      <c r="D70" s="320" t="s">
        <v>979</v>
      </c>
      <c r="E70" s="323">
        <f>E69-E68</f>
        <v>167432214.63</v>
      </c>
      <c r="F70" s="323">
        <f>F69-F68</f>
        <v>91744142.94000001</v>
      </c>
    </row>
    <row r="71" spans="1:7" s="40" customFormat="1" ht="19.5" customHeight="1">
      <c r="A71" s="324"/>
      <c r="B71" s="324"/>
      <c r="C71" s="324"/>
      <c r="D71" s="325"/>
      <c r="E71" s="326"/>
      <c r="F71" s="327"/>
      <c r="G71" s="328"/>
    </row>
    <row r="72" spans="1:7" s="40" customFormat="1" ht="19.5" customHeight="1">
      <c r="A72" s="324"/>
      <c r="B72" s="324"/>
      <c r="C72" s="324"/>
      <c r="D72" s="325"/>
      <c r="E72" s="326"/>
      <c r="F72" s="326"/>
      <c r="G72" s="328"/>
    </row>
    <row r="73" spans="1:6" ht="19.5" customHeight="1">
      <c r="A73" s="319"/>
      <c r="B73" s="319"/>
      <c r="C73" s="319"/>
      <c r="D73" s="320"/>
      <c r="E73" s="329"/>
      <c r="F73" s="330"/>
    </row>
    <row r="74" spans="1:6" ht="19.5" customHeight="1">
      <c r="A74" s="319"/>
      <c r="B74" s="319"/>
      <c r="C74" s="319"/>
      <c r="D74" s="320"/>
      <c r="E74" s="329"/>
      <c r="F74" s="330"/>
    </row>
    <row r="75" spans="1:6" ht="19.5" customHeight="1">
      <c r="A75" s="319"/>
      <c r="B75" s="319"/>
      <c r="C75" s="319"/>
      <c r="D75" s="320"/>
      <c r="E75" s="329"/>
      <c r="F75" s="330"/>
    </row>
    <row r="76" spans="1:6" ht="19.5" customHeight="1">
      <c r="A76" s="319"/>
      <c r="B76" s="319"/>
      <c r="C76" s="319"/>
      <c r="D76" s="320"/>
      <c r="E76" s="329"/>
      <c r="F76" s="330"/>
    </row>
    <row r="77" spans="1:6" ht="19.5" customHeight="1">
      <c r="A77" s="319"/>
      <c r="B77" s="319"/>
      <c r="C77" s="319"/>
      <c r="D77" s="320"/>
      <c r="E77" s="329"/>
      <c r="F77" s="330"/>
    </row>
    <row r="78" spans="1:6" ht="19.5" customHeight="1">
      <c r="A78" s="319"/>
      <c r="B78" s="319"/>
      <c r="C78" s="319"/>
      <c r="D78" s="320"/>
      <c r="E78" s="329"/>
      <c r="F78" s="330"/>
    </row>
    <row r="79" spans="1:6" ht="19.5" customHeight="1">
      <c r="A79" s="319"/>
      <c r="B79" s="319"/>
      <c r="C79" s="319"/>
      <c r="D79" s="320"/>
      <c r="E79" s="329"/>
      <c r="F79" s="330"/>
    </row>
    <row r="80" spans="1:6" ht="19.5" customHeight="1">
      <c r="A80" s="319"/>
      <c r="B80" s="319"/>
      <c r="C80" s="319"/>
      <c r="D80" s="320"/>
      <c r="E80" s="329"/>
      <c r="F80" s="330"/>
    </row>
    <row r="81" spans="1:6" ht="19.5" customHeight="1">
      <c r="A81" s="319"/>
      <c r="B81" s="319"/>
      <c r="C81" s="319"/>
      <c r="D81" s="320"/>
      <c r="E81" s="329"/>
      <c r="F81" s="330"/>
    </row>
    <row r="82" spans="1:6" ht="19.5" customHeight="1">
      <c r="A82" s="319"/>
      <c r="B82" s="319"/>
      <c r="C82" s="319"/>
      <c r="D82" s="320"/>
      <c r="E82" s="329"/>
      <c r="F82" s="330"/>
    </row>
    <row r="83" spans="1:6" ht="19.5" customHeight="1">
      <c r="A83" s="319"/>
      <c r="B83" s="319"/>
      <c r="C83" s="319"/>
      <c r="D83" s="320"/>
      <c r="E83" s="329"/>
      <c r="F83" s="330"/>
    </row>
    <row r="84" spans="1:6" ht="19.5" customHeight="1">
      <c r="A84" s="319"/>
      <c r="B84" s="319"/>
      <c r="C84" s="319"/>
      <c r="D84" s="320"/>
      <c r="E84" s="329"/>
      <c r="F84" s="330"/>
    </row>
    <row r="85" spans="1:6" ht="19.5" customHeight="1">
      <c r="A85" s="319"/>
      <c r="B85" s="319"/>
      <c r="C85" s="319"/>
      <c r="D85" s="320"/>
      <c r="E85" s="329"/>
      <c r="F85" s="330"/>
    </row>
    <row r="86" spans="1:6" ht="19.5" customHeight="1">
      <c r="A86" s="319"/>
      <c r="B86" s="319"/>
      <c r="C86" s="319"/>
      <c r="D86" s="320"/>
      <c r="E86" s="329"/>
      <c r="F86" s="330"/>
    </row>
    <row r="87" spans="1:6" ht="19.5" customHeight="1">
      <c r="A87" s="319"/>
      <c r="B87" s="319"/>
      <c r="C87" s="319"/>
      <c r="D87" s="320"/>
      <c r="E87" s="329"/>
      <c r="F87" s="330"/>
    </row>
    <row r="88" spans="1:6" ht="19.5" customHeight="1">
      <c r="A88" s="319"/>
      <c r="B88" s="319"/>
      <c r="C88" s="319"/>
      <c r="D88" s="320"/>
      <c r="E88" s="329"/>
      <c r="F88" s="330"/>
    </row>
    <row r="89" spans="1:6" ht="19.5" customHeight="1">
      <c r="A89" s="319"/>
      <c r="B89" s="319"/>
      <c r="C89" s="319"/>
      <c r="D89" s="320"/>
      <c r="E89" s="329"/>
      <c r="F89" s="330"/>
    </row>
    <row r="90" spans="1:6" ht="19.5" customHeight="1">
      <c r="A90" s="319"/>
      <c r="B90" s="319"/>
      <c r="C90" s="319"/>
      <c r="D90" s="320"/>
      <c r="E90" s="329"/>
      <c r="F90" s="330"/>
    </row>
    <row r="91" spans="1:6" ht="19.5" customHeight="1">
      <c r="A91" s="319"/>
      <c r="B91" s="319"/>
      <c r="C91" s="319"/>
      <c r="D91" s="320"/>
      <c r="E91" s="329"/>
      <c r="F91" s="330"/>
    </row>
    <row r="92" spans="1:6" ht="19.5" customHeight="1">
      <c r="A92" s="319"/>
      <c r="B92" s="319"/>
      <c r="C92" s="319"/>
      <c r="D92" s="320"/>
      <c r="E92" s="329"/>
      <c r="F92" s="330"/>
    </row>
    <row r="93" spans="1:6" ht="19.5" customHeight="1">
      <c r="A93" s="319"/>
      <c r="B93" s="319"/>
      <c r="C93" s="319"/>
      <c r="D93" s="320"/>
      <c r="E93" s="329"/>
      <c r="F93" s="330"/>
    </row>
    <row r="94" spans="1:6" ht="19.5" customHeight="1">
      <c r="A94" s="319"/>
      <c r="B94" s="319"/>
      <c r="C94" s="319"/>
      <c r="D94" s="320"/>
      <c r="E94" s="329"/>
      <c r="F94" s="330"/>
    </row>
    <row r="95" spans="1:6" ht="19.5" customHeight="1">
      <c r="A95" s="319"/>
      <c r="B95" s="319"/>
      <c r="C95" s="319"/>
      <c r="D95" s="320"/>
      <c r="E95" s="329"/>
      <c r="F95" s="330"/>
    </row>
    <row r="96" spans="1:6" ht="19.5" customHeight="1">
      <c r="A96" s="319"/>
      <c r="B96" s="319"/>
      <c r="C96" s="319"/>
      <c r="D96" s="320"/>
      <c r="E96" s="329"/>
      <c r="F96" s="330"/>
    </row>
    <row r="97" spans="1:6" ht="19.5" customHeight="1">
      <c r="A97" s="319"/>
      <c r="B97" s="319"/>
      <c r="C97" s="319"/>
      <c r="D97" s="320"/>
      <c r="E97" s="329"/>
      <c r="F97" s="330"/>
    </row>
    <row r="98" spans="1:6" ht="19.5" customHeight="1">
      <c r="A98" s="319"/>
      <c r="B98" s="319"/>
      <c r="C98" s="319"/>
      <c r="D98" s="320"/>
      <c r="E98" s="329"/>
      <c r="F98" s="330"/>
    </row>
    <row r="99" spans="1:6" ht="19.5" customHeight="1">
      <c r="A99" s="319"/>
      <c r="B99" s="319"/>
      <c r="C99" s="319"/>
      <c r="D99" s="320"/>
      <c r="E99" s="329"/>
      <c r="F99" s="330"/>
    </row>
    <row r="100" spans="1:6" ht="19.5" customHeight="1">
      <c r="A100" s="319"/>
      <c r="B100" s="319"/>
      <c r="C100" s="319"/>
      <c r="D100" s="320"/>
      <c r="E100" s="329"/>
      <c r="F100" s="330"/>
    </row>
    <row r="101" spans="1:6" ht="19.5" customHeight="1">
      <c r="A101" s="319"/>
      <c r="B101" s="319"/>
      <c r="C101" s="319"/>
      <c r="D101" s="320"/>
      <c r="E101" s="329"/>
      <c r="F101" s="330"/>
    </row>
    <row r="102" spans="1:6" ht="19.5" customHeight="1">
      <c r="A102" s="319"/>
      <c r="B102" s="319"/>
      <c r="C102" s="319"/>
      <c r="D102" s="320"/>
      <c r="E102" s="329"/>
      <c r="F102" s="330"/>
    </row>
    <row r="103" spans="1:6" ht="19.5" customHeight="1">
      <c r="A103" s="319"/>
      <c r="B103" s="319"/>
      <c r="C103" s="319"/>
      <c r="D103" s="320"/>
      <c r="E103" s="329"/>
      <c r="F103" s="330"/>
    </row>
    <row r="104" spans="1:6" ht="19.5" customHeight="1">
      <c r="A104" s="319"/>
      <c r="B104" s="319"/>
      <c r="C104" s="319"/>
      <c r="D104" s="320"/>
      <c r="E104" s="329"/>
      <c r="F104" s="330"/>
    </row>
    <row r="105" spans="1:6" ht="19.5" customHeight="1">
      <c r="A105" s="319"/>
      <c r="B105" s="319"/>
      <c r="C105" s="319"/>
      <c r="D105" s="320"/>
      <c r="E105" s="329"/>
      <c r="F105" s="330"/>
    </row>
    <row r="106" spans="1:6" ht="19.5" customHeight="1">
      <c r="A106" s="319"/>
      <c r="B106" s="319"/>
      <c r="C106" s="319"/>
      <c r="D106" s="320"/>
      <c r="E106" s="329"/>
      <c r="F106" s="330"/>
    </row>
    <row r="107" spans="1:6" ht="19.5" customHeight="1">
      <c r="A107" s="319"/>
      <c r="B107" s="319"/>
      <c r="C107" s="319"/>
      <c r="D107" s="320"/>
      <c r="E107" s="329"/>
      <c r="F107" s="330"/>
    </row>
    <row r="108" spans="1:6" ht="19.5" customHeight="1">
      <c r="A108" s="319"/>
      <c r="B108" s="319"/>
      <c r="C108" s="319"/>
      <c r="D108" s="320"/>
      <c r="E108" s="329"/>
      <c r="F108" s="330"/>
    </row>
    <row r="109" spans="1:6" ht="19.5" customHeight="1">
      <c r="A109" s="319"/>
      <c r="B109" s="319"/>
      <c r="C109" s="319"/>
      <c r="D109" s="320"/>
      <c r="E109" s="329"/>
      <c r="F109" s="330"/>
    </row>
    <row r="110" spans="1:6" ht="19.5" customHeight="1">
      <c r="A110" s="319"/>
      <c r="B110" s="319"/>
      <c r="C110" s="319"/>
      <c r="D110" s="320"/>
      <c r="E110" s="329"/>
      <c r="F110" s="330"/>
    </row>
    <row r="111" spans="1:6" ht="19.5" customHeight="1">
      <c r="A111" s="319"/>
      <c r="B111" s="319"/>
      <c r="C111" s="319"/>
      <c r="D111" s="320"/>
      <c r="E111" s="329"/>
      <c r="F111" s="330"/>
    </row>
    <row r="112" spans="1:6" ht="19.5" customHeight="1">
      <c r="A112" s="319"/>
      <c r="B112" s="319"/>
      <c r="C112" s="319"/>
      <c r="D112" s="320"/>
      <c r="E112" s="329"/>
      <c r="F112" s="330"/>
    </row>
    <row r="113" spans="1:6" ht="19.5" customHeight="1">
      <c r="A113" s="319"/>
      <c r="B113" s="319"/>
      <c r="C113" s="319"/>
      <c r="D113" s="320"/>
      <c r="E113" s="329"/>
      <c r="F113" s="330"/>
    </row>
    <row r="114" spans="1:6" ht="19.5" customHeight="1">
      <c r="A114" s="319"/>
      <c r="B114" s="319"/>
      <c r="C114" s="319"/>
      <c r="D114" s="320"/>
      <c r="E114" s="329"/>
      <c r="F114" s="330"/>
    </row>
    <row r="115" spans="1:6" ht="19.5" customHeight="1">
      <c r="A115" s="319"/>
      <c r="B115" s="319"/>
      <c r="C115" s="319"/>
      <c r="D115" s="320"/>
      <c r="E115" s="329"/>
      <c r="F115" s="330"/>
    </row>
    <row r="116" spans="1:6" ht="19.5" customHeight="1">
      <c r="A116" s="319"/>
      <c r="B116" s="319"/>
      <c r="C116" s="319"/>
      <c r="D116" s="320"/>
      <c r="E116" s="329"/>
      <c r="F116" s="330"/>
    </row>
    <row r="117" spans="1:6" ht="19.5" customHeight="1">
      <c r="A117" s="319"/>
      <c r="B117" s="319"/>
      <c r="C117" s="319"/>
      <c r="D117" s="320"/>
      <c r="E117" s="329"/>
      <c r="F117" s="330"/>
    </row>
    <row r="118" spans="1:6" ht="19.5" customHeight="1">
      <c r="A118" s="319"/>
      <c r="B118" s="319"/>
      <c r="C118" s="319"/>
      <c r="D118" s="320"/>
      <c r="E118" s="329"/>
      <c r="F118" s="330"/>
    </row>
    <row r="119" spans="1:6" ht="19.5" customHeight="1">
      <c r="A119" s="319"/>
      <c r="B119" s="319"/>
      <c r="C119" s="319"/>
      <c r="D119" s="320"/>
      <c r="E119" s="329"/>
      <c r="F119" s="330"/>
    </row>
    <row r="120" spans="1:6" ht="19.5" customHeight="1">
      <c r="A120" s="319"/>
      <c r="B120" s="319"/>
      <c r="C120" s="319"/>
      <c r="D120" s="320"/>
      <c r="E120" s="329"/>
      <c r="F120" s="330"/>
    </row>
    <row r="121" spans="1:6" ht="19.5" customHeight="1">
      <c r="A121" s="319"/>
      <c r="B121" s="319"/>
      <c r="C121" s="319"/>
      <c r="D121" s="320"/>
      <c r="E121" s="329"/>
      <c r="F121" s="330"/>
    </row>
    <row r="122" spans="1:6" ht="19.5" customHeight="1">
      <c r="A122" s="319"/>
      <c r="B122" s="319"/>
      <c r="C122" s="319"/>
      <c r="D122" s="320"/>
      <c r="E122" s="329"/>
      <c r="F122" s="330"/>
    </row>
    <row r="123" spans="1:6" ht="19.5" customHeight="1">
      <c r="A123" s="319"/>
      <c r="B123" s="319"/>
      <c r="C123" s="319"/>
      <c r="D123" s="320"/>
      <c r="E123" s="329"/>
      <c r="F123" s="330"/>
    </row>
    <row r="124" spans="1:6" ht="19.5" customHeight="1">
      <c r="A124" s="319"/>
      <c r="B124" s="319"/>
      <c r="C124" s="319"/>
      <c r="D124" s="320"/>
      <c r="E124" s="329"/>
      <c r="F124" s="330"/>
    </row>
    <row r="125" spans="1:6" ht="19.5" customHeight="1">
      <c r="A125" s="319"/>
      <c r="B125" s="319"/>
      <c r="C125" s="319"/>
      <c r="D125" s="320"/>
      <c r="E125" s="329"/>
      <c r="F125" s="330"/>
    </row>
    <row r="126" spans="1:6" ht="19.5" customHeight="1">
      <c r="A126" s="319"/>
      <c r="B126" s="319"/>
      <c r="C126" s="319"/>
      <c r="D126" s="320"/>
      <c r="E126" s="329"/>
      <c r="F126" s="330"/>
    </row>
    <row r="127" spans="1:6" ht="19.5" customHeight="1">
      <c r="A127" s="319"/>
      <c r="B127" s="319"/>
      <c r="C127" s="319"/>
      <c r="D127" s="320"/>
      <c r="E127" s="329"/>
      <c r="F127" s="330"/>
    </row>
    <row r="128" spans="1:6" ht="19.5" customHeight="1">
      <c r="A128" s="319"/>
      <c r="B128" s="319"/>
      <c r="C128" s="319"/>
      <c r="D128" s="320"/>
      <c r="E128" s="329"/>
      <c r="F128" s="330"/>
    </row>
    <row r="129" spans="1:6" ht="19.5" customHeight="1">
      <c r="A129" s="319"/>
      <c r="B129" s="319"/>
      <c r="C129" s="319"/>
      <c r="D129" s="320"/>
      <c r="E129" s="329"/>
      <c r="F129" s="330"/>
    </row>
    <row r="130" spans="1:6" ht="19.5" customHeight="1">
      <c r="A130" s="319"/>
      <c r="B130" s="319"/>
      <c r="C130" s="319"/>
      <c r="D130" s="320"/>
      <c r="E130" s="329"/>
      <c r="F130" s="330"/>
    </row>
    <row r="131" spans="1:6" ht="19.5" customHeight="1">
      <c r="A131" s="319"/>
      <c r="B131" s="319"/>
      <c r="C131" s="319"/>
      <c r="D131" s="320"/>
      <c r="E131" s="329"/>
      <c r="F131" s="330"/>
    </row>
    <row r="132" spans="1:6" ht="19.5" customHeight="1">
      <c r="A132" s="319"/>
      <c r="B132" s="319"/>
      <c r="C132" s="319"/>
      <c r="D132" s="320"/>
      <c r="E132" s="329"/>
      <c r="F132" s="330"/>
    </row>
    <row r="133" spans="1:6" ht="19.5" customHeight="1">
      <c r="A133" s="319"/>
      <c r="B133" s="319"/>
      <c r="C133" s="319"/>
      <c r="D133" s="320"/>
      <c r="E133" s="329"/>
      <c r="F133" s="330"/>
    </row>
    <row r="134" spans="1:6" ht="19.5" customHeight="1">
      <c r="A134" s="319"/>
      <c r="B134" s="319"/>
      <c r="C134" s="319"/>
      <c r="D134" s="320"/>
      <c r="E134" s="329"/>
      <c r="F134" s="330"/>
    </row>
    <row r="135" spans="1:6" ht="19.5" customHeight="1">
      <c r="A135" s="319"/>
      <c r="B135" s="319"/>
      <c r="C135" s="319"/>
      <c r="D135" s="320"/>
      <c r="E135" s="329"/>
      <c r="F135" s="330"/>
    </row>
    <row r="136" spans="1:6" ht="19.5" customHeight="1">
      <c r="A136" s="319"/>
      <c r="B136" s="319"/>
      <c r="C136" s="319"/>
      <c r="D136" s="320"/>
      <c r="E136" s="329"/>
      <c r="F136" s="330"/>
    </row>
    <row r="137" spans="1:6" ht="19.5" customHeight="1">
      <c r="A137" s="319"/>
      <c r="B137" s="319"/>
      <c r="C137" s="319"/>
      <c r="D137" s="320"/>
      <c r="E137" s="329"/>
      <c r="F137" s="330"/>
    </row>
    <row r="138" spans="1:6" ht="19.5" customHeight="1">
      <c r="A138" s="319"/>
      <c r="B138" s="319"/>
      <c r="C138" s="319"/>
      <c r="D138" s="320"/>
      <c r="E138" s="329"/>
      <c r="F138" s="330"/>
    </row>
    <row r="139" spans="1:6" ht="19.5" customHeight="1">
      <c r="A139" s="319"/>
      <c r="B139" s="319"/>
      <c r="C139" s="319"/>
      <c r="D139" s="320"/>
      <c r="E139" s="329"/>
      <c r="F139" s="330"/>
    </row>
    <row r="140" spans="1:6" ht="19.5" customHeight="1">
      <c r="A140" s="319"/>
      <c r="B140" s="319"/>
      <c r="C140" s="319"/>
      <c r="D140" s="320"/>
      <c r="E140" s="329"/>
      <c r="F140" s="330"/>
    </row>
    <row r="141" spans="1:6" ht="19.5" customHeight="1">
      <c r="A141" s="319"/>
      <c r="B141" s="319"/>
      <c r="C141" s="319"/>
      <c r="D141" s="320"/>
      <c r="E141" s="329"/>
      <c r="F141" s="330"/>
    </row>
    <row r="142" spans="1:6" ht="19.5" customHeight="1">
      <c r="A142" s="319"/>
      <c r="B142" s="319"/>
      <c r="C142" s="319"/>
      <c r="D142" s="320"/>
      <c r="E142" s="329"/>
      <c r="F142" s="330"/>
    </row>
    <row r="143" spans="1:6" ht="19.5" customHeight="1">
      <c r="A143" s="319"/>
      <c r="B143" s="319"/>
      <c r="C143" s="319"/>
      <c r="D143" s="320"/>
      <c r="E143" s="329"/>
      <c r="F143" s="330"/>
    </row>
    <row r="144" spans="1:6" ht="19.5" customHeight="1">
      <c r="A144" s="319"/>
      <c r="B144" s="319"/>
      <c r="C144" s="319"/>
      <c r="D144" s="320"/>
      <c r="E144" s="329"/>
      <c r="F144" s="330"/>
    </row>
    <row r="145" spans="1:6" ht="19.5" customHeight="1">
      <c r="A145" s="319"/>
      <c r="B145" s="319"/>
      <c r="C145" s="319"/>
      <c r="D145" s="320"/>
      <c r="E145" s="329"/>
      <c r="F145" s="330"/>
    </row>
    <row r="146" spans="1:6" ht="19.5" customHeight="1">
      <c r="A146" s="319"/>
      <c r="B146" s="319"/>
      <c r="C146" s="319"/>
      <c r="D146" s="320"/>
      <c r="E146" s="329"/>
      <c r="F146" s="330"/>
    </row>
    <row r="147" spans="1:6" ht="19.5" customHeight="1">
      <c r="A147" s="319"/>
      <c r="B147" s="319"/>
      <c r="C147" s="319"/>
      <c r="D147" s="320"/>
      <c r="E147" s="329"/>
      <c r="F147" s="330"/>
    </row>
    <row r="148" spans="1:6" ht="19.5" customHeight="1">
      <c r="A148" s="319"/>
      <c r="B148" s="319"/>
      <c r="C148" s="319"/>
      <c r="D148" s="320"/>
      <c r="E148" s="329"/>
      <c r="F148" s="330"/>
    </row>
    <row r="149" spans="1:6" ht="19.5" customHeight="1">
      <c r="A149" s="319"/>
      <c r="B149" s="319"/>
      <c r="C149" s="319"/>
      <c r="D149" s="320"/>
      <c r="E149" s="329"/>
      <c r="F149" s="330"/>
    </row>
    <row r="150" spans="1:6" ht="19.5" customHeight="1">
      <c r="A150" s="319"/>
      <c r="B150" s="319"/>
      <c r="C150" s="319"/>
      <c r="D150" s="320"/>
      <c r="E150" s="329"/>
      <c r="F150" s="330"/>
    </row>
    <row r="151" spans="1:6" ht="19.5" customHeight="1">
      <c r="A151" s="319"/>
      <c r="B151" s="319"/>
      <c r="C151" s="319"/>
      <c r="D151" s="320"/>
      <c r="E151" s="329"/>
      <c r="F151" s="330"/>
    </row>
    <row r="152" spans="1:6" ht="19.5" customHeight="1">
      <c r="A152" s="319"/>
      <c r="B152" s="319"/>
      <c r="C152" s="319"/>
      <c r="D152" s="320"/>
      <c r="E152" s="329"/>
      <c r="F152" s="330"/>
    </row>
    <row r="153" spans="1:6" ht="19.5" customHeight="1">
      <c r="A153" s="319"/>
      <c r="B153" s="319"/>
      <c r="C153" s="319"/>
      <c r="D153" s="320"/>
      <c r="E153" s="329"/>
      <c r="F153" s="330"/>
    </row>
    <row r="154" spans="1:6" ht="19.5" customHeight="1">
      <c r="A154" s="319"/>
      <c r="B154" s="319"/>
      <c r="C154" s="319"/>
      <c r="D154" s="320"/>
      <c r="E154" s="329"/>
      <c r="F154" s="330"/>
    </row>
    <row r="155" spans="1:6" ht="19.5" customHeight="1">
      <c r="A155" s="319"/>
      <c r="B155" s="319"/>
      <c r="C155" s="319"/>
      <c r="D155" s="320"/>
      <c r="E155" s="329"/>
      <c r="F155" s="330"/>
    </row>
    <row r="156" spans="1:6" ht="19.5" customHeight="1">
      <c r="A156" s="319"/>
      <c r="B156" s="319"/>
      <c r="C156" s="319"/>
      <c r="D156" s="320"/>
      <c r="E156" s="329"/>
      <c r="F156" s="330"/>
    </row>
    <row r="157" spans="1:6" ht="19.5" customHeight="1">
      <c r="A157" s="319"/>
      <c r="B157" s="319"/>
      <c r="C157" s="319"/>
      <c r="D157" s="320"/>
      <c r="E157" s="329"/>
      <c r="F157" s="330"/>
    </row>
    <row r="158" spans="1:6" ht="19.5" customHeight="1">
      <c r="A158" s="319"/>
      <c r="B158" s="319"/>
      <c r="C158" s="319"/>
      <c r="D158" s="320"/>
      <c r="E158" s="208"/>
      <c r="F158" s="330"/>
    </row>
    <row r="159" spans="1:6" ht="19.5" customHeight="1">
      <c r="A159" s="319"/>
      <c r="B159" s="319"/>
      <c r="C159" s="319"/>
      <c r="D159" s="320"/>
      <c r="E159" s="208"/>
      <c r="F159" s="330"/>
    </row>
    <row r="160" spans="1:6" ht="19.5" customHeight="1">
      <c r="A160" s="319"/>
      <c r="B160" s="319"/>
      <c r="C160" s="319"/>
      <c r="D160" s="320"/>
      <c r="E160" s="208"/>
      <c r="F160" s="330"/>
    </row>
    <row r="161" spans="1:6" ht="19.5" customHeight="1">
      <c r="A161" s="319"/>
      <c r="B161" s="319"/>
      <c r="C161" s="319"/>
      <c r="D161" s="320"/>
      <c r="E161" s="208"/>
      <c r="F161" s="330"/>
    </row>
    <row r="162" spans="1:6" ht="19.5" customHeight="1">
      <c r="A162" s="319"/>
      <c r="B162" s="319"/>
      <c r="C162" s="319"/>
      <c r="D162" s="320"/>
      <c r="E162" s="208"/>
      <c r="F162" s="330"/>
    </row>
    <row r="163" spans="1:6" ht="19.5" customHeight="1">
      <c r="A163" s="319"/>
      <c r="B163" s="319"/>
      <c r="C163" s="319"/>
      <c r="D163" s="320"/>
      <c r="E163" s="208"/>
      <c r="F163" s="330"/>
    </row>
    <row r="164" spans="1:6" ht="19.5" customHeight="1">
      <c r="A164" s="319"/>
      <c r="B164" s="319"/>
      <c r="C164" s="319"/>
      <c r="D164" s="320"/>
      <c r="E164" s="208"/>
      <c r="F164" s="330"/>
    </row>
    <row r="165" spans="1:6" ht="19.5" customHeight="1">
      <c r="A165" s="319"/>
      <c r="B165" s="319"/>
      <c r="C165" s="319"/>
      <c r="D165" s="320"/>
      <c r="E165" s="208"/>
      <c r="F165" s="330"/>
    </row>
    <row r="166" spans="1:6" ht="19.5" customHeight="1">
      <c r="A166" s="319"/>
      <c r="B166" s="319"/>
      <c r="C166" s="319"/>
      <c r="D166" s="320"/>
      <c r="E166" s="208"/>
      <c r="F166" s="330"/>
    </row>
    <row r="167" spans="1:6" ht="19.5" customHeight="1">
      <c r="A167" s="319"/>
      <c r="B167" s="319"/>
      <c r="C167" s="319"/>
      <c r="D167" s="320"/>
      <c r="E167" s="208"/>
      <c r="F167" s="330"/>
    </row>
    <row r="168" spans="1:6" ht="19.5" customHeight="1">
      <c r="A168" s="319"/>
      <c r="B168" s="319"/>
      <c r="C168" s="319"/>
      <c r="D168" s="320"/>
      <c r="E168" s="208"/>
      <c r="F168" s="330"/>
    </row>
    <row r="169" spans="1:6" ht="19.5" customHeight="1">
      <c r="A169" s="319"/>
      <c r="B169" s="319"/>
      <c r="C169" s="319"/>
      <c r="D169" s="320"/>
      <c r="E169" s="208"/>
      <c r="F169" s="330"/>
    </row>
    <row r="170" spans="1:6" ht="19.5" customHeight="1">
      <c r="A170" s="319"/>
      <c r="B170" s="319"/>
      <c r="C170" s="319"/>
      <c r="D170" s="320"/>
      <c r="E170" s="208"/>
      <c r="F170" s="330"/>
    </row>
    <row r="171" spans="1:6" ht="19.5" customHeight="1">
      <c r="A171" s="319"/>
      <c r="B171" s="319"/>
      <c r="C171" s="319"/>
      <c r="D171" s="320"/>
      <c r="E171" s="208"/>
      <c r="F171" s="330"/>
    </row>
    <row r="172" spans="1:6" ht="19.5" customHeight="1">
      <c r="A172" s="319"/>
      <c r="B172" s="319"/>
      <c r="C172" s="319"/>
      <c r="D172" s="320"/>
      <c r="E172" s="208"/>
      <c r="F172" s="330"/>
    </row>
    <row r="173" spans="1:6" ht="19.5" customHeight="1">
      <c r="A173" s="319"/>
      <c r="B173" s="319"/>
      <c r="C173" s="319"/>
      <c r="D173" s="320"/>
      <c r="E173" s="208"/>
      <c r="F173" s="330"/>
    </row>
    <row r="174" spans="1:6" ht="19.5" customHeight="1">
      <c r="A174" s="319"/>
      <c r="B174" s="319"/>
      <c r="C174" s="319"/>
      <c r="D174" s="320"/>
      <c r="E174" s="208"/>
      <c r="F174" s="330"/>
    </row>
    <row r="175" spans="1:6" ht="19.5" customHeight="1">
      <c r="A175" s="319"/>
      <c r="B175" s="319"/>
      <c r="C175" s="319"/>
      <c r="D175" s="320"/>
      <c r="E175" s="208"/>
      <c r="F175" s="330"/>
    </row>
    <row r="176" spans="1:6" ht="19.5" customHeight="1">
      <c r="A176" s="319"/>
      <c r="B176" s="319"/>
      <c r="C176" s="319"/>
      <c r="D176" s="320"/>
      <c r="E176" s="208"/>
      <c r="F176" s="330"/>
    </row>
    <row r="177" spans="1:6" ht="19.5" customHeight="1">
      <c r="A177" s="319"/>
      <c r="B177" s="319"/>
      <c r="C177" s="319"/>
      <c r="D177" s="320"/>
      <c r="E177" s="208"/>
      <c r="F177" s="330"/>
    </row>
    <row r="178" spans="1:6" ht="19.5" customHeight="1">
      <c r="A178" s="319"/>
      <c r="B178" s="319"/>
      <c r="C178" s="319"/>
      <c r="D178" s="320"/>
      <c r="E178" s="208"/>
      <c r="F178" s="330"/>
    </row>
    <row r="179" spans="1:6" ht="19.5" customHeight="1">
      <c r="A179" s="319"/>
      <c r="B179" s="319"/>
      <c r="C179" s="319"/>
      <c r="D179" s="320"/>
      <c r="E179" s="208"/>
      <c r="F179" s="330"/>
    </row>
    <row r="180" spans="1:6" ht="19.5" customHeight="1">
      <c r="A180" s="319"/>
      <c r="B180" s="319"/>
      <c r="C180" s="319"/>
      <c r="D180" s="320"/>
      <c r="E180" s="208"/>
      <c r="F180" s="330"/>
    </row>
    <row r="181" spans="1:6" ht="19.5" customHeight="1">
      <c r="A181" s="319"/>
      <c r="B181" s="319"/>
      <c r="C181" s="319"/>
      <c r="D181" s="320"/>
      <c r="E181" s="208"/>
      <c r="F181" s="330"/>
    </row>
    <row r="182" spans="1:6" ht="19.5" customHeight="1">
      <c r="A182" s="319"/>
      <c r="B182" s="319"/>
      <c r="C182" s="319"/>
      <c r="D182" s="320"/>
      <c r="E182" s="208"/>
      <c r="F182" s="330"/>
    </row>
    <row r="183" spans="1:6" ht="19.5" customHeight="1">
      <c r="A183" s="319"/>
      <c r="B183" s="319"/>
      <c r="C183" s="319"/>
      <c r="D183" s="320"/>
      <c r="E183" s="208"/>
      <c r="F183" s="330"/>
    </row>
    <row r="184" spans="1:6" ht="19.5" customHeight="1">
      <c r="A184" s="319"/>
      <c r="B184" s="319"/>
      <c r="C184" s="319"/>
      <c r="D184" s="320"/>
      <c r="E184" s="208"/>
      <c r="F184" s="330"/>
    </row>
    <row r="185" spans="1:6" ht="19.5" customHeight="1">
      <c r="A185" s="319"/>
      <c r="B185" s="319"/>
      <c r="C185" s="319"/>
      <c r="D185" s="320"/>
      <c r="E185" s="208"/>
      <c r="F185" s="330"/>
    </row>
    <row r="186" spans="1:6" ht="19.5" customHeight="1">
      <c r="A186" s="319"/>
      <c r="B186" s="319"/>
      <c r="C186" s="319"/>
      <c r="D186" s="320"/>
      <c r="E186" s="208"/>
      <c r="F186" s="330"/>
    </row>
    <row r="187" spans="1:5" ht="19.5" customHeight="1">
      <c r="A187" s="319"/>
      <c r="B187" s="319"/>
      <c r="C187" s="319"/>
      <c r="D187" s="320"/>
      <c r="E187" s="208"/>
    </row>
    <row r="188" spans="1:5" ht="19.5" customHeight="1">
      <c r="A188" s="319"/>
      <c r="B188" s="319"/>
      <c r="C188" s="319"/>
      <c r="D188" s="320"/>
      <c r="E188" s="208"/>
    </row>
    <row r="189" spans="1:5" ht="19.5" customHeight="1">
      <c r="A189" s="319"/>
      <c r="B189" s="319"/>
      <c r="C189" s="319"/>
      <c r="D189" s="320"/>
      <c r="E189" s="208"/>
    </row>
    <row r="190" spans="1:5" ht="19.5" customHeight="1">
      <c r="A190" s="319"/>
      <c r="B190" s="319"/>
      <c r="C190" s="319"/>
      <c r="D190" s="320"/>
      <c r="E190" s="208"/>
    </row>
    <row r="191" spans="1:5" ht="19.5" customHeight="1">
      <c r="A191" s="319"/>
      <c r="B191" s="319"/>
      <c r="C191" s="319"/>
      <c r="D191" s="320"/>
      <c r="E191" s="208"/>
    </row>
    <row r="192" spans="1:5" ht="19.5" customHeight="1">
      <c r="A192" s="319"/>
      <c r="B192" s="319"/>
      <c r="C192" s="319"/>
      <c r="D192" s="320"/>
      <c r="E192" s="208"/>
    </row>
    <row r="193" spans="1:5" ht="19.5" customHeight="1">
      <c r="A193" s="319"/>
      <c r="B193" s="319"/>
      <c r="C193" s="319"/>
      <c r="D193" s="320"/>
      <c r="E193" s="208"/>
    </row>
    <row r="194" spans="1:5" ht="19.5" customHeight="1">
      <c r="A194" s="319"/>
      <c r="B194" s="319"/>
      <c r="C194" s="319"/>
      <c r="D194" s="320"/>
      <c r="E194" s="208"/>
    </row>
    <row r="195" spans="1:5" ht="19.5" customHeight="1">
      <c r="A195" s="319"/>
      <c r="B195" s="319"/>
      <c r="C195" s="319"/>
      <c r="D195" s="320"/>
      <c r="E195" s="208"/>
    </row>
    <row r="196" spans="1:5" ht="19.5" customHeight="1">
      <c r="A196" s="319"/>
      <c r="B196" s="319"/>
      <c r="C196" s="319"/>
      <c r="D196" s="320"/>
      <c r="E196" s="208"/>
    </row>
    <row r="197" spans="1:5" ht="19.5" customHeight="1">
      <c r="A197" s="319"/>
      <c r="B197" s="319"/>
      <c r="C197" s="319"/>
      <c r="D197" s="320"/>
      <c r="E197" s="208"/>
    </row>
    <row r="198" spans="1:5" ht="19.5" customHeight="1">
      <c r="A198" s="319"/>
      <c r="B198" s="319"/>
      <c r="C198" s="319"/>
      <c r="D198" s="320"/>
      <c r="E198" s="208"/>
    </row>
    <row r="199" spans="1:5" ht="19.5" customHeight="1">
      <c r="A199" s="319"/>
      <c r="B199" s="319"/>
      <c r="C199" s="319"/>
      <c r="D199" s="320"/>
      <c r="E199" s="208"/>
    </row>
    <row r="200" spans="1:5" ht="19.5" customHeight="1">
      <c r="A200" s="319"/>
      <c r="B200" s="319"/>
      <c r="C200" s="319"/>
      <c r="D200" s="320"/>
      <c r="E200" s="208"/>
    </row>
    <row r="201" spans="1:5" ht="19.5" customHeight="1">
      <c r="A201" s="319"/>
      <c r="B201" s="319"/>
      <c r="C201" s="319"/>
      <c r="D201" s="320"/>
      <c r="E201" s="208"/>
    </row>
    <row r="202" spans="1:5" ht="19.5" customHeight="1">
      <c r="A202" s="319"/>
      <c r="B202" s="319"/>
      <c r="C202" s="319"/>
      <c r="D202" s="320"/>
      <c r="E202" s="208"/>
    </row>
    <row r="203" spans="1:5" ht="19.5" customHeight="1">
      <c r="A203" s="319"/>
      <c r="B203" s="319"/>
      <c r="C203" s="319"/>
      <c r="D203" s="320"/>
      <c r="E203" s="208"/>
    </row>
    <row r="204" spans="1:5" ht="19.5" customHeight="1">
      <c r="A204" s="319"/>
      <c r="B204" s="319"/>
      <c r="C204" s="319"/>
      <c r="D204" s="320"/>
      <c r="E204" s="208"/>
    </row>
    <row r="205" spans="1:5" ht="19.5" customHeight="1">
      <c r="A205" s="319"/>
      <c r="B205" s="319"/>
      <c r="C205" s="319"/>
      <c r="D205" s="320"/>
      <c r="E205" s="208"/>
    </row>
    <row r="206" spans="1:5" ht="19.5" customHeight="1">
      <c r="A206" s="319"/>
      <c r="B206" s="319"/>
      <c r="C206" s="319"/>
      <c r="D206" s="320"/>
      <c r="E206" s="208"/>
    </row>
    <row r="207" spans="1:5" ht="19.5" customHeight="1">
      <c r="A207" s="319"/>
      <c r="B207" s="319"/>
      <c r="C207" s="319"/>
      <c r="D207" s="320"/>
      <c r="E207" s="208"/>
    </row>
    <row r="208" spans="1:5" ht="19.5" customHeight="1">
      <c r="A208" s="319"/>
      <c r="B208" s="319"/>
      <c r="C208" s="319"/>
      <c r="D208" s="320"/>
      <c r="E208" s="208"/>
    </row>
    <row r="209" spans="1:5" ht="19.5" customHeight="1">
      <c r="A209" s="319"/>
      <c r="B209" s="319"/>
      <c r="C209" s="319"/>
      <c r="D209" s="320"/>
      <c r="E209" s="208"/>
    </row>
    <row r="210" spans="1:5" ht="19.5" customHeight="1">
      <c r="A210" s="319"/>
      <c r="B210" s="319"/>
      <c r="C210" s="319"/>
      <c r="D210" s="320"/>
      <c r="E210" s="208"/>
    </row>
    <row r="211" spans="1:5" ht="19.5" customHeight="1">
      <c r="A211" s="319"/>
      <c r="B211" s="319"/>
      <c r="C211" s="319"/>
      <c r="D211" s="320"/>
      <c r="E211" s="208"/>
    </row>
    <row r="212" spans="1:5" ht="19.5" customHeight="1">
      <c r="A212" s="319"/>
      <c r="B212" s="319"/>
      <c r="C212" s="319"/>
      <c r="D212" s="320"/>
      <c r="E212" s="208"/>
    </row>
    <row r="213" spans="1:5" ht="19.5" customHeight="1">
      <c r="A213" s="319"/>
      <c r="B213" s="319"/>
      <c r="C213" s="319"/>
      <c r="D213" s="320"/>
      <c r="E213" s="208"/>
    </row>
    <row r="214" spans="1:5" ht="19.5" customHeight="1">
      <c r="A214" s="319"/>
      <c r="B214" s="319"/>
      <c r="C214" s="319"/>
      <c r="D214" s="320"/>
      <c r="E214" s="208"/>
    </row>
    <row r="215" spans="1:5" ht="19.5" customHeight="1">
      <c r="A215" s="319"/>
      <c r="B215" s="319"/>
      <c r="C215" s="319"/>
      <c r="D215" s="320"/>
      <c r="E215" s="208"/>
    </row>
    <row r="216" spans="1:5" ht="19.5" customHeight="1">
      <c r="A216" s="319"/>
      <c r="B216" s="319"/>
      <c r="C216" s="319"/>
      <c r="D216" s="320"/>
      <c r="E216" s="208"/>
    </row>
    <row r="217" spans="1:5" ht="19.5" customHeight="1">
      <c r="A217" s="319"/>
      <c r="B217" s="319"/>
      <c r="C217" s="319"/>
      <c r="D217" s="320"/>
      <c r="E217" s="208"/>
    </row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</sheetData>
  <sheetProtection password="CF93" sheet="1"/>
  <mergeCells count="5">
    <mergeCell ref="F1:G1"/>
    <mergeCell ref="A3:G3"/>
    <mergeCell ref="A7:D7"/>
    <mergeCell ref="A68:D68"/>
    <mergeCell ref="A47:D47"/>
  </mergeCells>
  <printOptions horizontalCentered="1"/>
  <pageMargins left="0.7874015748031497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I86"/>
  <sheetViews>
    <sheetView view="pageBreakPreview" zoomScaleSheetLayoutView="100" zoomScalePageLayoutView="0" workbookViewId="0" topLeftCell="A1">
      <pane ySplit="6" topLeftCell="A45" activePane="bottomLeft" state="frozen"/>
      <selection pane="topLeft" activeCell="A1" sqref="A1"/>
      <selection pane="bottomLeft" activeCell="I53" sqref="I53"/>
    </sheetView>
  </sheetViews>
  <sheetFormatPr defaultColWidth="9.00390625" defaultRowHeight="12.75"/>
  <cols>
    <col min="1" max="1" width="45.125" style="334" customWidth="1"/>
    <col min="2" max="2" width="13.125" style="334" customWidth="1"/>
    <col min="3" max="3" width="13.00390625" style="334" customWidth="1"/>
    <col min="4" max="4" width="7.125" style="334" customWidth="1"/>
    <col min="5" max="5" width="8.25390625" style="334" customWidth="1"/>
    <col min="6" max="6" width="9.125" style="397" customWidth="1"/>
    <col min="7" max="16384" width="9.125" style="334" customWidth="1"/>
  </cols>
  <sheetData>
    <row r="1" spans="1:6" ht="12.75">
      <c r="A1" s="333"/>
      <c r="B1" s="333"/>
      <c r="D1" s="1367" t="s">
        <v>331</v>
      </c>
      <c r="E1" s="1367"/>
      <c r="F1" s="334"/>
    </row>
    <row r="2" spans="1:6" ht="13.5" customHeight="1">
      <c r="A2" s="333"/>
      <c r="B2" s="333"/>
      <c r="F2" s="334"/>
    </row>
    <row r="3" spans="1:5" s="335" customFormat="1" ht="12.75">
      <c r="A3" s="1368" t="s">
        <v>1125</v>
      </c>
      <c r="B3" s="1368"/>
      <c r="C3" s="1368"/>
      <c r="D3" s="1368"/>
      <c r="E3" s="1368"/>
    </row>
    <row r="4" spans="4:5" s="335" customFormat="1" ht="13.5" thickBot="1">
      <c r="D4" s="336"/>
      <c r="E4" s="336" t="s">
        <v>818</v>
      </c>
    </row>
    <row r="5" spans="1:6" ht="26.25" customHeight="1">
      <c r="A5" s="337" t="s">
        <v>758</v>
      </c>
      <c r="B5" s="338" t="s">
        <v>821</v>
      </c>
      <c r="C5" s="339" t="s">
        <v>822</v>
      </c>
      <c r="D5" s="340" t="s">
        <v>656</v>
      </c>
      <c r="E5" s="341" t="s">
        <v>1085</v>
      </c>
      <c r="F5" s="334"/>
    </row>
    <row r="6" spans="1:5" s="347" customFormat="1" ht="12.75" customHeight="1" thickBot="1">
      <c r="A6" s="342">
        <v>1</v>
      </c>
      <c r="B6" s="343">
        <v>2</v>
      </c>
      <c r="C6" s="344">
        <v>3</v>
      </c>
      <c r="D6" s="345">
        <v>4</v>
      </c>
      <c r="E6" s="346">
        <v>5</v>
      </c>
    </row>
    <row r="7" spans="1:5" s="347" customFormat="1" ht="8.25" customHeight="1">
      <c r="A7" s="348"/>
      <c r="B7" s="349"/>
      <c r="C7" s="350"/>
      <c r="D7" s="350"/>
      <c r="E7" s="351"/>
    </row>
    <row r="8" spans="1:6" ht="12.75">
      <c r="A8" s="352" t="s">
        <v>473</v>
      </c>
      <c r="B8" s="353">
        <f>SUM(B10,B20,B33,B37,B39,B41,B43,B45)</f>
        <v>131839148</v>
      </c>
      <c r="C8" s="353">
        <f>SUM(C10,C20,C33,C37,C39,C41,C43,C45)</f>
        <v>53806036.88999999</v>
      </c>
      <c r="D8" s="354">
        <f>C8/B8*100</f>
        <v>40.811881528542635</v>
      </c>
      <c r="E8" s="355">
        <f>C8/$C$83*100</f>
        <v>56.334023956032595</v>
      </c>
      <c r="F8" s="334"/>
    </row>
    <row r="9" spans="1:6" ht="6.75" customHeight="1">
      <c r="A9" s="356"/>
      <c r="B9" s="357"/>
      <c r="C9" s="357"/>
      <c r="D9" s="358"/>
      <c r="E9" s="359"/>
      <c r="F9" s="334"/>
    </row>
    <row r="10" spans="1:6" ht="12.75">
      <c r="A10" s="356" t="s">
        <v>474</v>
      </c>
      <c r="B10" s="357">
        <f>SUM(B11:B18)</f>
        <v>26427800</v>
      </c>
      <c r="C10" s="357">
        <f>SUM(C11:C18)</f>
        <v>12605583.729999999</v>
      </c>
      <c r="D10" s="358">
        <f aca="true" t="shared" si="0" ref="D10:D17">C10/B10*100</f>
        <v>47.6981955743573</v>
      </c>
      <c r="E10" s="359">
        <f aca="true" t="shared" si="1" ref="E10:E17">C10/$C$83*100</f>
        <v>13.197836095554793</v>
      </c>
      <c r="F10" s="334"/>
    </row>
    <row r="11" spans="1:6" ht="12.75">
      <c r="A11" s="360" t="s">
        <v>765</v>
      </c>
      <c r="B11" s="361">
        <f>SUM(6D!E122+6D!E131)</f>
        <v>23000000</v>
      </c>
      <c r="C11" s="361">
        <f>SUM(6D!F122+6D!F131)</f>
        <v>11317040.24</v>
      </c>
      <c r="D11" s="362">
        <f t="shared" si="0"/>
        <v>49.20452278260869</v>
      </c>
      <c r="E11" s="363">
        <f t="shared" si="1"/>
        <v>11.84875253486719</v>
      </c>
      <c r="F11" s="334"/>
    </row>
    <row r="12" spans="1:6" ht="12.75">
      <c r="A12" s="360" t="s">
        <v>766</v>
      </c>
      <c r="B12" s="361">
        <f>SUM(6D!E123,6D!E132)</f>
        <v>47200</v>
      </c>
      <c r="C12" s="361">
        <f>SUM(6D!F123,6D!F132)</f>
        <v>19380.63</v>
      </c>
      <c r="D12" s="362">
        <f t="shared" si="0"/>
        <v>41.06065677966102</v>
      </c>
      <c r="E12" s="363">
        <f t="shared" si="1"/>
        <v>0.020291196635333613</v>
      </c>
      <c r="F12" s="334"/>
    </row>
    <row r="13" spans="1:6" ht="12.75">
      <c r="A13" s="360" t="s">
        <v>767</v>
      </c>
      <c r="B13" s="361">
        <f>SUM(6D!E124,6D!E133)</f>
        <v>60600</v>
      </c>
      <c r="C13" s="361">
        <f>SUM(6D!F124,6D!F133)</f>
        <v>28310.2</v>
      </c>
      <c r="D13" s="362">
        <f t="shared" si="0"/>
        <v>46.716501650165014</v>
      </c>
      <c r="E13" s="363">
        <f t="shared" si="1"/>
        <v>0.02964030761567718</v>
      </c>
      <c r="F13" s="334"/>
    </row>
    <row r="14" spans="1:6" ht="12.75">
      <c r="A14" s="360" t="s">
        <v>768</v>
      </c>
      <c r="B14" s="361">
        <f>SUM(6D!E125,6D!E134)</f>
        <v>270000</v>
      </c>
      <c r="C14" s="361">
        <f>SUM(6D!F125,6D!F134)</f>
        <v>138483.03</v>
      </c>
      <c r="D14" s="362">
        <f t="shared" si="0"/>
        <v>51.29001111111111</v>
      </c>
      <c r="E14" s="363">
        <f t="shared" si="1"/>
        <v>0.14498942461554676</v>
      </c>
      <c r="F14" s="334"/>
    </row>
    <row r="15" spans="1:6" ht="25.5" customHeight="1">
      <c r="A15" s="364" t="s">
        <v>1280</v>
      </c>
      <c r="B15" s="365">
        <f>SUM(6D!E119)</f>
        <v>450000</v>
      </c>
      <c r="C15" s="365">
        <f>SUM(6D!F119)</f>
        <v>79717.25</v>
      </c>
      <c r="D15" s="362">
        <f t="shared" si="0"/>
        <v>17.714944444444445</v>
      </c>
      <c r="E15" s="363">
        <f t="shared" si="1"/>
        <v>0.08346263227655903</v>
      </c>
      <c r="F15" s="334"/>
    </row>
    <row r="16" spans="1:6" ht="12.75">
      <c r="A16" s="360" t="s">
        <v>769</v>
      </c>
      <c r="B16" s="361">
        <f>SUM(6D!E135)</f>
        <v>220000</v>
      </c>
      <c r="C16" s="361">
        <f>SUM(6D!F135)</f>
        <v>107258.61</v>
      </c>
      <c r="D16" s="362">
        <f t="shared" si="0"/>
        <v>48.75391363636364</v>
      </c>
      <c r="E16" s="363">
        <f t="shared" si="1"/>
        <v>0.11229797722481467</v>
      </c>
      <c r="F16" s="334"/>
    </row>
    <row r="17" spans="1:6" ht="12.75">
      <c r="A17" s="360" t="s">
        <v>770</v>
      </c>
      <c r="B17" s="361">
        <f>SUM(6D!E126,6D!E139)</f>
        <v>2380000</v>
      </c>
      <c r="C17" s="361">
        <f>SUM(6D!F126,6D!F139)</f>
        <v>915411.77</v>
      </c>
      <c r="D17" s="362">
        <f t="shared" si="0"/>
        <v>38.462679411764704</v>
      </c>
      <c r="E17" s="363">
        <f t="shared" si="1"/>
        <v>0.9584208680197076</v>
      </c>
      <c r="F17" s="334"/>
    </row>
    <row r="18" spans="1:6" ht="12.75">
      <c r="A18" s="360" t="s">
        <v>141</v>
      </c>
      <c r="B18" s="361">
        <f>SUM(6D!E127,6D!E140)</f>
        <v>0</v>
      </c>
      <c r="C18" s="361">
        <f>SUM(6D!F127,6D!F140)</f>
        <v>-18</v>
      </c>
      <c r="D18" s="366" t="s">
        <v>1142</v>
      </c>
      <c r="E18" s="363">
        <f>C18/$C$83*100</f>
        <v>-1.8845700033280912E-05</v>
      </c>
      <c r="F18" s="334"/>
    </row>
    <row r="19" spans="1:6" ht="6" customHeight="1">
      <c r="A19" s="356"/>
      <c r="B19" s="357"/>
      <c r="C19" s="357"/>
      <c r="D19" s="358"/>
      <c r="E19" s="359"/>
      <c r="F19" s="334"/>
    </row>
    <row r="20" spans="1:6" ht="12.75">
      <c r="A20" s="356" t="s">
        <v>759</v>
      </c>
      <c r="B20" s="357">
        <f>SUM(B21:B31)</f>
        <v>16534340</v>
      </c>
      <c r="C20" s="357">
        <f>SUM(C21:C31)</f>
        <v>11978106.719999999</v>
      </c>
      <c r="D20" s="358">
        <f aca="true" t="shared" si="2" ref="D20:D31">C20/B20*100</f>
        <v>72.44381523544332</v>
      </c>
      <c r="E20" s="359">
        <f aca="true" t="shared" si="3" ref="E20:E31">C20/$C$83*100</f>
        <v>12.540878122874794</v>
      </c>
      <c r="F20" s="334"/>
    </row>
    <row r="21" spans="1:6" ht="12.75">
      <c r="A21" s="360" t="s">
        <v>657</v>
      </c>
      <c r="B21" s="361">
        <f>SUM(6D!E275)</f>
        <v>12000</v>
      </c>
      <c r="C21" s="361">
        <f>SUM(6D!F275)</f>
        <v>0</v>
      </c>
      <c r="D21" s="362">
        <f t="shared" si="2"/>
        <v>0</v>
      </c>
      <c r="E21" s="363">
        <f t="shared" si="3"/>
        <v>0</v>
      </c>
      <c r="F21" s="334"/>
    </row>
    <row r="22" spans="1:6" ht="12.75">
      <c r="A22" s="360" t="s">
        <v>771</v>
      </c>
      <c r="B22" s="361">
        <f>SUM(6D!E144)</f>
        <v>500000</v>
      </c>
      <c r="C22" s="361">
        <f>SUM(6D!F144)</f>
        <v>255927.72</v>
      </c>
      <c r="D22" s="362">
        <f t="shared" si="2"/>
        <v>51.18554400000001</v>
      </c>
      <c r="E22" s="363">
        <f t="shared" si="3"/>
        <v>0.26795205785119486</v>
      </c>
      <c r="F22" s="334"/>
    </row>
    <row r="23" spans="1:6" ht="12.75">
      <c r="A23" s="360" t="s">
        <v>772</v>
      </c>
      <c r="B23" s="361">
        <f>SUM(6D!E352)</f>
        <v>796740</v>
      </c>
      <c r="C23" s="361">
        <f>SUM(6D!F352)</f>
        <v>321910.3</v>
      </c>
      <c r="D23" s="362">
        <f t="shared" si="2"/>
        <v>40.40343148329442</v>
      </c>
      <c r="E23" s="363">
        <f t="shared" si="3"/>
        <v>0.337034719523526</v>
      </c>
      <c r="F23" s="334"/>
    </row>
    <row r="24" spans="1:6" ht="12.75">
      <c r="A24" s="360" t="s">
        <v>357</v>
      </c>
      <c r="B24" s="361">
        <f>SUM(6D!E136)</f>
        <v>185000</v>
      </c>
      <c r="C24" s="361">
        <f>SUM(6D!F136)</f>
        <v>50976</v>
      </c>
      <c r="D24" s="362">
        <f t="shared" si="2"/>
        <v>27.554594594594594</v>
      </c>
      <c r="E24" s="363">
        <f t="shared" si="3"/>
        <v>0.05337102249425154</v>
      </c>
      <c r="F24" s="334"/>
    </row>
    <row r="25" spans="1:6" ht="12.75">
      <c r="A25" s="360" t="s">
        <v>751</v>
      </c>
      <c r="B25" s="361">
        <f>SUM(6D!E137)</f>
        <v>3500000</v>
      </c>
      <c r="C25" s="361">
        <f>SUM(6D!F137)</f>
        <v>1085620.63</v>
      </c>
      <c r="D25" s="362">
        <f t="shared" si="2"/>
        <v>31.017732285714285</v>
      </c>
      <c r="E25" s="363">
        <f t="shared" si="3"/>
        <v>1.13662670794008</v>
      </c>
      <c r="F25" s="334"/>
    </row>
    <row r="26" spans="1:6" ht="12.75">
      <c r="A26" s="360" t="s">
        <v>298</v>
      </c>
      <c r="B26" s="361">
        <f>SUM(6D!E138)</f>
        <v>500000</v>
      </c>
      <c r="C26" s="361">
        <f>SUM(6D!F138)</f>
        <v>259855</v>
      </c>
      <c r="D26" s="362">
        <f t="shared" si="2"/>
        <v>51.971000000000004</v>
      </c>
      <c r="E26" s="363">
        <f t="shared" si="3"/>
        <v>0.2720638545637895</v>
      </c>
      <c r="F26" s="334"/>
    </row>
    <row r="27" spans="1:6" ht="12.75">
      <c r="A27" s="360" t="s">
        <v>779</v>
      </c>
      <c r="B27" s="361">
        <f>SUM(6D!E145)</f>
        <v>5000</v>
      </c>
      <c r="C27" s="361">
        <f>SUM(6D!F145)</f>
        <v>4839</v>
      </c>
      <c r="D27" s="362">
        <f t="shared" si="2"/>
        <v>96.78</v>
      </c>
      <c r="E27" s="363">
        <f t="shared" si="3"/>
        <v>0.0050663523589470185</v>
      </c>
      <c r="F27" s="334"/>
    </row>
    <row r="28" spans="1:6" ht="12.75">
      <c r="A28" s="360" t="s">
        <v>781</v>
      </c>
      <c r="B28" s="361">
        <f>SUM(6D!E146)</f>
        <v>1400000</v>
      </c>
      <c r="C28" s="361">
        <f>SUM(6D!F146)</f>
        <v>1147906.56</v>
      </c>
      <c r="D28" s="362">
        <f t="shared" si="2"/>
        <v>81.99332571428572</v>
      </c>
      <c r="E28" s="363">
        <f t="shared" si="3"/>
        <v>1.20183903866641</v>
      </c>
      <c r="F28" s="334"/>
    </row>
    <row r="29" spans="1:6" ht="12.75">
      <c r="A29" s="360" t="s">
        <v>1146</v>
      </c>
      <c r="B29" s="361">
        <f>SUM(6D!E147)</f>
        <v>50000</v>
      </c>
      <c r="C29" s="361">
        <f>SUM(6D!F147)</f>
        <v>4922.56</v>
      </c>
      <c r="D29" s="362">
        <f t="shared" si="2"/>
        <v>9.84512</v>
      </c>
      <c r="E29" s="363">
        <f t="shared" si="3"/>
        <v>0.00515383828643485</v>
      </c>
      <c r="F29" s="334"/>
    </row>
    <row r="30" spans="1:6" ht="12.75">
      <c r="A30" s="360" t="s">
        <v>782</v>
      </c>
      <c r="B30" s="361">
        <f>SUM(6D!E148)</f>
        <v>15000</v>
      </c>
      <c r="C30" s="361">
        <f>SUM(6D!F148)</f>
        <v>7756.48</v>
      </c>
      <c r="D30" s="362">
        <f t="shared" si="2"/>
        <v>51.709866666666656</v>
      </c>
      <c r="E30" s="363">
        <f t="shared" si="3"/>
        <v>0.008120905299674595</v>
      </c>
      <c r="F30" s="334"/>
    </row>
    <row r="31" spans="1:6" ht="25.5">
      <c r="A31" s="364" t="s">
        <v>1029</v>
      </c>
      <c r="B31" s="361">
        <f>SUM(6D!E13,6D!E31,6D!E149,6D!E162,6D!E176,6D!E180,6D!E339,6D!E353,6D!E82,6D!E129)</f>
        <v>9570600</v>
      </c>
      <c r="C31" s="361">
        <f>SUM(6D!F13,6D!F31,6D!F149,6D!F162,6D!F176,6D!F180,6D!F339,6D!F353,6D!F82,6D!F129)</f>
        <v>8838392.469999999</v>
      </c>
      <c r="D31" s="362">
        <f t="shared" si="2"/>
        <v>92.34940829206109</v>
      </c>
      <c r="E31" s="363">
        <f t="shared" si="3"/>
        <v>9.253649625890485</v>
      </c>
      <c r="F31" s="334"/>
    </row>
    <row r="32" spans="1:6" ht="4.5" customHeight="1">
      <c r="A32" s="356"/>
      <c r="B32" s="357"/>
      <c r="C32" s="357"/>
      <c r="D32" s="358"/>
      <c r="E32" s="359"/>
      <c r="F32" s="334"/>
    </row>
    <row r="33" spans="1:6" ht="25.5">
      <c r="A33" s="367" t="s">
        <v>1349</v>
      </c>
      <c r="B33" s="357">
        <f>B34+B35</f>
        <v>29494813</v>
      </c>
      <c r="C33" s="357">
        <f>C34+C35</f>
        <v>11809145.42</v>
      </c>
      <c r="D33" s="358">
        <f>C33/B33*100</f>
        <v>40.0380413328947</v>
      </c>
      <c r="E33" s="359">
        <f>C33/$C$83*100</f>
        <v>12.363978457484063</v>
      </c>
      <c r="F33" s="334"/>
    </row>
    <row r="34" spans="1:6" ht="12.75">
      <c r="A34" s="360" t="s">
        <v>783</v>
      </c>
      <c r="B34" s="361">
        <f>SUM(6D!E153,6D!E355)</f>
        <v>28194813</v>
      </c>
      <c r="C34" s="361">
        <f>SUM(6D!F153,6D!F355)</f>
        <v>11375046</v>
      </c>
      <c r="D34" s="362">
        <f>C34/B34*100</f>
        <v>40.34446335927108</v>
      </c>
      <c r="E34" s="363">
        <f>C34/$C$83*100</f>
        <v>11.909483598931772</v>
      </c>
      <c r="F34" s="334"/>
    </row>
    <row r="35" spans="1:6" ht="12.75">
      <c r="A35" s="360" t="s">
        <v>784</v>
      </c>
      <c r="B35" s="361">
        <f>SUM(6D!E154,6D!E356)</f>
        <v>1300000</v>
      </c>
      <c r="C35" s="361">
        <f>SUM(6D!F154,6D!F356)</f>
        <v>434099.42</v>
      </c>
      <c r="D35" s="362">
        <f>C35/B35*100</f>
        <v>33.39226307692307</v>
      </c>
      <c r="E35" s="363">
        <f>C35/$C$83*100</f>
        <v>0.4544948585522902</v>
      </c>
      <c r="F35" s="334"/>
    </row>
    <row r="36" spans="1:6" ht="3" customHeight="1">
      <c r="A36" s="356"/>
      <c r="B36" s="357"/>
      <c r="C36" s="357"/>
      <c r="D36" s="362"/>
      <c r="E36" s="359"/>
      <c r="F36" s="334"/>
    </row>
    <row r="37" spans="1:6" ht="25.5" hidden="1">
      <c r="A37" s="367" t="s">
        <v>190</v>
      </c>
      <c r="B37" s="368">
        <f>SUM(6D!E53,6D!E21,6D!E263)</f>
        <v>0</v>
      </c>
      <c r="C37" s="368">
        <f>SUM(6D!F53,6D!F21,6D!F263)</f>
        <v>0</v>
      </c>
      <c r="D37" s="369" t="e">
        <f>C37/B37*100</f>
        <v>#DIV/0!</v>
      </c>
      <c r="E37" s="359">
        <f>C37/$C$83*100</f>
        <v>0</v>
      </c>
      <c r="F37" s="334"/>
    </row>
    <row r="38" spans="1:6" ht="3" customHeight="1">
      <c r="A38" s="356"/>
      <c r="B38" s="357"/>
      <c r="C38" s="357"/>
      <c r="D38" s="358"/>
      <c r="E38" s="359"/>
      <c r="F38" s="334"/>
    </row>
    <row r="39" spans="1:6" ht="12.75">
      <c r="A39" s="356" t="s">
        <v>256</v>
      </c>
      <c r="B39" s="357">
        <f>SUM(6D!E14,6D!E26,6D!E32,6D!E40,6D!E56,6D!E59,6D!E60,6D!E61,6D!E83,6D!E85,6D!E163,6D!E261,6D!E277,6D!E278,6D!E340)</f>
        <v>36693628</v>
      </c>
      <c r="C39" s="357">
        <f>SUM(6D!F14,6D!F26,6D!F32,6D!F40,6D!F56,6D!F59,6D!F60,6D!F61,6D!F83,6D!F85,6D!F163,6D!F261,6D!F277,6D!F278,6D!F340)</f>
        <v>5955175.839999999</v>
      </c>
      <c r="D39" s="358">
        <f>C39/B39*100</f>
        <v>16.229454988751723</v>
      </c>
      <c r="E39" s="359">
        <f>C39/$C$83*100</f>
        <v>6.234969862560092</v>
      </c>
      <c r="F39" s="334"/>
    </row>
    <row r="40" spans="1:6" ht="3" customHeight="1">
      <c r="A40" s="356"/>
      <c r="B40" s="357"/>
      <c r="C40" s="357"/>
      <c r="D40" s="358"/>
      <c r="E40" s="359"/>
      <c r="F40" s="334"/>
    </row>
    <row r="41" spans="1:6" ht="25.5" customHeight="1">
      <c r="A41" s="367" t="s">
        <v>257</v>
      </c>
      <c r="B41" s="368">
        <f>SUM(6D!E164,6D!E250)</f>
        <v>300000</v>
      </c>
      <c r="C41" s="368">
        <f>SUM(6D!F164,6D!F250)</f>
        <v>486900.63</v>
      </c>
      <c r="D41" s="358">
        <f>C41/B41*100</f>
        <v>162.30021000000002</v>
      </c>
      <c r="E41" s="359">
        <f>C41/$C$83*100</f>
        <v>0.5097768454997498</v>
      </c>
      <c r="F41" s="334"/>
    </row>
    <row r="42" spans="1:6" ht="1.5" customHeight="1">
      <c r="A42" s="356" t="s">
        <v>761</v>
      </c>
      <c r="B42" s="357"/>
      <c r="C42" s="357"/>
      <c r="D42" s="358"/>
      <c r="E42" s="359"/>
      <c r="F42" s="334"/>
    </row>
    <row r="43" spans="1:6" ht="25.5" customHeight="1">
      <c r="A43" s="367" t="s">
        <v>258</v>
      </c>
      <c r="B43" s="368">
        <f>SUM(6D!E15,6D!E27,6D!E33,6D!E41,6D!E62,6D!E86,6D!E120,6D!E128,6D!E141,6D!E142,6D!E150,6D!E151,6D!E194,6D!E215,6D!E235,6D!E240,6D!E279,6D!E315,6D!E341)</f>
        <v>255509</v>
      </c>
      <c r="C43" s="368">
        <f>SUM(6D!F15,6D!F27,6D!F33,6D!F41,6D!F62,6D!F86,6D!F120,6D!F128,6D!F141,6D!F142,6D!F150,6D!F151,6D!F194,6D!F215,6D!F235,6D!F240,6D!F279,6D!F315,6D!F341)</f>
        <v>29806.44</v>
      </c>
      <c r="D43" s="358">
        <f>C43/B43*100</f>
        <v>11.665514717681177</v>
      </c>
      <c r="E43" s="359">
        <f>C43/$C$83*100</f>
        <v>0.0312068459611103</v>
      </c>
      <c r="F43" s="334"/>
    </row>
    <row r="44" spans="1:6" ht="2.25" customHeight="1">
      <c r="A44" s="356"/>
      <c r="B44" s="357"/>
      <c r="C44" s="357"/>
      <c r="D44" s="358"/>
      <c r="E44" s="359"/>
      <c r="F44" s="334"/>
    </row>
    <row r="45" spans="1:6" ht="18" customHeight="1">
      <c r="A45" s="367" t="s">
        <v>259</v>
      </c>
      <c r="B45" s="368">
        <f>SUM(B46,B47,B48,B49,B50,B51,B52,B53,B54,B55)</f>
        <v>22133058</v>
      </c>
      <c r="C45" s="368">
        <f>SUM(C46,C47,C48,C49,C50,C51,C52,C53,C54,C55)</f>
        <v>10941318.11</v>
      </c>
      <c r="D45" s="358">
        <f aca="true" t="shared" si="4" ref="D45:D55">C45/B45*100</f>
        <v>49.43428111018369</v>
      </c>
      <c r="E45" s="359">
        <f aca="true" t="shared" si="5" ref="E45:E55">C45/$C$83*100</f>
        <v>11.455377726098002</v>
      </c>
      <c r="F45" s="334"/>
    </row>
    <row r="46" spans="1:6" ht="14.25" customHeight="1">
      <c r="A46" s="364" t="s">
        <v>16</v>
      </c>
      <c r="B46" s="365">
        <f>SUM(6D!E24,6D!E25,6D!E30,6D!E46,6D!E57,6D!E58,6D!E67,6D!E72,6D!E74,6D!E76,6D!E112,6D!E161,6D!E172,6D!E175,6D!E204,6D!E243,6D!E266,6D!E286,6D!E287,6D!E292,6D!E293,6D!E309,6D!E313,6D!E314,6D!E331)</f>
        <v>330000</v>
      </c>
      <c r="C46" s="365">
        <f>SUM(6D!F24,6D!F25,6D!F30,6D!F46,6D!F57,6D!F58,6D!F67,6D!F72,6D!F74,6D!F76,6D!F112,6D!F161,6D!F172,6D!F175,6D!F204,6D!F243,6D!F266,6D!F286,6D!F287,6D!F292,6D!F293,6D!F309,6D!F313,6D!F314,6D!F331)</f>
        <v>165528.90999999997</v>
      </c>
      <c r="D46" s="362">
        <f t="shared" si="4"/>
        <v>50.16027575757575</v>
      </c>
      <c r="E46" s="363">
        <f t="shared" si="5"/>
        <v>0.17330601026088624</v>
      </c>
      <c r="F46" s="334"/>
    </row>
    <row r="47" spans="1:6" ht="14.25" customHeight="1">
      <c r="A47" s="360" t="s">
        <v>786</v>
      </c>
      <c r="B47" s="365">
        <f>SUM(6D!E77,6D!E84,6D!E239,6D!E209)</f>
        <v>304600</v>
      </c>
      <c r="C47" s="365">
        <f>SUM(6D!F77,6D!F84,6D!F239,6D!F209)</f>
        <v>168534.41</v>
      </c>
      <c r="D47" s="362">
        <f t="shared" si="4"/>
        <v>55.32974720945503</v>
      </c>
      <c r="E47" s="363">
        <f t="shared" si="5"/>
        <v>0.1764527186747766</v>
      </c>
      <c r="F47" s="334"/>
    </row>
    <row r="48" spans="1:5" s="370" customFormat="1" ht="14.25" customHeight="1">
      <c r="A48" s="360" t="s">
        <v>1079</v>
      </c>
      <c r="B48" s="362">
        <f>SUM(6D!E88,6D!E342)</f>
        <v>658400</v>
      </c>
      <c r="C48" s="362">
        <f>SUM(6D!F88,6D!F342)</f>
        <v>795845.76</v>
      </c>
      <c r="D48" s="362">
        <f t="shared" si="4"/>
        <v>120.87572296476306</v>
      </c>
      <c r="E48" s="363">
        <f t="shared" si="5"/>
        <v>0.8332372480954707</v>
      </c>
    </row>
    <row r="49" spans="1:5" s="370" customFormat="1" ht="14.25" customHeight="1">
      <c r="A49" s="360" t="s">
        <v>972</v>
      </c>
      <c r="B49" s="362">
        <f>SUM(6D!E402)</f>
        <v>128400</v>
      </c>
      <c r="C49" s="362">
        <f>SUM(6D!F402)</f>
        <v>64000</v>
      </c>
      <c r="D49" s="362">
        <f t="shared" si="4"/>
        <v>49.84423676012461</v>
      </c>
      <c r="E49" s="363">
        <f t="shared" si="5"/>
        <v>0.06700693345166546</v>
      </c>
    </row>
    <row r="50" spans="1:6" ht="13.5" customHeight="1">
      <c r="A50" s="360" t="s">
        <v>789</v>
      </c>
      <c r="B50" s="361">
        <f>SUM(6D!E34,6D!E36,6D!E43,6D!E48,6D!E69,6D!E98,6D!E99,6D!E116,6D!E178,6D!E186,6D!E246,6D!E268,6D!E310,6D!E317,6D!E318)</f>
        <v>8320520</v>
      </c>
      <c r="C50" s="361">
        <f>SUM(6D!F34,6D!F36,6D!F43,6D!F48,6D!F69,6D!F98,6D!F99,6D!F116,6D!F178,6D!F186,6D!F246,6D!F268,6D!F310,6D!F317,6D!F318)</f>
        <v>285365.65</v>
      </c>
      <c r="D50" s="362">
        <f t="shared" si="4"/>
        <v>3.4296612471335925</v>
      </c>
      <c r="E50" s="363">
        <f t="shared" si="5"/>
        <v>0.2987730799834572</v>
      </c>
      <c r="F50" s="334"/>
    </row>
    <row r="51" spans="1:6" ht="13.5" customHeight="1">
      <c r="A51" s="360" t="s">
        <v>627</v>
      </c>
      <c r="B51" s="371">
        <f>6D!E302+6D!E296+6D!E91</f>
        <v>0</v>
      </c>
      <c r="C51" s="371">
        <f>6D!F302+6D!F296+6D!F91</f>
        <v>130000</v>
      </c>
      <c r="D51" s="366" t="s">
        <v>1142</v>
      </c>
      <c r="E51" s="363">
        <f>C51/$C$83*100</f>
        <v>0.13610783357369546</v>
      </c>
      <c r="F51" s="334"/>
    </row>
    <row r="52" spans="1:6" ht="13.5" customHeight="1" hidden="1">
      <c r="A52" s="360" t="s">
        <v>1094</v>
      </c>
      <c r="B52" s="361">
        <f>6D!E295+6D!E264+6D!E267</f>
        <v>0</v>
      </c>
      <c r="C52" s="361">
        <f>6D!F295+6D!F264+6D!F267</f>
        <v>0</v>
      </c>
      <c r="D52" s="366" t="s">
        <v>1142</v>
      </c>
      <c r="E52" s="363">
        <f>C52/$C$83*100</f>
        <v>0</v>
      </c>
      <c r="F52" s="334"/>
    </row>
    <row r="53" spans="1:6" ht="13.5" customHeight="1">
      <c r="A53" s="360" t="s">
        <v>360</v>
      </c>
      <c r="B53" s="361">
        <f>6D!E217</f>
        <v>26931</v>
      </c>
      <c r="C53" s="361">
        <f>6D!F217</f>
        <v>4905.53</v>
      </c>
      <c r="D53" s="362">
        <f t="shared" si="4"/>
        <v>18.215179532880324</v>
      </c>
      <c r="E53" s="363">
        <f t="shared" si="5"/>
        <v>0.005136008160236695</v>
      </c>
      <c r="F53" s="334"/>
    </row>
    <row r="54" spans="1:6" ht="13.5" customHeight="1">
      <c r="A54" s="360" t="s">
        <v>693</v>
      </c>
      <c r="B54" s="361">
        <f>SUM(6D!E54,6D!E173,6D!E190,6D!E196,6D!E219,6D!E224,6D!E229,6D!E255,6D!E284,6D!E300,6D!E379)</f>
        <v>54000</v>
      </c>
      <c r="C54" s="361">
        <f>SUM(6D!F54,6D!F173,6D!F190,6D!F196,6D!F219,6D!F224,6D!F229,6D!F255,6D!F284,6D!F300,6D!F379)</f>
        <v>30853.75</v>
      </c>
      <c r="D54" s="362">
        <f t="shared" si="4"/>
        <v>57.136574074074076</v>
      </c>
      <c r="E54" s="363">
        <f t="shared" si="5"/>
        <v>0.03230336207788005</v>
      </c>
      <c r="F54" s="334"/>
    </row>
    <row r="55" spans="1:6" ht="13.5" customHeight="1">
      <c r="A55" s="360" t="s">
        <v>973</v>
      </c>
      <c r="B55" s="361">
        <f>SUM(6D!E18,6D!E28,6D!E42,6D!E47,6D!E63,6D!E68,6D!E90,6D!E93,6D!E108,6D!E114,6D!E87,6D!E165,6D!E177,6D!E181,6D!E192,6D!E195,6D!E198,6D!E205,6D!E207,6D!E210,6D!E213,6D!E216,6D!E221,6D!E226,6D!E231,6D!E236,6D!E249)+6D!E262+6D!E271+6D!E273+6D!E280+6D!E283+6D!E289+6D!E294+6D!E299+6D!E316+6D!E382+6D!E386+6D!E400+6D!E426+6D!E428</f>
        <v>12310207</v>
      </c>
      <c r="C55" s="361">
        <f>SUM(6D!F18,6D!F28,6D!F42,6D!F47,6D!F63,6D!F68,6D!F90,6D!F93,6D!F108,6D!F114,6D!F87,6D!F165,6D!F177,6D!F181,6D!F192,6D!F195,6D!F198,6D!F205,6D!F207,6D!F210,6D!F213,6D!F216,6D!F221,6D!F226,6D!F231,6D!F236,6D!F249)+6D!F262+6D!F271+6D!F273+6D!F280+6D!F283+6D!F289+6D!F294+6D!F299+6D!F316+6D!F382+6D!F386+6D!F400+6D!F426+6D!F428</f>
        <v>9296284.1</v>
      </c>
      <c r="D55" s="362">
        <f t="shared" si="4"/>
        <v>75.51687879822005</v>
      </c>
      <c r="E55" s="363">
        <f t="shared" si="5"/>
        <v>9.733054531819933</v>
      </c>
      <c r="F55" s="334"/>
    </row>
    <row r="56" spans="1:5" s="374" customFormat="1" ht="18" customHeight="1">
      <c r="A56" s="372"/>
      <c r="B56" s="373"/>
      <c r="C56" s="373"/>
      <c r="D56" s="362"/>
      <c r="E56" s="363"/>
    </row>
    <row r="57" spans="1:5" s="335" customFormat="1" ht="12.75">
      <c r="A57" s="375" t="s">
        <v>764</v>
      </c>
      <c r="B57" s="353">
        <f>SUM(B58,B59,B63,B64)</f>
        <v>57289605</v>
      </c>
      <c r="C57" s="353">
        <f>SUM(C58,C59,C63,C64)</f>
        <v>32266138</v>
      </c>
      <c r="D57" s="354">
        <f aca="true" t="shared" si="6" ref="D57:D64">C57/B57*100</f>
        <v>56.321103976890754</v>
      </c>
      <c r="E57" s="355">
        <f aca="true" t="shared" si="7" ref="E57:E64">C57/$C$83*100</f>
        <v>33.78210877669147</v>
      </c>
    </row>
    <row r="58" spans="1:6" ht="12.75">
      <c r="A58" s="376" t="s">
        <v>790</v>
      </c>
      <c r="B58" s="357">
        <f>SUM(6D!E157,6D!E359)</f>
        <v>31384914</v>
      </c>
      <c r="C58" s="357">
        <f>SUM(6D!F157,6D!F359)</f>
        <v>19313792</v>
      </c>
      <c r="D58" s="358">
        <f t="shared" si="6"/>
        <v>61.538457616930216</v>
      </c>
      <c r="E58" s="359">
        <f t="shared" si="7"/>
        <v>20.2212183631767</v>
      </c>
      <c r="F58" s="334"/>
    </row>
    <row r="59" spans="1:6" ht="12.75">
      <c r="A59" s="376" t="s">
        <v>791</v>
      </c>
      <c r="B59" s="357">
        <f>SUM(B60,B61,B62)</f>
        <v>22000000</v>
      </c>
      <c r="C59" s="357">
        <f>SUM(C60,C61,C62)</f>
        <v>11000000</v>
      </c>
      <c r="D59" s="358">
        <f t="shared" si="6"/>
        <v>50</v>
      </c>
      <c r="E59" s="359">
        <f t="shared" si="7"/>
        <v>11.516816687005003</v>
      </c>
      <c r="F59" s="334"/>
    </row>
    <row r="60" spans="1:5" s="379" customFormat="1" ht="15" customHeight="1">
      <c r="A60" s="377" t="s">
        <v>624</v>
      </c>
      <c r="B60" s="378">
        <f>SUM(6D!E361)</f>
        <v>22000000</v>
      </c>
      <c r="C60" s="378">
        <f>SUM(6D!F361)</f>
        <v>11000000</v>
      </c>
      <c r="D60" s="362">
        <f t="shared" si="6"/>
        <v>50</v>
      </c>
      <c r="E60" s="363">
        <f t="shared" si="7"/>
        <v>11.516816687005003</v>
      </c>
    </row>
    <row r="61" spans="1:5" s="379" customFormat="1" ht="15" customHeight="1" hidden="1">
      <c r="A61" s="377" t="s">
        <v>225</v>
      </c>
      <c r="B61" s="378">
        <f>SUM(6D!E159)</f>
        <v>0</v>
      </c>
      <c r="C61" s="378">
        <f>SUM(6D!F159)</f>
        <v>0</v>
      </c>
      <c r="D61" s="362" t="e">
        <f t="shared" si="6"/>
        <v>#DIV/0!</v>
      </c>
      <c r="E61" s="363">
        <f t="shared" si="7"/>
        <v>0</v>
      </c>
    </row>
    <row r="62" spans="1:5" s="379" customFormat="1" ht="15" customHeight="1" hidden="1">
      <c r="A62" s="377" t="s">
        <v>625</v>
      </c>
      <c r="B62" s="378">
        <f>SUM(6D!E362)</f>
        <v>0</v>
      </c>
      <c r="C62" s="378">
        <f>SUM(6D!F362)</f>
        <v>0</v>
      </c>
      <c r="D62" s="362" t="e">
        <f t="shared" si="6"/>
        <v>#DIV/0!</v>
      </c>
      <c r="E62" s="363">
        <f t="shared" si="7"/>
        <v>0</v>
      </c>
    </row>
    <row r="63" spans="1:5" s="379" customFormat="1" ht="12.75">
      <c r="A63" s="380" t="s">
        <v>137</v>
      </c>
      <c r="B63" s="381">
        <f>SUM(6D!E365)</f>
        <v>3587205</v>
      </c>
      <c r="C63" s="381">
        <f>SUM(6D!F365)</f>
        <v>1793604</v>
      </c>
      <c r="D63" s="358">
        <f t="shared" si="6"/>
        <v>50.00004181528516</v>
      </c>
      <c r="E63" s="359">
        <f t="shared" si="7"/>
        <v>1.8778734979162652</v>
      </c>
    </row>
    <row r="64" spans="1:5" s="379" customFormat="1" ht="12.75">
      <c r="A64" s="380" t="s">
        <v>623</v>
      </c>
      <c r="B64" s="382">
        <f>6D!E364</f>
        <v>317486</v>
      </c>
      <c r="C64" s="382">
        <f>6D!F364</f>
        <v>158742</v>
      </c>
      <c r="D64" s="358">
        <f t="shared" si="6"/>
        <v>49.99968502548144</v>
      </c>
      <c r="E64" s="359">
        <f t="shared" si="7"/>
        <v>0.16620022859350436</v>
      </c>
    </row>
    <row r="65" spans="1:5" s="379" customFormat="1" ht="12.75">
      <c r="A65" s="380"/>
      <c r="B65" s="381"/>
      <c r="C65" s="381"/>
      <c r="D65" s="358"/>
      <c r="E65" s="359"/>
    </row>
    <row r="66" spans="1:5" s="379" customFormat="1" ht="12.75">
      <c r="A66" s="383" t="s">
        <v>971</v>
      </c>
      <c r="B66" s="384">
        <f>SUM(B67,B71,B75,B79)</f>
        <v>19650103.63</v>
      </c>
      <c r="C66" s="384">
        <f>SUM(C67,C71,C75,C79)</f>
        <v>9440329.120000001</v>
      </c>
      <c r="D66" s="354">
        <f>C66/B66*100</f>
        <v>48.04213401494413</v>
      </c>
      <c r="E66" s="355">
        <f>C66/$C$83*100</f>
        <v>9.883867267275932</v>
      </c>
    </row>
    <row r="67" spans="1:5" s="335" customFormat="1" ht="25.5">
      <c r="A67" s="385" t="s">
        <v>358</v>
      </c>
      <c r="B67" s="357">
        <f>B68+B69</f>
        <v>7633518</v>
      </c>
      <c r="C67" s="357">
        <f>C68+C69</f>
        <v>2773051.43</v>
      </c>
      <c r="D67" s="358">
        <f>C67/B67*100</f>
        <v>36.327305837229964</v>
      </c>
      <c r="E67" s="359">
        <f>C67/$C$83*100</f>
        <v>2.903338634813371</v>
      </c>
    </row>
    <row r="68" spans="1:6" ht="12.75">
      <c r="A68" s="386" t="s">
        <v>792</v>
      </c>
      <c r="B68" s="361">
        <f>SUM(6D!E322,6D!E369,6D!E371,6D!E374,6D!E375,6D!E391,6D!E393,6D!E406,6D!E408,6D!E412,6D!E413,6D!E416,6D!E422,6D!E423)</f>
        <v>1329651</v>
      </c>
      <c r="C68" s="361">
        <f>SUM(6D!F322,6D!F369,6D!F371,6D!F374,6D!F375,6D!F391,6D!F393,6D!F406,6D!F408,6D!F412,6D!F413,6D!F416,6D!F422,6D!F423)</f>
        <v>67325.31</v>
      </c>
      <c r="D68" s="362">
        <f>C68/B68*100</f>
        <v>5.063382045363783</v>
      </c>
      <c r="E68" s="363">
        <f>C68/$C$83*100</f>
        <v>0.07048847760598043</v>
      </c>
      <c r="F68" s="334"/>
    </row>
    <row r="69" spans="1:5" s="379" customFormat="1" ht="12.75">
      <c r="A69" s="377" t="s">
        <v>793</v>
      </c>
      <c r="B69" s="378">
        <f>SUM(6D!E50,6D!E94,6D!E96,6D!E166,6D!E167,6D!E170,6D!E185,6D!E187,6D!E223,6D!E228,6D!E233,6D!E237,6D!E245,6D!E251,6D!E253,6D!E258,6D!E297)</f>
        <v>6303867</v>
      </c>
      <c r="C69" s="378">
        <f>SUM(6D!F50,6D!F94,6D!F96,6D!F166,6D!F167,6D!F170,6D!F185,6D!F187,6D!F223,6D!F228,6D!F233,6D!F237,6D!F245,6D!F251,6D!F253,6D!F258,6D!F297)</f>
        <v>2705726.12</v>
      </c>
      <c r="D69" s="362">
        <f>C69/B69*100</f>
        <v>42.921687909976534</v>
      </c>
      <c r="E69" s="363">
        <f>C69/$C$83*100</f>
        <v>2.8328501572073908</v>
      </c>
    </row>
    <row r="70" spans="1:5" s="379" customFormat="1" ht="12.75">
      <c r="A70" s="380"/>
      <c r="B70" s="381"/>
      <c r="C70" s="381"/>
      <c r="D70" s="358"/>
      <c r="E70" s="359"/>
    </row>
    <row r="71" spans="1:5" s="387" customFormat="1" ht="15" customHeight="1">
      <c r="A71" s="385" t="s">
        <v>797</v>
      </c>
      <c r="B71" s="381">
        <f>SUM(B72,B73)</f>
        <v>11861548.629999999</v>
      </c>
      <c r="C71" s="381">
        <f>SUM(C72,C73)</f>
        <v>6602329.63</v>
      </c>
      <c r="D71" s="358">
        <f>C71/B71*100</f>
        <v>55.66161583068096</v>
      </c>
      <c r="E71" s="359">
        <f>C71/$C$83*100</f>
        <v>6.912529095990141</v>
      </c>
    </row>
    <row r="72" spans="1:6" ht="12.75">
      <c r="A72" s="386" t="s">
        <v>795</v>
      </c>
      <c r="B72" s="361">
        <f>SUM(6D!E306,6D!E325,6D!E326,6D!E329,6D!E332,6D!E334,6D!E337,6D!E344,6D!E348,6D!E349,6D!E378,6D!E384,6D!E389,6D!E398,6D!E404)</f>
        <v>5534267</v>
      </c>
      <c r="C72" s="361">
        <f>SUM(6D!F306,6D!F325,6D!F326,6D!F329,6D!F332,6D!F334,6D!F337,6D!F344,6D!F348,6D!F349,6D!F378,6D!F384,6D!F389,6D!F398,6D!F404)</f>
        <v>3331837</v>
      </c>
      <c r="D72" s="362">
        <f>C72/B72*100</f>
        <v>60.20376320838875</v>
      </c>
      <c r="E72" s="363">
        <f>C72/$C$83*100</f>
        <v>3.4883778145436986</v>
      </c>
      <c r="F72" s="334"/>
    </row>
    <row r="73" spans="1:6" ht="12.75">
      <c r="A73" s="377" t="s">
        <v>796</v>
      </c>
      <c r="B73" s="361">
        <f>SUM(6D!E10,6D!E64,6D!E80,6D!E103,6D!E105,6D!E110,6D!E183,6D!E200,6D!E211,6D!E218,6D!E222,6D!E227,6D!E241)</f>
        <v>6327281.63</v>
      </c>
      <c r="C73" s="361">
        <f>SUM(6D!F10,6D!F64,6D!F80,6D!F103,6D!F105,6D!F110,6D!F183,6D!F200,6D!F211,6D!F218,6D!F222,6D!F227,6D!F241)</f>
        <v>3270492.63</v>
      </c>
      <c r="D73" s="362">
        <f>C73/B73*100</f>
        <v>51.68874757357686</v>
      </c>
      <c r="E73" s="363">
        <f>C73/$C$83*100</f>
        <v>3.4241512814464428</v>
      </c>
      <c r="F73" s="334"/>
    </row>
    <row r="74" spans="1:6" ht="12.75">
      <c r="A74" s="376"/>
      <c r="B74" s="357"/>
      <c r="C74" s="357"/>
      <c r="D74" s="358"/>
      <c r="E74" s="359"/>
      <c r="F74" s="334"/>
    </row>
    <row r="75" spans="1:9" s="335" customFormat="1" ht="25.5">
      <c r="A75" s="385" t="s">
        <v>1350</v>
      </c>
      <c r="B75" s="357">
        <f>B76+B77</f>
        <v>80400</v>
      </c>
      <c r="C75" s="357">
        <f>C76+C77</f>
        <v>36750</v>
      </c>
      <c r="D75" s="358">
        <f>C75/B75*100</f>
        <v>45.7089552238806</v>
      </c>
      <c r="E75" s="359">
        <f>C75/$C$83*100</f>
        <v>0.03847663756794853</v>
      </c>
      <c r="I75" s="335" t="s">
        <v>359</v>
      </c>
    </row>
    <row r="76" spans="1:6" ht="12.75">
      <c r="A76" s="386" t="s">
        <v>795</v>
      </c>
      <c r="B76" s="361">
        <f>SUM(6D!E320,6D!E345,6D!E395,)</f>
        <v>39400</v>
      </c>
      <c r="C76" s="361">
        <f>SUM(6D!F320,6D!F345,6D!F395,)</f>
        <v>1750</v>
      </c>
      <c r="D76" s="362">
        <f>C76/B76*100</f>
        <v>4.441624365482234</v>
      </c>
      <c r="E76" s="363">
        <f>C76/$C$83*100</f>
        <v>0.0018322208365689776</v>
      </c>
      <c r="F76" s="334"/>
    </row>
    <row r="77" spans="1:6" ht="12.75">
      <c r="A77" s="377" t="s">
        <v>796</v>
      </c>
      <c r="B77" s="361">
        <f>SUM(6D!E65,6D!E184,6D!E201,6D!E244)</f>
        <v>41000</v>
      </c>
      <c r="C77" s="361">
        <f>SUM(6D!F65,6D!F184,6D!F201,6D!F244)</f>
        <v>35000</v>
      </c>
      <c r="D77" s="362">
        <f>C77/B77*100</f>
        <v>85.36585365853658</v>
      </c>
      <c r="E77" s="363">
        <f>C77/$C$83*100</f>
        <v>0.036644416731379546</v>
      </c>
      <c r="F77" s="334"/>
    </row>
    <row r="78" spans="1:6" ht="12.75">
      <c r="A78" s="377"/>
      <c r="B78" s="361"/>
      <c r="C78" s="361"/>
      <c r="D78" s="362"/>
      <c r="E78" s="363"/>
      <c r="F78" s="334"/>
    </row>
    <row r="79" spans="1:5" s="335" customFormat="1" ht="25.5">
      <c r="A79" s="385" t="s">
        <v>1042</v>
      </c>
      <c r="B79" s="357">
        <f>SUM(B80,B81)</f>
        <v>74637</v>
      </c>
      <c r="C79" s="357">
        <f>SUM(C80,C81)</f>
        <v>28198.06</v>
      </c>
      <c r="D79" s="358">
        <f>C79/B79*100</f>
        <v>37.78026983935582</v>
      </c>
      <c r="E79" s="359">
        <f>C79/$C$83*100</f>
        <v>0.029522898904469845</v>
      </c>
    </row>
    <row r="80" spans="1:6" ht="12.75">
      <c r="A80" s="386" t="s">
        <v>795</v>
      </c>
      <c r="B80" s="361">
        <f>SUM(6D!E387,6D!E417,6D!E419)</f>
        <v>74637</v>
      </c>
      <c r="C80" s="361">
        <f>SUM(6D!F387,6D!F417,6D!F419)</f>
        <v>28198.06</v>
      </c>
      <c r="D80" s="362">
        <f>C80/B80*100</f>
        <v>37.78026983935582</v>
      </c>
      <c r="E80" s="363">
        <f>C80/$C$83*100</f>
        <v>0.029522898904469845</v>
      </c>
      <c r="F80" s="334"/>
    </row>
    <row r="81" spans="1:6" ht="12.75" hidden="1">
      <c r="A81" s="386" t="s">
        <v>796</v>
      </c>
      <c r="B81" s="361">
        <f>SUM(6D!E115)</f>
        <v>0</v>
      </c>
      <c r="C81" s="361">
        <f>SUM(6D!F115)</f>
        <v>0</v>
      </c>
      <c r="D81" s="366" t="s">
        <v>1142</v>
      </c>
      <c r="E81" s="363">
        <f>C81/$C$83*100</f>
        <v>0</v>
      </c>
      <c r="F81" s="334"/>
    </row>
    <row r="82" spans="1:6" ht="13.5" thickBot="1">
      <c r="A82" s="356"/>
      <c r="B82" s="357"/>
      <c r="C82" s="357"/>
      <c r="D82" s="388"/>
      <c r="E82" s="359"/>
      <c r="F82" s="334"/>
    </row>
    <row r="83" spans="1:5" s="393" customFormat="1" ht="23.25" customHeight="1" thickBot="1">
      <c r="A83" s="389" t="s">
        <v>787</v>
      </c>
      <c r="B83" s="390">
        <f>SUM(B8,B57,B66)</f>
        <v>208778856.63</v>
      </c>
      <c r="C83" s="390">
        <f>SUM(C8,C57,C66)</f>
        <v>95512504.00999999</v>
      </c>
      <c r="D83" s="391">
        <f>C83/B83*100</f>
        <v>45.74816892462833</v>
      </c>
      <c r="E83" s="392">
        <f>C83/$C$83*100</f>
        <v>100</v>
      </c>
    </row>
    <row r="84" spans="1:6" ht="12.75">
      <c r="A84" s="336" t="s">
        <v>1039</v>
      </c>
      <c r="B84" s="321">
        <v>208778856.63</v>
      </c>
      <c r="C84" s="321">
        <v>95512504.01</v>
      </c>
      <c r="F84" s="334"/>
    </row>
    <row r="85" spans="1:6" ht="12.75">
      <c r="A85" s="336" t="s">
        <v>785</v>
      </c>
      <c r="B85" s="394">
        <f>B84-B83</f>
        <v>0</v>
      </c>
      <c r="C85" s="394">
        <f>C84-C83</f>
        <v>0</v>
      </c>
      <c r="F85" s="334"/>
    </row>
    <row r="86" spans="1:3" ht="12.75">
      <c r="A86" s="395"/>
      <c r="B86" s="395"/>
      <c r="C86" s="396"/>
    </row>
    <row r="128" s="347" customFormat="1" ht="12.75"/>
    <row r="129" s="347" customFormat="1" ht="12.75" customHeight="1"/>
    <row r="184" s="347" customFormat="1" ht="12.75"/>
    <row r="185" s="347" customFormat="1" ht="12.75" customHeight="1"/>
  </sheetData>
  <sheetProtection password="CF93" sheet="1"/>
  <mergeCells count="2">
    <mergeCell ref="D1:E1"/>
    <mergeCell ref="A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754"/>
  <sheetViews>
    <sheetView tabSelected="1" view="pageBreakPreview" zoomScale="110" zoomScaleSheetLayoutView="110" zoomScalePageLayoutView="0" workbookViewId="0" topLeftCell="A1">
      <pane ySplit="6" topLeftCell="A686" activePane="bottomLeft" state="frozen"/>
      <selection pane="topLeft" activeCell="A1" sqref="A1"/>
      <selection pane="bottomLeft" activeCell="D521" sqref="D521"/>
    </sheetView>
  </sheetViews>
  <sheetFormatPr defaultColWidth="9.00390625" defaultRowHeight="18.75" customHeight="1"/>
  <cols>
    <col min="1" max="1" width="5.25390625" style="398" customWidth="1"/>
    <col min="2" max="2" width="8.00390625" style="398" customWidth="1"/>
    <col min="3" max="3" width="39.25390625" style="399" customWidth="1"/>
    <col min="4" max="4" width="14.75390625" style="400" customWidth="1"/>
    <col min="5" max="5" width="13.875" style="400" customWidth="1"/>
    <col min="6" max="6" width="5.75390625" style="400" customWidth="1"/>
    <col min="7" max="7" width="13.00390625" style="166" customWidth="1"/>
    <col min="8" max="8" width="13.625" style="159" customWidth="1"/>
    <col min="9" max="16384" width="9.125" style="400" customWidth="1"/>
  </cols>
  <sheetData>
    <row r="1" spans="5:6" ht="18.75" customHeight="1">
      <c r="E1" s="1328" t="s">
        <v>274</v>
      </c>
      <c r="F1" s="1328"/>
    </row>
    <row r="2" ht="21.75" customHeight="1"/>
    <row r="3" spans="1:8" s="401" customFormat="1" ht="18.75" customHeight="1">
      <c r="A3" s="1332" t="s">
        <v>1126</v>
      </c>
      <c r="B3" s="1332"/>
      <c r="C3" s="1332"/>
      <c r="D3" s="1332"/>
      <c r="E3" s="1332"/>
      <c r="G3" s="166"/>
      <c r="H3" s="161"/>
    </row>
    <row r="4" spans="1:8" s="401" customFormat="1" ht="13.5" customHeight="1" thickBot="1">
      <c r="A4" s="402"/>
      <c r="B4" s="402"/>
      <c r="C4" s="403"/>
      <c r="D4" s="402"/>
      <c r="E4" s="402"/>
      <c r="F4" s="404" t="s">
        <v>818</v>
      </c>
      <c r="G4" s="166"/>
      <c r="H4" s="161"/>
    </row>
    <row r="5" spans="1:8" s="401" customFormat="1" ht="18.75" customHeight="1">
      <c r="A5" s="405" t="s">
        <v>314</v>
      </c>
      <c r="B5" s="406" t="s">
        <v>819</v>
      </c>
      <c r="C5" s="406" t="s">
        <v>820</v>
      </c>
      <c r="D5" s="407" t="s">
        <v>821</v>
      </c>
      <c r="E5" s="407" t="s">
        <v>822</v>
      </c>
      <c r="F5" s="408" t="s">
        <v>823</v>
      </c>
      <c r="G5" s="166"/>
      <c r="H5" s="161"/>
    </row>
    <row r="6" spans="1:8" s="172" customFormat="1" ht="11.25" customHeight="1" thickBot="1">
      <c r="A6" s="167">
        <v>1</v>
      </c>
      <c r="B6" s="168">
        <v>2</v>
      </c>
      <c r="C6" s="168">
        <v>3</v>
      </c>
      <c r="D6" s="170">
        <v>4</v>
      </c>
      <c r="E6" s="170">
        <v>5</v>
      </c>
      <c r="F6" s="250">
        <v>6</v>
      </c>
      <c r="G6" s="166"/>
      <c r="H6" s="166"/>
    </row>
    <row r="7" spans="1:6" s="166" customFormat="1" ht="19.5" customHeight="1">
      <c r="A7" s="1372" t="s">
        <v>928</v>
      </c>
      <c r="B7" s="1373"/>
      <c r="C7" s="1373"/>
      <c r="D7" s="231">
        <f>SUM(D8,D21,D26,D31,D37,D56,D66,D81,D97,D134,D145,D168,D174,D178,D183,D236,D262,D320,D335,D362,D394,D420)</f>
        <v>136626370.63</v>
      </c>
      <c r="E7" s="231">
        <f>SUM(E8,E21,E26,E31,E37,E56,E66,E81,E97,E134,E145,E168,E174,E178,E183,E236,E262,E320,E335,E362,E394,E420)</f>
        <v>52026994.54</v>
      </c>
      <c r="F7" s="409">
        <f>E7/D7*100</f>
        <v>38.079760371367186</v>
      </c>
    </row>
    <row r="8" spans="1:7" s="559" customFormat="1" ht="18.75" customHeight="1">
      <c r="A8" s="1146" t="s">
        <v>824</v>
      </c>
      <c r="B8" s="1147"/>
      <c r="C8" s="1148" t="s">
        <v>315</v>
      </c>
      <c r="D8" s="1149">
        <f>SUM(D9,D14,D17)</f>
        <v>93373.63</v>
      </c>
      <c r="E8" s="1149">
        <f>SUM(E9,E14,E17)</f>
        <v>20834.809999999998</v>
      </c>
      <c r="F8" s="1150">
        <f>E8/D8*100</f>
        <v>22.313376913803175</v>
      </c>
      <c r="G8" s="560"/>
    </row>
    <row r="9" spans="1:7" s="119" customFormat="1" ht="18.75" customHeight="1">
      <c r="A9" s="1151"/>
      <c r="B9" s="1152" t="s">
        <v>316</v>
      </c>
      <c r="C9" s="625" t="s">
        <v>317</v>
      </c>
      <c r="D9" s="1154">
        <f>D10</f>
        <v>65000</v>
      </c>
      <c r="E9" s="1154">
        <f>E10</f>
        <v>0</v>
      </c>
      <c r="F9" s="1155">
        <f aca="true" t="shared" si="0" ref="F9:F27">E9/D9*100</f>
        <v>0</v>
      </c>
      <c r="G9" s="1191"/>
    </row>
    <row r="10" spans="1:7" s="461" customFormat="1" ht="18.75" customHeight="1">
      <c r="A10" s="455"/>
      <c r="B10" s="456"/>
      <c r="C10" s="457" t="s">
        <v>1186</v>
      </c>
      <c r="D10" s="458">
        <f>SUM(D11)</f>
        <v>65000</v>
      </c>
      <c r="E10" s="458">
        <f>SUM(E11)</f>
        <v>0</v>
      </c>
      <c r="F10" s="459">
        <f t="shared" si="0"/>
        <v>0</v>
      </c>
      <c r="G10" s="460"/>
    </row>
    <row r="11" spans="1:7" s="468" customFormat="1" ht="18" customHeight="1">
      <c r="A11" s="462"/>
      <c r="B11" s="463"/>
      <c r="C11" s="464" t="s">
        <v>1288</v>
      </c>
      <c r="D11" s="465">
        <f>SUM(D12,D13)</f>
        <v>65000</v>
      </c>
      <c r="E11" s="465">
        <f>SUM(E12,E13)</f>
        <v>0</v>
      </c>
      <c r="F11" s="466">
        <f>E11/D11*100</f>
        <v>0</v>
      </c>
      <c r="G11" s="467"/>
    </row>
    <row r="12" spans="1:7" s="1197" customFormat="1" ht="18.75" customHeight="1">
      <c r="A12" s="1192"/>
      <c r="B12" s="1193"/>
      <c r="C12" s="1194" t="s">
        <v>334</v>
      </c>
      <c r="D12" s="1195">
        <v>52130</v>
      </c>
      <c r="E12" s="1195">
        <v>0</v>
      </c>
      <c r="F12" s="1196">
        <f>E12/D12*100</f>
        <v>0</v>
      </c>
      <c r="G12" s="467"/>
    </row>
    <row r="13" spans="1:7" s="1197" customFormat="1" ht="18.75" customHeight="1">
      <c r="A13" s="1192"/>
      <c r="B13" s="1193"/>
      <c r="C13" s="1194" t="s">
        <v>1289</v>
      </c>
      <c r="D13" s="1195">
        <v>12870</v>
      </c>
      <c r="E13" s="1195">
        <v>0</v>
      </c>
      <c r="F13" s="1196">
        <f>E13/D13*100</f>
        <v>0</v>
      </c>
      <c r="G13" s="467"/>
    </row>
    <row r="14" spans="1:7" s="119" customFormat="1" ht="18.75" customHeight="1">
      <c r="A14" s="1151"/>
      <c r="B14" s="1152" t="s">
        <v>318</v>
      </c>
      <c r="C14" s="1153" t="s">
        <v>319</v>
      </c>
      <c r="D14" s="1154">
        <f>D15</f>
        <v>1000</v>
      </c>
      <c r="E14" s="1154">
        <f>E15</f>
        <v>62.78</v>
      </c>
      <c r="F14" s="1155">
        <f t="shared" si="0"/>
        <v>6.2780000000000005</v>
      </c>
      <c r="G14" s="560"/>
    </row>
    <row r="15" spans="1:7" s="1159" customFormat="1" ht="18.75" customHeight="1">
      <c r="A15" s="1156"/>
      <c r="B15" s="1157"/>
      <c r="C15" s="457" t="s">
        <v>1186</v>
      </c>
      <c r="D15" s="458">
        <f>SUM(D16)</f>
        <v>1000</v>
      </c>
      <c r="E15" s="458">
        <f>SUM(E16)</f>
        <v>62.78</v>
      </c>
      <c r="F15" s="459">
        <f t="shared" si="0"/>
        <v>6.2780000000000005</v>
      </c>
      <c r="G15" s="1158"/>
    </row>
    <row r="16" spans="1:7" s="468" customFormat="1" ht="18.75" customHeight="1">
      <c r="A16" s="462"/>
      <c r="B16" s="463"/>
      <c r="C16" s="464" t="s">
        <v>1290</v>
      </c>
      <c r="D16" s="465">
        <v>1000</v>
      </c>
      <c r="E16" s="465">
        <v>62.78</v>
      </c>
      <c r="F16" s="466">
        <f t="shared" si="0"/>
        <v>6.2780000000000005</v>
      </c>
      <c r="G16" s="1160"/>
    </row>
    <row r="17" spans="1:8" s="557" customFormat="1" ht="18.75" customHeight="1">
      <c r="A17" s="1151"/>
      <c r="B17" s="1152" t="s">
        <v>320</v>
      </c>
      <c r="C17" s="1161" t="s">
        <v>825</v>
      </c>
      <c r="D17" s="1154">
        <f>D18</f>
        <v>27373.63</v>
      </c>
      <c r="E17" s="1154">
        <f>E18</f>
        <v>20772.03</v>
      </c>
      <c r="F17" s="1155">
        <f t="shared" si="0"/>
        <v>75.88335927679303</v>
      </c>
      <c r="G17" s="560"/>
      <c r="H17" s="119"/>
    </row>
    <row r="18" spans="1:7" s="461" customFormat="1" ht="18.75" customHeight="1">
      <c r="A18" s="455"/>
      <c r="B18" s="456"/>
      <c r="C18" s="457" t="s">
        <v>1186</v>
      </c>
      <c r="D18" s="458">
        <f>SUM(D19)</f>
        <v>27373.63</v>
      </c>
      <c r="E18" s="458">
        <f>SUM(E19)</f>
        <v>20772.03</v>
      </c>
      <c r="F18" s="459">
        <f>E18/D18*100</f>
        <v>75.88335927679303</v>
      </c>
      <c r="G18" s="460"/>
    </row>
    <row r="19" spans="1:7" s="468" customFormat="1" ht="18" customHeight="1">
      <c r="A19" s="462"/>
      <c r="B19" s="463"/>
      <c r="C19" s="464" t="s">
        <v>1288</v>
      </c>
      <c r="D19" s="465">
        <f>SUM(D20)</f>
        <v>27373.63</v>
      </c>
      <c r="E19" s="465">
        <f>SUM(E20)</f>
        <v>20772.03</v>
      </c>
      <c r="F19" s="466">
        <f>E19/D19*100</f>
        <v>75.88335927679303</v>
      </c>
      <c r="G19" s="467"/>
    </row>
    <row r="20" spans="1:7" s="1197" customFormat="1" ht="18.75" customHeight="1">
      <c r="A20" s="1192"/>
      <c r="B20" s="1193"/>
      <c r="C20" s="1194" t="s">
        <v>1289</v>
      </c>
      <c r="D20" s="1195">
        <v>27373.63</v>
      </c>
      <c r="E20" s="1195">
        <v>20772.03</v>
      </c>
      <c r="F20" s="1196">
        <f>E20/D20*100</f>
        <v>75.88335927679303</v>
      </c>
      <c r="G20" s="467"/>
    </row>
    <row r="21" spans="1:7" s="559" customFormat="1" ht="18.75" customHeight="1">
      <c r="A21" s="1146" t="s">
        <v>826</v>
      </c>
      <c r="B21" s="1147"/>
      <c r="C21" s="1162" t="s">
        <v>321</v>
      </c>
      <c r="D21" s="1149">
        <f>SUM(D22)</f>
        <v>36020</v>
      </c>
      <c r="E21" s="1149">
        <f>SUM(E22)</f>
        <v>0</v>
      </c>
      <c r="F21" s="1150">
        <f t="shared" si="0"/>
        <v>0</v>
      </c>
      <c r="G21" s="560"/>
    </row>
    <row r="22" spans="1:8" s="557" customFormat="1" ht="18.75" customHeight="1">
      <c r="A22" s="1151"/>
      <c r="B22" s="1152" t="s">
        <v>827</v>
      </c>
      <c r="C22" s="1161" t="s">
        <v>825</v>
      </c>
      <c r="D22" s="1154">
        <f>D25</f>
        <v>36020</v>
      </c>
      <c r="E22" s="1154">
        <f>E25</f>
        <v>0</v>
      </c>
      <c r="F22" s="1155">
        <f t="shared" si="0"/>
        <v>0</v>
      </c>
      <c r="G22" s="560"/>
      <c r="H22" s="119"/>
    </row>
    <row r="23" spans="1:7" s="461" customFormat="1" ht="18.75" customHeight="1">
      <c r="A23" s="455"/>
      <c r="B23" s="456"/>
      <c r="C23" s="457" t="s">
        <v>1186</v>
      </c>
      <c r="D23" s="458">
        <f>SUM(D24)</f>
        <v>36020</v>
      </c>
      <c r="E23" s="458">
        <f>SUM(E24)</f>
        <v>0</v>
      </c>
      <c r="F23" s="459">
        <f t="shared" si="0"/>
        <v>0</v>
      </c>
      <c r="G23" s="460"/>
    </row>
    <row r="24" spans="1:7" s="468" customFormat="1" ht="18" customHeight="1">
      <c r="A24" s="462"/>
      <c r="B24" s="463"/>
      <c r="C24" s="464" t="s">
        <v>1288</v>
      </c>
      <c r="D24" s="465">
        <f>SUM(D25)</f>
        <v>36020</v>
      </c>
      <c r="E24" s="465">
        <f>SUM(E25)</f>
        <v>0</v>
      </c>
      <c r="F24" s="466">
        <f>E24/D24*100</f>
        <v>0</v>
      </c>
      <c r="G24" s="467"/>
    </row>
    <row r="25" spans="1:7" s="1197" customFormat="1" ht="18.75" customHeight="1">
      <c r="A25" s="1192"/>
      <c r="B25" s="1193"/>
      <c r="C25" s="1194" t="s">
        <v>1289</v>
      </c>
      <c r="D25" s="1195">
        <v>36020</v>
      </c>
      <c r="E25" s="1195">
        <v>0</v>
      </c>
      <c r="F25" s="1196">
        <f>E25/D25*100</f>
        <v>0</v>
      </c>
      <c r="G25" s="467"/>
    </row>
    <row r="26" spans="1:7" s="559" customFormat="1" ht="29.25" customHeight="1">
      <c r="A26" s="1163" t="s">
        <v>1241</v>
      </c>
      <c r="B26" s="1147"/>
      <c r="C26" s="1148" t="s">
        <v>322</v>
      </c>
      <c r="D26" s="1149">
        <f>D27</f>
        <v>5451737</v>
      </c>
      <c r="E26" s="1149">
        <f>E27</f>
        <v>2524859.39</v>
      </c>
      <c r="F26" s="1150">
        <f t="shared" si="0"/>
        <v>46.31293457479699</v>
      </c>
      <c r="G26" s="560"/>
    </row>
    <row r="27" spans="1:8" s="557" customFormat="1" ht="18.75" customHeight="1">
      <c r="A27" s="1151"/>
      <c r="B27" s="1152" t="s">
        <v>323</v>
      </c>
      <c r="C27" s="1161" t="s">
        <v>324</v>
      </c>
      <c r="D27" s="1154">
        <f>D30</f>
        <v>5451737</v>
      </c>
      <c r="E27" s="1154">
        <f>E30</f>
        <v>2524859.39</v>
      </c>
      <c r="F27" s="1155">
        <f t="shared" si="0"/>
        <v>46.31293457479699</v>
      </c>
      <c r="G27" s="560"/>
      <c r="H27" s="119"/>
    </row>
    <row r="28" spans="1:7" s="461" customFormat="1" ht="18.75" customHeight="1">
      <c r="A28" s="455"/>
      <c r="B28" s="456"/>
      <c r="C28" s="457" t="s">
        <v>1186</v>
      </c>
      <c r="D28" s="458">
        <f>SUM(D29)</f>
        <v>5451737</v>
      </c>
      <c r="E28" s="458">
        <f>SUM(E29)</f>
        <v>2524859.39</v>
      </c>
      <c r="F28" s="459">
        <f aca="true" t="shared" si="1" ref="F28:F36">E28/D28*100</f>
        <v>46.31293457479699</v>
      </c>
      <c r="G28" s="460"/>
    </row>
    <row r="29" spans="1:7" s="468" customFormat="1" ht="18" customHeight="1">
      <c r="A29" s="462"/>
      <c r="B29" s="463"/>
      <c r="C29" s="464" t="s">
        <v>1288</v>
      </c>
      <c r="D29" s="465">
        <f>SUM(D30)</f>
        <v>5451737</v>
      </c>
      <c r="E29" s="465">
        <f>SUM(E30)</f>
        <v>2524859.39</v>
      </c>
      <c r="F29" s="466">
        <f t="shared" si="1"/>
        <v>46.31293457479699</v>
      </c>
      <c r="G29" s="467"/>
    </row>
    <row r="30" spans="1:7" s="1197" customFormat="1" ht="18.75" customHeight="1">
      <c r="A30" s="1192"/>
      <c r="B30" s="1193"/>
      <c r="C30" s="1194" t="s">
        <v>1289</v>
      </c>
      <c r="D30" s="1195">
        <v>5451737</v>
      </c>
      <c r="E30" s="1195">
        <v>2524859.39</v>
      </c>
      <c r="F30" s="1196">
        <f t="shared" si="1"/>
        <v>46.31293457479699</v>
      </c>
      <c r="G30" s="467"/>
    </row>
    <row r="31" spans="1:7" s="559" customFormat="1" ht="18.75" customHeight="1">
      <c r="A31" s="1146" t="s">
        <v>828</v>
      </c>
      <c r="B31" s="1147"/>
      <c r="C31" s="1162" t="s">
        <v>325</v>
      </c>
      <c r="D31" s="1149">
        <f aca="true" t="shared" si="2" ref="D31:E33">SUM(D32)</f>
        <v>400000</v>
      </c>
      <c r="E31" s="1149">
        <f t="shared" si="2"/>
        <v>171478.25</v>
      </c>
      <c r="F31" s="1150">
        <f t="shared" si="1"/>
        <v>42.8695625</v>
      </c>
      <c r="G31" s="560"/>
    </row>
    <row r="32" spans="1:8" s="557" customFormat="1" ht="18.75" customHeight="1">
      <c r="A32" s="1151"/>
      <c r="B32" s="1152" t="s">
        <v>332</v>
      </c>
      <c r="C32" s="1161" t="s">
        <v>825</v>
      </c>
      <c r="D32" s="1154">
        <f t="shared" si="2"/>
        <v>400000</v>
      </c>
      <c r="E32" s="1154">
        <f t="shared" si="2"/>
        <v>171478.25</v>
      </c>
      <c r="F32" s="1155">
        <f t="shared" si="1"/>
        <v>42.8695625</v>
      </c>
      <c r="G32" s="560"/>
      <c r="H32" s="119"/>
    </row>
    <row r="33" spans="1:7" s="461" customFormat="1" ht="18.75" customHeight="1">
      <c r="A33" s="455"/>
      <c r="B33" s="456"/>
      <c r="C33" s="457" t="s">
        <v>1186</v>
      </c>
      <c r="D33" s="458">
        <f t="shared" si="2"/>
        <v>400000</v>
      </c>
      <c r="E33" s="458">
        <f t="shared" si="2"/>
        <v>171478.25</v>
      </c>
      <c r="F33" s="459">
        <f t="shared" si="1"/>
        <v>42.8695625</v>
      </c>
      <c r="G33" s="460"/>
    </row>
    <row r="34" spans="1:7" s="468" customFormat="1" ht="18" customHeight="1">
      <c r="A34" s="462"/>
      <c r="B34" s="463"/>
      <c r="C34" s="464" t="s">
        <v>1288</v>
      </c>
      <c r="D34" s="465">
        <f>SUM(D35,D36)</f>
        <v>400000</v>
      </c>
      <c r="E34" s="465">
        <f>SUM(E35,E36)</f>
        <v>171478.25</v>
      </c>
      <c r="F34" s="466">
        <f t="shared" si="1"/>
        <v>42.8695625</v>
      </c>
      <c r="G34" s="467"/>
    </row>
    <row r="35" spans="1:7" s="1197" customFormat="1" ht="18.75" customHeight="1">
      <c r="A35" s="1192"/>
      <c r="B35" s="1193"/>
      <c r="C35" s="1194" t="s">
        <v>334</v>
      </c>
      <c r="D35" s="1195">
        <v>200488</v>
      </c>
      <c r="E35" s="1195">
        <v>76760.02</v>
      </c>
      <c r="F35" s="1196">
        <f t="shared" si="1"/>
        <v>38.28659071864651</v>
      </c>
      <c r="G35" s="467"/>
    </row>
    <row r="36" spans="1:7" s="1197" customFormat="1" ht="18.75" customHeight="1">
      <c r="A36" s="1192"/>
      <c r="B36" s="1193"/>
      <c r="C36" s="1194" t="s">
        <v>1289</v>
      </c>
      <c r="D36" s="1195">
        <v>199512</v>
      </c>
      <c r="E36" s="1195">
        <v>94718.23</v>
      </c>
      <c r="F36" s="1196">
        <f t="shared" si="1"/>
        <v>47.47495388748546</v>
      </c>
      <c r="G36" s="467"/>
    </row>
    <row r="37" spans="1:7" s="559" customFormat="1" ht="18.75" customHeight="1">
      <c r="A37" s="1146" t="s">
        <v>902</v>
      </c>
      <c r="B37" s="1147"/>
      <c r="C37" s="1162" t="s">
        <v>903</v>
      </c>
      <c r="D37" s="1149">
        <f>SUM(D38,D44,D51)</f>
        <v>14606067</v>
      </c>
      <c r="E37" s="1149">
        <f>SUM(E38,E44,E51)</f>
        <v>2733847.4699999997</v>
      </c>
      <c r="F37" s="1150">
        <f aca="true" t="shared" si="3" ref="F37:F44">E37/D37*100</f>
        <v>18.71720477524853</v>
      </c>
      <c r="G37" s="560"/>
    </row>
    <row r="38" spans="1:7" s="119" customFormat="1" ht="18.75" customHeight="1">
      <c r="A38" s="1151"/>
      <c r="B38" s="1152" t="s">
        <v>811</v>
      </c>
      <c r="C38" s="1161" t="s">
        <v>812</v>
      </c>
      <c r="D38" s="1154">
        <f>SUM(D39,D42)</f>
        <v>3461677</v>
      </c>
      <c r="E38" s="1154">
        <f>SUM(E39,E42)</f>
        <v>1397766.04</v>
      </c>
      <c r="F38" s="1155">
        <f t="shared" si="3"/>
        <v>40.37829179325512</v>
      </c>
      <c r="G38" s="560"/>
    </row>
    <row r="39" spans="1:7" s="461" customFormat="1" ht="18.75" customHeight="1">
      <c r="A39" s="455"/>
      <c r="B39" s="456"/>
      <c r="C39" s="457" t="s">
        <v>1186</v>
      </c>
      <c r="D39" s="458">
        <f>SUM(D40)</f>
        <v>2900000</v>
      </c>
      <c r="E39" s="458">
        <f>SUM(E40)</f>
        <v>1397766.04</v>
      </c>
      <c r="F39" s="459">
        <f t="shared" si="3"/>
        <v>48.198828965517244</v>
      </c>
      <c r="G39" s="460"/>
    </row>
    <row r="40" spans="1:7" s="468" customFormat="1" ht="18" customHeight="1">
      <c r="A40" s="462"/>
      <c r="B40" s="463"/>
      <c r="C40" s="464" t="s">
        <v>1288</v>
      </c>
      <c r="D40" s="465">
        <f>SUM(D41)</f>
        <v>2900000</v>
      </c>
      <c r="E40" s="465">
        <f>SUM(E41)</f>
        <v>1397766.04</v>
      </c>
      <c r="F40" s="466">
        <f>E40/D40*100</f>
        <v>48.198828965517244</v>
      </c>
      <c r="G40" s="467"/>
    </row>
    <row r="41" spans="1:7" s="1197" customFormat="1" ht="18.75" customHeight="1">
      <c r="A41" s="1192"/>
      <c r="B41" s="1193"/>
      <c r="C41" s="1194" t="s">
        <v>1289</v>
      </c>
      <c r="D41" s="1195">
        <v>2900000</v>
      </c>
      <c r="E41" s="1195">
        <v>1397766.04</v>
      </c>
      <c r="F41" s="1196">
        <f>E41/D41*100</f>
        <v>48.198828965517244</v>
      </c>
      <c r="G41" s="467"/>
    </row>
    <row r="42" spans="1:7" s="461" customFormat="1" ht="18.75" customHeight="1">
      <c r="A42" s="455"/>
      <c r="B42" s="456"/>
      <c r="C42" s="457" t="s">
        <v>1291</v>
      </c>
      <c r="D42" s="458">
        <f>SUM(D43)</f>
        <v>561677</v>
      </c>
      <c r="E42" s="458">
        <f>SUM(E43)</f>
        <v>0</v>
      </c>
      <c r="F42" s="459">
        <f>E42/D42*100</f>
        <v>0</v>
      </c>
      <c r="G42" s="460"/>
    </row>
    <row r="43" spans="1:7" s="468" customFormat="1" ht="18" customHeight="1">
      <c r="A43" s="462"/>
      <c r="B43" s="463"/>
      <c r="C43" s="464" t="s">
        <v>1292</v>
      </c>
      <c r="D43" s="465">
        <v>561677</v>
      </c>
      <c r="E43" s="465">
        <v>0</v>
      </c>
      <c r="F43" s="466">
        <f>E43/D43*100</f>
        <v>0</v>
      </c>
      <c r="G43" s="467"/>
    </row>
    <row r="44" spans="1:7" s="119" customFormat="1" ht="18.75" customHeight="1">
      <c r="A44" s="1151"/>
      <c r="B44" s="1152" t="s">
        <v>905</v>
      </c>
      <c r="C44" s="625" t="s">
        <v>906</v>
      </c>
      <c r="D44" s="1154">
        <f>SUM(D45,D49)</f>
        <v>10728000</v>
      </c>
      <c r="E44" s="1154">
        <f>SUM(E45,E49)</f>
        <v>1190010.42</v>
      </c>
      <c r="F44" s="1155">
        <f t="shared" si="3"/>
        <v>11.09256543624161</v>
      </c>
      <c r="G44" s="560"/>
    </row>
    <row r="45" spans="1:7" s="461" customFormat="1" ht="18.75" customHeight="1">
      <c r="A45" s="455"/>
      <c r="B45" s="456"/>
      <c r="C45" s="457" t="s">
        <v>1186</v>
      </c>
      <c r="D45" s="458">
        <f>SUM(D46)</f>
        <v>3384000</v>
      </c>
      <c r="E45" s="458">
        <f>SUM(E46)</f>
        <v>1023479.13</v>
      </c>
      <c r="F45" s="459">
        <f aca="true" t="shared" si="4" ref="F45:F61">E45/D45*100</f>
        <v>30.244655141843975</v>
      </c>
      <c r="G45" s="460"/>
    </row>
    <row r="46" spans="1:7" s="468" customFormat="1" ht="18" customHeight="1">
      <c r="A46" s="462"/>
      <c r="B46" s="463"/>
      <c r="C46" s="464" t="s">
        <v>1288</v>
      </c>
      <c r="D46" s="465">
        <f>SUM(D47,D48)</f>
        <v>3384000</v>
      </c>
      <c r="E46" s="465">
        <f>SUM(E47,E48)</f>
        <v>1023479.13</v>
      </c>
      <c r="F46" s="466">
        <f t="shared" si="4"/>
        <v>30.244655141843975</v>
      </c>
      <c r="G46" s="467"/>
    </row>
    <row r="47" spans="1:7" s="1197" customFormat="1" ht="18.75" customHeight="1">
      <c r="A47" s="1192"/>
      <c r="B47" s="1193"/>
      <c r="C47" s="1194" t="s">
        <v>334</v>
      </c>
      <c r="D47" s="1195">
        <v>36500</v>
      </c>
      <c r="E47" s="1195">
        <v>17240.47</v>
      </c>
      <c r="F47" s="1196">
        <f t="shared" si="4"/>
        <v>47.23416438356164</v>
      </c>
      <c r="G47" s="467"/>
    </row>
    <row r="48" spans="1:7" s="1197" customFormat="1" ht="18.75" customHeight="1">
      <c r="A48" s="1192"/>
      <c r="B48" s="1193"/>
      <c r="C48" s="1194" t="s">
        <v>1289</v>
      </c>
      <c r="D48" s="1195">
        <v>3347500</v>
      </c>
      <c r="E48" s="1195">
        <v>1006238.66</v>
      </c>
      <c r="F48" s="1196">
        <f t="shared" si="4"/>
        <v>30.0594073188947</v>
      </c>
      <c r="G48" s="467"/>
    </row>
    <row r="49" spans="1:7" s="461" customFormat="1" ht="18.75" customHeight="1">
      <c r="A49" s="455"/>
      <c r="B49" s="456"/>
      <c r="C49" s="457" t="s">
        <v>1291</v>
      </c>
      <c r="D49" s="458">
        <f>SUM(D50)</f>
        <v>7344000</v>
      </c>
      <c r="E49" s="458">
        <f>SUM(E50)</f>
        <v>166531.29</v>
      </c>
      <c r="F49" s="459">
        <f t="shared" si="4"/>
        <v>2.2675829248366015</v>
      </c>
      <c r="G49" s="460"/>
    </row>
    <row r="50" spans="1:7" s="468" customFormat="1" ht="18" customHeight="1">
      <c r="A50" s="462"/>
      <c r="B50" s="463"/>
      <c r="C50" s="464" t="s">
        <v>1293</v>
      </c>
      <c r="D50" s="465">
        <v>7344000</v>
      </c>
      <c r="E50" s="465">
        <v>166531.29</v>
      </c>
      <c r="F50" s="466">
        <f t="shared" si="4"/>
        <v>2.2675829248366015</v>
      </c>
      <c r="G50" s="467"/>
    </row>
    <row r="51" spans="1:7" s="468" customFormat="1" ht="18.75" customHeight="1">
      <c r="A51" s="1164"/>
      <c r="B51" s="1152" t="s">
        <v>1256</v>
      </c>
      <c r="C51" s="1161" t="s">
        <v>1257</v>
      </c>
      <c r="D51" s="1154">
        <f>SUM(D52)</f>
        <v>416390</v>
      </c>
      <c r="E51" s="1154">
        <f>SUM(E52)</f>
        <v>146071.01</v>
      </c>
      <c r="F51" s="1155">
        <f t="shared" si="4"/>
        <v>35.08033574293331</v>
      </c>
      <c r="G51" s="467"/>
    </row>
    <row r="52" spans="1:7" s="461" customFormat="1" ht="18.75" customHeight="1">
      <c r="A52" s="455"/>
      <c r="B52" s="456"/>
      <c r="C52" s="457" t="s">
        <v>1186</v>
      </c>
      <c r="D52" s="458">
        <f>SUM(D53)</f>
        <v>416390</v>
      </c>
      <c r="E52" s="458">
        <f>SUM(E53)</f>
        <v>146071.01</v>
      </c>
      <c r="F52" s="459">
        <f t="shared" si="4"/>
        <v>35.08033574293331</v>
      </c>
      <c r="G52" s="460"/>
    </row>
    <row r="53" spans="1:7" s="468" customFormat="1" ht="18" customHeight="1">
      <c r="A53" s="462"/>
      <c r="B53" s="463"/>
      <c r="C53" s="464" t="s">
        <v>1288</v>
      </c>
      <c r="D53" s="465">
        <f>SUM(D54,D55)</f>
        <v>416390</v>
      </c>
      <c r="E53" s="465">
        <f>SUM(E54,E55)</f>
        <v>146071.01</v>
      </c>
      <c r="F53" s="466">
        <f t="shared" si="4"/>
        <v>35.08033574293331</v>
      </c>
      <c r="G53" s="467"/>
    </row>
    <row r="54" spans="1:7" s="1197" customFormat="1" ht="18.75" customHeight="1">
      <c r="A54" s="1192"/>
      <c r="B54" s="1193"/>
      <c r="C54" s="1194" t="s">
        <v>334</v>
      </c>
      <c r="D54" s="1195">
        <v>154310</v>
      </c>
      <c r="E54" s="1195">
        <v>70401.31</v>
      </c>
      <c r="F54" s="1196">
        <f t="shared" si="4"/>
        <v>45.62329725876482</v>
      </c>
      <c r="G54" s="467"/>
    </row>
    <row r="55" spans="1:7" s="1197" customFormat="1" ht="18.75" customHeight="1">
      <c r="A55" s="1192"/>
      <c r="B55" s="1193"/>
      <c r="C55" s="1194" t="s">
        <v>1289</v>
      </c>
      <c r="D55" s="1195">
        <v>262080</v>
      </c>
      <c r="E55" s="1195">
        <v>75669.7</v>
      </c>
      <c r="F55" s="1196">
        <f t="shared" si="4"/>
        <v>28.87274877899878</v>
      </c>
      <c r="G55" s="467"/>
    </row>
    <row r="56" spans="1:7" s="559" customFormat="1" ht="18.75" customHeight="1">
      <c r="A56" s="1165" t="s">
        <v>907</v>
      </c>
      <c r="B56" s="1147"/>
      <c r="C56" s="1162" t="s">
        <v>908</v>
      </c>
      <c r="D56" s="1149">
        <f>D57+D63</f>
        <v>5891100</v>
      </c>
      <c r="E56" s="1149">
        <f>E57+E63</f>
        <v>179577.26</v>
      </c>
      <c r="F56" s="1150">
        <f t="shared" si="4"/>
        <v>3.048280626708085</v>
      </c>
      <c r="G56" s="560"/>
    </row>
    <row r="57" spans="1:7" s="119" customFormat="1" ht="18.75" customHeight="1">
      <c r="A57" s="1164"/>
      <c r="B57" s="1152" t="s">
        <v>1237</v>
      </c>
      <c r="C57" s="1161" t="s">
        <v>1238</v>
      </c>
      <c r="D57" s="1154">
        <f>SUM(D58)</f>
        <v>611000</v>
      </c>
      <c r="E57" s="1154">
        <f>SUM(E58)</f>
        <v>139025.97</v>
      </c>
      <c r="F57" s="1155">
        <f t="shared" si="4"/>
        <v>22.75384124386252</v>
      </c>
      <c r="G57" s="560"/>
    </row>
    <row r="58" spans="1:7" s="461" customFormat="1" ht="18.75" customHeight="1">
      <c r="A58" s="455"/>
      <c r="B58" s="456"/>
      <c r="C58" s="457" t="s">
        <v>1186</v>
      </c>
      <c r="D58" s="458">
        <f>SUM(D59,D62)</f>
        <v>611000</v>
      </c>
      <c r="E58" s="458">
        <f>SUM(E59,E62)</f>
        <v>139025.97</v>
      </c>
      <c r="F58" s="459">
        <f t="shared" si="4"/>
        <v>22.75384124386252</v>
      </c>
      <c r="G58" s="460"/>
    </row>
    <row r="59" spans="1:7" s="468" customFormat="1" ht="18" customHeight="1">
      <c r="A59" s="462"/>
      <c r="B59" s="463"/>
      <c r="C59" s="464" t="s">
        <v>1288</v>
      </c>
      <c r="D59" s="465">
        <f>SUM(D60,D61)</f>
        <v>349000</v>
      </c>
      <c r="E59" s="465">
        <f>SUM(E60,E61)</f>
        <v>139025.97</v>
      </c>
      <c r="F59" s="466">
        <f t="shared" si="4"/>
        <v>39.83552148997135</v>
      </c>
      <c r="G59" s="467"/>
    </row>
    <row r="60" spans="1:7" s="1197" customFormat="1" ht="18.75" customHeight="1">
      <c r="A60" s="1192"/>
      <c r="B60" s="1193"/>
      <c r="C60" s="1194" t="s">
        <v>334</v>
      </c>
      <c r="D60" s="1195">
        <v>21500</v>
      </c>
      <c r="E60" s="1195">
        <v>0</v>
      </c>
      <c r="F60" s="1196">
        <f t="shared" si="4"/>
        <v>0</v>
      </c>
      <c r="G60" s="467"/>
    </row>
    <row r="61" spans="1:7" s="1197" customFormat="1" ht="18.75" customHeight="1">
      <c r="A61" s="1192"/>
      <c r="B61" s="1193"/>
      <c r="C61" s="1194" t="s">
        <v>1289</v>
      </c>
      <c r="D61" s="1195">
        <v>327500</v>
      </c>
      <c r="E61" s="1195">
        <v>139025.97</v>
      </c>
      <c r="F61" s="1196">
        <f t="shared" si="4"/>
        <v>42.45067786259542</v>
      </c>
      <c r="G61" s="467"/>
    </row>
    <row r="62" spans="1:7" s="468" customFormat="1" ht="18" customHeight="1">
      <c r="A62" s="462"/>
      <c r="B62" s="463"/>
      <c r="C62" s="464" t="s">
        <v>1320</v>
      </c>
      <c r="D62" s="465">
        <v>262000</v>
      </c>
      <c r="E62" s="465">
        <v>0</v>
      </c>
      <c r="F62" s="466">
        <f>E62/D62*100</f>
        <v>0</v>
      </c>
      <c r="G62" s="467"/>
    </row>
    <row r="63" spans="1:7" s="119" customFormat="1" ht="18.75" customHeight="1">
      <c r="A63" s="1164"/>
      <c r="B63" s="1152" t="s">
        <v>337</v>
      </c>
      <c r="C63" s="1161" t="s">
        <v>338</v>
      </c>
      <c r="D63" s="1154">
        <f>SUM(D64)</f>
        <v>5280100</v>
      </c>
      <c r="E63" s="1154">
        <f>SUM(E64)</f>
        <v>40551.29</v>
      </c>
      <c r="F63" s="1155">
        <f aca="true" t="shared" si="5" ref="F63:F83">E63/D63*100</f>
        <v>0.7680023105623001</v>
      </c>
      <c r="G63" s="560"/>
    </row>
    <row r="64" spans="1:7" s="461" customFormat="1" ht="18.75" customHeight="1">
      <c r="A64" s="455"/>
      <c r="B64" s="456"/>
      <c r="C64" s="457" t="s">
        <v>1291</v>
      </c>
      <c r="D64" s="458">
        <f>SUM(D65)</f>
        <v>5280100</v>
      </c>
      <c r="E64" s="458">
        <f>SUM(E65)</f>
        <v>40551.29</v>
      </c>
      <c r="F64" s="459">
        <f t="shared" si="5"/>
        <v>0.7680023105623001</v>
      </c>
      <c r="G64" s="460"/>
    </row>
    <row r="65" spans="1:7" s="468" customFormat="1" ht="18" customHeight="1">
      <c r="A65" s="462"/>
      <c r="B65" s="463"/>
      <c r="C65" s="464" t="s">
        <v>1293</v>
      </c>
      <c r="D65" s="465">
        <v>5280100</v>
      </c>
      <c r="E65" s="465">
        <v>40551.29</v>
      </c>
      <c r="F65" s="466">
        <f>E65/D65*100</f>
        <v>0.7680023105623001</v>
      </c>
      <c r="G65" s="467"/>
    </row>
    <row r="66" spans="1:7" s="559" customFormat="1" ht="18" customHeight="1">
      <c r="A66" s="1165" t="s">
        <v>909</v>
      </c>
      <c r="B66" s="1147"/>
      <c r="C66" s="1162" t="s">
        <v>910</v>
      </c>
      <c r="D66" s="1149">
        <f>D72+D78+D67</f>
        <v>5568256</v>
      </c>
      <c r="E66" s="1149">
        <f>E72+E78+E67</f>
        <v>1400244.0899999999</v>
      </c>
      <c r="F66" s="1150">
        <f t="shared" si="5"/>
        <v>25.14690578163073</v>
      </c>
      <c r="G66" s="560"/>
    </row>
    <row r="67" spans="1:7" s="119" customFormat="1" ht="18.75" customHeight="1">
      <c r="A67" s="1164"/>
      <c r="B67" s="1152" t="s">
        <v>339</v>
      </c>
      <c r="C67" s="1161" t="s">
        <v>342</v>
      </c>
      <c r="D67" s="1154">
        <f>SUM(D68,D70)</f>
        <v>1206000</v>
      </c>
      <c r="E67" s="1154">
        <f>SUM(E68,E70)</f>
        <v>373246.75</v>
      </c>
      <c r="F67" s="1155">
        <f t="shared" si="5"/>
        <v>30.94915008291874</v>
      </c>
      <c r="G67" s="560"/>
    </row>
    <row r="68" spans="1:7" s="1159" customFormat="1" ht="18.75" customHeight="1">
      <c r="A68" s="1156"/>
      <c r="B68" s="1157"/>
      <c r="C68" s="457" t="s">
        <v>1186</v>
      </c>
      <c r="D68" s="458">
        <f>SUM(D69)</f>
        <v>400000</v>
      </c>
      <c r="E68" s="458">
        <f>SUM(E69)</f>
        <v>360000</v>
      </c>
      <c r="F68" s="459">
        <f t="shared" si="5"/>
        <v>90</v>
      </c>
      <c r="G68" s="1158"/>
    </row>
    <row r="69" spans="1:7" s="468" customFormat="1" ht="18.75" customHeight="1">
      <c r="A69" s="462"/>
      <c r="B69" s="463"/>
      <c r="C69" s="464" t="s">
        <v>1290</v>
      </c>
      <c r="D69" s="465">
        <v>400000</v>
      </c>
      <c r="E69" s="465">
        <v>360000</v>
      </c>
      <c r="F69" s="466">
        <f t="shared" si="5"/>
        <v>90</v>
      </c>
      <c r="G69" s="1160"/>
    </row>
    <row r="70" spans="1:7" s="461" customFormat="1" ht="18.75" customHeight="1">
      <c r="A70" s="455"/>
      <c r="B70" s="456"/>
      <c r="C70" s="457" t="s">
        <v>1291</v>
      </c>
      <c r="D70" s="458">
        <f>SUM(D71)</f>
        <v>806000</v>
      </c>
      <c r="E70" s="458">
        <f>SUM(E71)</f>
        <v>13246.75</v>
      </c>
      <c r="F70" s="459">
        <f>E70/D70*100</f>
        <v>1.643517369727047</v>
      </c>
      <c r="G70" s="460"/>
    </row>
    <row r="71" spans="1:7" s="468" customFormat="1" ht="18" customHeight="1">
      <c r="A71" s="462"/>
      <c r="B71" s="463"/>
      <c r="C71" s="464" t="s">
        <v>1317</v>
      </c>
      <c r="D71" s="465">
        <v>806000</v>
      </c>
      <c r="E71" s="465">
        <v>13246.75</v>
      </c>
      <c r="F71" s="466">
        <f>E71/D71*100</f>
        <v>1.643517369727047</v>
      </c>
      <c r="G71" s="467"/>
    </row>
    <row r="72" spans="1:7" s="119" customFormat="1" ht="17.25" customHeight="1">
      <c r="A72" s="1164"/>
      <c r="B72" s="1152" t="s">
        <v>911</v>
      </c>
      <c r="C72" s="625" t="s">
        <v>912</v>
      </c>
      <c r="D72" s="1154">
        <f>SUM(D73,D76)</f>
        <v>4312256</v>
      </c>
      <c r="E72" s="1154">
        <f>SUM(E73,E76)</f>
        <v>1026997.34</v>
      </c>
      <c r="F72" s="1155">
        <f t="shared" si="5"/>
        <v>23.8157785623117</v>
      </c>
      <c r="G72" s="560"/>
    </row>
    <row r="73" spans="1:7" s="461" customFormat="1" ht="18.75" customHeight="1">
      <c r="A73" s="455"/>
      <c r="B73" s="456"/>
      <c r="C73" s="457" t="s">
        <v>1186</v>
      </c>
      <c r="D73" s="458">
        <f>SUM(D74)</f>
        <v>1729256</v>
      </c>
      <c r="E73" s="458">
        <f>SUM(E74)</f>
        <v>367280.97</v>
      </c>
      <c r="F73" s="459">
        <f t="shared" si="5"/>
        <v>21.239247977164744</v>
      </c>
      <c r="G73" s="460"/>
    </row>
    <row r="74" spans="1:7" s="468" customFormat="1" ht="18" customHeight="1">
      <c r="A74" s="462"/>
      <c r="B74" s="463"/>
      <c r="C74" s="464" t="s">
        <v>1288</v>
      </c>
      <c r="D74" s="465">
        <f>SUM(D75)</f>
        <v>1729256</v>
      </c>
      <c r="E74" s="465">
        <f>SUM(E75)</f>
        <v>367280.97</v>
      </c>
      <c r="F74" s="466">
        <f>E74/D74*100</f>
        <v>21.239247977164744</v>
      </c>
      <c r="G74" s="467"/>
    </row>
    <row r="75" spans="1:7" s="1197" customFormat="1" ht="18.75" customHeight="1">
      <c r="A75" s="1192"/>
      <c r="B75" s="1193"/>
      <c r="C75" s="1194" t="s">
        <v>1289</v>
      </c>
      <c r="D75" s="1195">
        <v>1729256</v>
      </c>
      <c r="E75" s="1195">
        <v>367280.97</v>
      </c>
      <c r="F75" s="1196">
        <f>E75/D75*100</f>
        <v>21.239247977164744</v>
      </c>
      <c r="G75" s="467"/>
    </row>
    <row r="76" spans="1:7" s="461" customFormat="1" ht="18.75" customHeight="1">
      <c r="A76" s="455"/>
      <c r="B76" s="456"/>
      <c r="C76" s="457" t="s">
        <v>1291</v>
      </c>
      <c r="D76" s="458">
        <f>SUM(D77)</f>
        <v>2583000</v>
      </c>
      <c r="E76" s="458">
        <f>SUM(E77)</f>
        <v>659716.37</v>
      </c>
      <c r="F76" s="459">
        <f>E76/D76*100</f>
        <v>25.540703445605885</v>
      </c>
      <c r="G76" s="460"/>
    </row>
    <row r="77" spans="1:7" s="468" customFormat="1" ht="18" customHeight="1">
      <c r="A77" s="462"/>
      <c r="B77" s="463"/>
      <c r="C77" s="464" t="s">
        <v>1292</v>
      </c>
      <c r="D77" s="465">
        <v>2583000</v>
      </c>
      <c r="E77" s="465">
        <v>659716.37</v>
      </c>
      <c r="F77" s="466">
        <f>E77/D77*100</f>
        <v>25.540703445605885</v>
      </c>
      <c r="G77" s="467"/>
    </row>
    <row r="78" spans="1:7" s="119" customFormat="1" ht="18.75" customHeight="1">
      <c r="A78" s="1164"/>
      <c r="B78" s="1152" t="s">
        <v>343</v>
      </c>
      <c r="C78" s="1161" t="s">
        <v>825</v>
      </c>
      <c r="D78" s="1154">
        <f>SUM(D79)</f>
        <v>50000</v>
      </c>
      <c r="E78" s="1154">
        <f>SUM(E79)</f>
        <v>0</v>
      </c>
      <c r="F78" s="1155">
        <f t="shared" si="5"/>
        <v>0</v>
      </c>
      <c r="G78" s="560"/>
    </row>
    <row r="79" spans="1:7" s="461" customFormat="1" ht="18.75" customHeight="1">
      <c r="A79" s="455"/>
      <c r="B79" s="456"/>
      <c r="C79" s="457" t="s">
        <v>1291</v>
      </c>
      <c r="D79" s="458">
        <f>SUM(D80)</f>
        <v>50000</v>
      </c>
      <c r="E79" s="458">
        <f>SUM(E80)</f>
        <v>0</v>
      </c>
      <c r="F79" s="459">
        <f t="shared" si="5"/>
        <v>0</v>
      </c>
      <c r="G79" s="460"/>
    </row>
    <row r="80" spans="1:7" s="468" customFormat="1" ht="18" customHeight="1">
      <c r="A80" s="462"/>
      <c r="B80" s="463"/>
      <c r="C80" s="464" t="s">
        <v>1293</v>
      </c>
      <c r="D80" s="465">
        <v>50000</v>
      </c>
      <c r="E80" s="465">
        <v>0</v>
      </c>
      <c r="F80" s="466">
        <f>E80/D80*100</f>
        <v>0</v>
      </c>
      <c r="G80" s="467"/>
    </row>
    <row r="81" spans="1:7" s="559" customFormat="1" ht="18.75" customHeight="1">
      <c r="A81" s="1165" t="s">
        <v>913</v>
      </c>
      <c r="B81" s="1147"/>
      <c r="C81" s="1148" t="s">
        <v>914</v>
      </c>
      <c r="D81" s="1149">
        <f>SUM(D82,D87,D91)</f>
        <v>1543895</v>
      </c>
      <c r="E81" s="1149">
        <f>SUM(E82,E87,E91)</f>
        <v>235924.08000000002</v>
      </c>
      <c r="F81" s="1150">
        <f>E81/D81*100</f>
        <v>15.28109618853614</v>
      </c>
      <c r="G81" s="560"/>
    </row>
    <row r="82" spans="1:7" s="119" customFormat="1" ht="18.75" customHeight="1">
      <c r="A82" s="1164"/>
      <c r="B82" s="1152" t="s">
        <v>344</v>
      </c>
      <c r="C82" s="625" t="s">
        <v>345</v>
      </c>
      <c r="D82" s="1154">
        <f>SUM(D83)</f>
        <v>489400</v>
      </c>
      <c r="E82" s="1154">
        <f>SUM(E83)</f>
        <v>65964.78</v>
      </c>
      <c r="F82" s="1155">
        <f t="shared" si="5"/>
        <v>13.478704536166736</v>
      </c>
      <c r="G82" s="560"/>
    </row>
    <row r="83" spans="1:7" s="461" customFormat="1" ht="18.75" customHeight="1">
      <c r="A83" s="455"/>
      <c r="B83" s="456"/>
      <c r="C83" s="457" t="s">
        <v>1186</v>
      </c>
      <c r="D83" s="458">
        <f>SUM(D84)</f>
        <v>489400</v>
      </c>
      <c r="E83" s="458">
        <f>SUM(E84)</f>
        <v>65964.78</v>
      </c>
      <c r="F83" s="459">
        <f t="shared" si="5"/>
        <v>13.478704536166736</v>
      </c>
      <c r="G83" s="460"/>
    </row>
    <row r="84" spans="1:7" s="468" customFormat="1" ht="18" customHeight="1">
      <c r="A84" s="462"/>
      <c r="B84" s="463"/>
      <c r="C84" s="464" t="s">
        <v>1288</v>
      </c>
      <c r="D84" s="465">
        <f>SUM(D85,D86)</f>
        <v>489400</v>
      </c>
      <c r="E84" s="465">
        <f>SUM(E85,E86)</f>
        <v>65964.78</v>
      </c>
      <c r="F84" s="466">
        <f aca="true" t="shared" si="6" ref="F84:F115">E84/D84*100</f>
        <v>13.478704536166736</v>
      </c>
      <c r="G84" s="467"/>
    </row>
    <row r="85" spans="1:7" s="1197" customFormat="1" ht="18.75" customHeight="1">
      <c r="A85" s="1192"/>
      <c r="B85" s="1193"/>
      <c r="C85" s="1194" t="s">
        <v>334</v>
      </c>
      <c r="D85" s="1195">
        <v>5000</v>
      </c>
      <c r="E85" s="1195">
        <v>1058</v>
      </c>
      <c r="F85" s="1196">
        <f t="shared" si="6"/>
        <v>21.16</v>
      </c>
      <c r="G85" s="467"/>
    </row>
    <row r="86" spans="1:7" s="1197" customFormat="1" ht="18.75" customHeight="1">
      <c r="A86" s="1192"/>
      <c r="B86" s="1193"/>
      <c r="C86" s="1194" t="s">
        <v>1289</v>
      </c>
      <c r="D86" s="1195">
        <v>484400</v>
      </c>
      <c r="E86" s="1195">
        <v>64906.78</v>
      </c>
      <c r="F86" s="1196">
        <f t="shared" si="6"/>
        <v>13.399417836498762</v>
      </c>
      <c r="G86" s="467"/>
    </row>
    <row r="87" spans="1:7" s="119" customFormat="1" ht="18.75" customHeight="1">
      <c r="A87" s="1164"/>
      <c r="B87" s="1152" t="s">
        <v>916</v>
      </c>
      <c r="C87" s="625" t="s">
        <v>917</v>
      </c>
      <c r="D87" s="1154">
        <f aca="true" t="shared" si="7" ref="D87:E89">SUM(D88)</f>
        <v>135000</v>
      </c>
      <c r="E87" s="1154">
        <f t="shared" si="7"/>
        <v>21821.76</v>
      </c>
      <c r="F87" s="1155">
        <f t="shared" si="6"/>
        <v>16.164266666666666</v>
      </c>
      <c r="G87" s="560"/>
    </row>
    <row r="88" spans="1:7" s="461" customFormat="1" ht="18.75" customHeight="1">
      <c r="A88" s="455"/>
      <c r="B88" s="456"/>
      <c r="C88" s="457" t="s">
        <v>1186</v>
      </c>
      <c r="D88" s="458">
        <f t="shared" si="7"/>
        <v>135000</v>
      </c>
      <c r="E88" s="458">
        <f t="shared" si="7"/>
        <v>21821.76</v>
      </c>
      <c r="F88" s="459">
        <f t="shared" si="6"/>
        <v>16.164266666666666</v>
      </c>
      <c r="G88" s="460"/>
    </row>
    <row r="89" spans="1:7" s="468" customFormat="1" ht="18" customHeight="1">
      <c r="A89" s="462"/>
      <c r="B89" s="463"/>
      <c r="C89" s="464" t="s">
        <v>1288</v>
      </c>
      <c r="D89" s="465">
        <f t="shared" si="7"/>
        <v>135000</v>
      </c>
      <c r="E89" s="465">
        <f t="shared" si="7"/>
        <v>21821.76</v>
      </c>
      <c r="F89" s="466">
        <f t="shared" si="6"/>
        <v>16.164266666666666</v>
      </c>
      <c r="G89" s="467"/>
    </row>
    <row r="90" spans="1:7" s="1197" customFormat="1" ht="18.75" customHeight="1">
      <c r="A90" s="1192"/>
      <c r="B90" s="1193"/>
      <c r="C90" s="1194" t="s">
        <v>1289</v>
      </c>
      <c r="D90" s="1195">
        <v>135000</v>
      </c>
      <c r="E90" s="1195">
        <v>21821.76</v>
      </c>
      <c r="F90" s="1196">
        <f t="shared" si="6"/>
        <v>16.164266666666666</v>
      </c>
      <c r="G90" s="467"/>
    </row>
    <row r="91" spans="1:8" s="557" customFormat="1" ht="18.75" customHeight="1">
      <c r="A91" s="1164"/>
      <c r="B91" s="1152" t="s">
        <v>923</v>
      </c>
      <c r="C91" s="1166" t="s">
        <v>924</v>
      </c>
      <c r="D91" s="1154">
        <f>SUM(D92,D95)</f>
        <v>919495</v>
      </c>
      <c r="E91" s="1154">
        <f>SUM(E92,E95)</f>
        <v>148137.54</v>
      </c>
      <c r="F91" s="1155">
        <f t="shared" si="6"/>
        <v>16.110749922511815</v>
      </c>
      <c r="G91" s="560"/>
      <c r="H91" s="119"/>
    </row>
    <row r="92" spans="1:7" s="461" customFormat="1" ht="18.75" customHeight="1">
      <c r="A92" s="455"/>
      <c r="B92" s="456"/>
      <c r="C92" s="457" t="s">
        <v>1186</v>
      </c>
      <c r="D92" s="458">
        <f>SUM(D93)</f>
        <v>357495</v>
      </c>
      <c r="E92" s="458">
        <f>SUM(E93)</f>
        <v>148137.54</v>
      </c>
      <c r="F92" s="459">
        <f t="shared" si="6"/>
        <v>41.43765367347795</v>
      </c>
      <c r="G92" s="460"/>
    </row>
    <row r="93" spans="1:7" s="468" customFormat="1" ht="18" customHeight="1">
      <c r="A93" s="462"/>
      <c r="B93" s="463"/>
      <c r="C93" s="464" t="s">
        <v>1288</v>
      </c>
      <c r="D93" s="465">
        <f>SUM(D94)</f>
        <v>357495</v>
      </c>
      <c r="E93" s="465">
        <f>SUM(E94)</f>
        <v>148137.54</v>
      </c>
      <c r="F93" s="466">
        <f t="shared" si="6"/>
        <v>41.43765367347795</v>
      </c>
      <c r="G93" s="467"/>
    </row>
    <row r="94" spans="1:7" s="1197" customFormat="1" ht="18.75" customHeight="1">
      <c r="A94" s="1192"/>
      <c r="B94" s="1193"/>
      <c r="C94" s="1194" t="s">
        <v>1289</v>
      </c>
      <c r="D94" s="1195">
        <v>357495</v>
      </c>
      <c r="E94" s="1195">
        <v>148137.54</v>
      </c>
      <c r="F94" s="1196">
        <f t="shared" si="6"/>
        <v>41.43765367347795</v>
      </c>
      <c r="G94" s="467"/>
    </row>
    <row r="95" spans="1:7" s="461" customFormat="1" ht="18.75" customHeight="1">
      <c r="A95" s="455"/>
      <c r="B95" s="456"/>
      <c r="C95" s="457" t="s">
        <v>1291</v>
      </c>
      <c r="D95" s="458">
        <f>SUM(D96)</f>
        <v>562000</v>
      </c>
      <c r="E95" s="458">
        <f>SUM(E96)</f>
        <v>0</v>
      </c>
      <c r="F95" s="459">
        <f t="shared" si="6"/>
        <v>0</v>
      </c>
      <c r="G95" s="460"/>
    </row>
    <row r="96" spans="1:7" s="468" customFormat="1" ht="18" customHeight="1">
      <c r="A96" s="462"/>
      <c r="B96" s="463"/>
      <c r="C96" s="464" t="s">
        <v>1293</v>
      </c>
      <c r="D96" s="465">
        <v>562000</v>
      </c>
      <c r="E96" s="465">
        <v>0</v>
      </c>
      <c r="F96" s="466">
        <f t="shared" si="6"/>
        <v>0</v>
      </c>
      <c r="G96" s="467"/>
    </row>
    <row r="97" spans="1:7" s="559" customFormat="1" ht="18.75" customHeight="1">
      <c r="A97" s="1165" t="s">
        <v>925</v>
      </c>
      <c r="B97" s="1147"/>
      <c r="C97" s="1162" t="s">
        <v>926</v>
      </c>
      <c r="D97" s="1149">
        <f>SUM(D98,D103,D110,D118,D123)</f>
        <v>15413941</v>
      </c>
      <c r="E97" s="1149">
        <f>SUM(E98,E103,E110,E118,E123)</f>
        <v>6491802.42</v>
      </c>
      <c r="F97" s="1150">
        <f t="shared" si="6"/>
        <v>42.116434855952804</v>
      </c>
      <c r="G97" s="560"/>
    </row>
    <row r="98" spans="1:7" s="119" customFormat="1" ht="18.75" customHeight="1">
      <c r="A98" s="1164"/>
      <c r="B98" s="1152" t="s">
        <v>927</v>
      </c>
      <c r="C98" s="1166" t="s">
        <v>933</v>
      </c>
      <c r="D98" s="1154">
        <f>D99</f>
        <v>369700</v>
      </c>
      <c r="E98" s="1154">
        <f>E99</f>
        <v>199770</v>
      </c>
      <c r="F98" s="1155">
        <f t="shared" si="6"/>
        <v>54.03570462537193</v>
      </c>
      <c r="G98" s="560"/>
    </row>
    <row r="99" spans="1:7" s="461" customFormat="1" ht="18.75" customHeight="1">
      <c r="A99" s="455"/>
      <c r="B99" s="456"/>
      <c r="C99" s="457" t="s">
        <v>1186</v>
      </c>
      <c r="D99" s="458">
        <f>SUM(D100)</f>
        <v>369700</v>
      </c>
      <c r="E99" s="458">
        <f>SUM(E100)</f>
        <v>199770</v>
      </c>
      <c r="F99" s="459">
        <f t="shared" si="6"/>
        <v>54.03570462537193</v>
      </c>
      <c r="G99" s="460"/>
    </row>
    <row r="100" spans="1:7" s="468" customFormat="1" ht="18" customHeight="1">
      <c r="A100" s="462"/>
      <c r="B100" s="463"/>
      <c r="C100" s="464" t="s">
        <v>1288</v>
      </c>
      <c r="D100" s="465">
        <f>SUM(D101,D102)</f>
        <v>369700</v>
      </c>
      <c r="E100" s="465">
        <f>SUM(E101,E102)</f>
        <v>199770</v>
      </c>
      <c r="F100" s="466">
        <f t="shared" si="6"/>
        <v>54.03570462537193</v>
      </c>
      <c r="G100" s="467"/>
    </row>
    <row r="101" spans="1:7" s="1197" customFormat="1" ht="18.75" customHeight="1">
      <c r="A101" s="1192"/>
      <c r="B101" s="1193"/>
      <c r="C101" s="1194" t="s">
        <v>334</v>
      </c>
      <c r="D101" s="1195">
        <v>363125</v>
      </c>
      <c r="E101" s="1195">
        <v>193195</v>
      </c>
      <c r="F101" s="1196">
        <f t="shared" si="6"/>
        <v>53.20344234079174</v>
      </c>
      <c r="G101" s="467"/>
    </row>
    <row r="102" spans="1:7" s="1197" customFormat="1" ht="18.75" customHeight="1">
      <c r="A102" s="1192"/>
      <c r="B102" s="1193"/>
      <c r="C102" s="1194" t="s">
        <v>1289</v>
      </c>
      <c r="D102" s="1195">
        <v>6575</v>
      </c>
      <c r="E102" s="1195">
        <v>6575</v>
      </c>
      <c r="F102" s="1196">
        <f t="shared" si="6"/>
        <v>100</v>
      </c>
      <c r="G102" s="467"/>
    </row>
    <row r="103" spans="1:7" s="119" customFormat="1" ht="18.75" customHeight="1">
      <c r="A103" s="1164"/>
      <c r="B103" s="1152" t="s">
        <v>346</v>
      </c>
      <c r="C103" s="1161" t="s">
        <v>347</v>
      </c>
      <c r="D103" s="1154">
        <f>SUM(D104,D108)</f>
        <v>505000</v>
      </c>
      <c r="E103" s="1154">
        <f>SUM(E104,E108)</f>
        <v>254601.97</v>
      </c>
      <c r="F103" s="1155">
        <f t="shared" si="6"/>
        <v>50.41623168316832</v>
      </c>
      <c r="G103" s="560"/>
    </row>
    <row r="104" spans="1:7" s="461" customFormat="1" ht="18.75" customHeight="1">
      <c r="A104" s="455"/>
      <c r="B104" s="456"/>
      <c r="C104" s="457" t="s">
        <v>1186</v>
      </c>
      <c r="D104" s="458">
        <f>SUM(D105,D107)</f>
        <v>501000</v>
      </c>
      <c r="E104" s="458">
        <f>SUM(E105,E107)</f>
        <v>250622.97</v>
      </c>
      <c r="F104" s="459">
        <f t="shared" si="6"/>
        <v>50.024544910179635</v>
      </c>
      <c r="G104" s="460"/>
    </row>
    <row r="105" spans="1:7" s="468" customFormat="1" ht="18" customHeight="1">
      <c r="A105" s="462"/>
      <c r="B105" s="463"/>
      <c r="C105" s="464" t="s">
        <v>1288</v>
      </c>
      <c r="D105" s="465">
        <f>SUM(D106)</f>
        <v>52700</v>
      </c>
      <c r="E105" s="465">
        <f>SUM(E106)</f>
        <v>28122.98</v>
      </c>
      <c r="F105" s="466">
        <f t="shared" si="6"/>
        <v>53.364288425047434</v>
      </c>
      <c r="G105" s="467"/>
    </row>
    <row r="106" spans="1:7" s="1197" customFormat="1" ht="18.75" customHeight="1">
      <c r="A106" s="1192"/>
      <c r="B106" s="1193"/>
      <c r="C106" s="1194" t="s">
        <v>1289</v>
      </c>
      <c r="D106" s="1195">
        <v>52700</v>
      </c>
      <c r="E106" s="1195">
        <v>28122.98</v>
      </c>
      <c r="F106" s="1196">
        <f t="shared" si="6"/>
        <v>53.364288425047434</v>
      </c>
      <c r="G106" s="467"/>
    </row>
    <row r="107" spans="1:7" s="468" customFormat="1" ht="18.75" customHeight="1">
      <c r="A107" s="469"/>
      <c r="B107" s="463"/>
      <c r="C107" s="1198" t="s">
        <v>1312</v>
      </c>
      <c r="D107" s="465">
        <v>448300</v>
      </c>
      <c r="E107" s="465">
        <v>222499.99</v>
      </c>
      <c r="F107" s="466">
        <f t="shared" si="6"/>
        <v>49.631940664733435</v>
      </c>
      <c r="G107" s="467"/>
    </row>
    <row r="108" spans="1:7" s="461" customFormat="1" ht="18.75" customHeight="1">
      <c r="A108" s="455"/>
      <c r="B108" s="456"/>
      <c r="C108" s="457" t="s">
        <v>1291</v>
      </c>
      <c r="D108" s="458">
        <f>SUM(D109)</f>
        <v>4000</v>
      </c>
      <c r="E108" s="458">
        <f>SUM(E109)</f>
        <v>3979</v>
      </c>
      <c r="F108" s="459">
        <f t="shared" si="6"/>
        <v>99.47500000000001</v>
      </c>
      <c r="G108" s="460"/>
    </row>
    <row r="109" spans="1:7" s="468" customFormat="1" ht="18" customHeight="1">
      <c r="A109" s="462"/>
      <c r="B109" s="463"/>
      <c r="C109" s="464" t="s">
        <v>1292</v>
      </c>
      <c r="D109" s="465">
        <v>4000</v>
      </c>
      <c r="E109" s="465">
        <v>3979</v>
      </c>
      <c r="F109" s="466">
        <f t="shared" si="6"/>
        <v>99.47500000000001</v>
      </c>
      <c r="G109" s="467"/>
    </row>
    <row r="110" spans="1:7" s="119" customFormat="1" ht="18.75" customHeight="1">
      <c r="A110" s="1164"/>
      <c r="B110" s="1152" t="s">
        <v>936</v>
      </c>
      <c r="C110" s="1161" t="s">
        <v>1222</v>
      </c>
      <c r="D110" s="1154">
        <f>SUM(D111,D116)</f>
        <v>11820590</v>
      </c>
      <c r="E110" s="1154">
        <f>SUM(E111,E116)</f>
        <v>5379388.75</v>
      </c>
      <c r="F110" s="1155">
        <f t="shared" si="6"/>
        <v>45.508631548848236</v>
      </c>
      <c r="G110" s="560"/>
    </row>
    <row r="111" spans="1:7" s="461" customFormat="1" ht="18.75" customHeight="1">
      <c r="A111" s="455"/>
      <c r="B111" s="456"/>
      <c r="C111" s="457" t="s">
        <v>1186</v>
      </c>
      <c r="D111" s="458">
        <f>SUM(D112,D115)</f>
        <v>11792740</v>
      </c>
      <c r="E111" s="458">
        <f>SUM(E112,E115)</f>
        <v>5375508.75</v>
      </c>
      <c r="F111" s="459">
        <f t="shared" si="6"/>
        <v>45.583204157812354</v>
      </c>
      <c r="G111" s="460"/>
    </row>
    <row r="112" spans="1:7" s="468" customFormat="1" ht="18" customHeight="1">
      <c r="A112" s="462"/>
      <c r="B112" s="463"/>
      <c r="C112" s="464" t="s">
        <v>1288</v>
      </c>
      <c r="D112" s="465">
        <f>SUM(D113,D114)</f>
        <v>11784740</v>
      </c>
      <c r="E112" s="465">
        <f>SUM(E113,E114)</f>
        <v>5370711.96</v>
      </c>
      <c r="F112" s="466">
        <f t="shared" si="6"/>
        <v>45.57344464112064</v>
      </c>
      <c r="G112" s="467"/>
    </row>
    <row r="113" spans="1:7" s="1197" customFormat="1" ht="18.75" customHeight="1">
      <c r="A113" s="1192"/>
      <c r="B113" s="1193"/>
      <c r="C113" s="1194" t="s">
        <v>334</v>
      </c>
      <c r="D113" s="1195">
        <v>9532412</v>
      </c>
      <c r="E113" s="1195">
        <v>4267493.74</v>
      </c>
      <c r="F113" s="1196">
        <f t="shared" si="6"/>
        <v>44.76824690330213</v>
      </c>
      <c r="G113" s="467"/>
    </row>
    <row r="114" spans="1:7" s="1197" customFormat="1" ht="18.75" customHeight="1">
      <c r="A114" s="1192"/>
      <c r="B114" s="1193"/>
      <c r="C114" s="1194" t="s">
        <v>1289</v>
      </c>
      <c r="D114" s="1195">
        <v>2252328</v>
      </c>
      <c r="E114" s="1195">
        <v>1103218.22</v>
      </c>
      <c r="F114" s="1196">
        <f t="shared" si="6"/>
        <v>48.98124163088147</v>
      </c>
      <c r="G114" s="467"/>
    </row>
    <row r="115" spans="1:7" s="468" customFormat="1" ht="18.75" customHeight="1">
      <c r="A115" s="469"/>
      <c r="B115" s="463"/>
      <c r="C115" s="1198" t="s">
        <v>1312</v>
      </c>
      <c r="D115" s="465">
        <v>8000</v>
      </c>
      <c r="E115" s="465">
        <v>4796.79</v>
      </c>
      <c r="F115" s="466">
        <f t="shared" si="6"/>
        <v>59.959875</v>
      </c>
      <c r="G115" s="467"/>
    </row>
    <row r="116" spans="1:7" s="461" customFormat="1" ht="18.75" customHeight="1">
      <c r="A116" s="455"/>
      <c r="B116" s="456"/>
      <c r="C116" s="457" t="s">
        <v>1291</v>
      </c>
      <c r="D116" s="458">
        <f>SUM(D117)</f>
        <v>27850</v>
      </c>
      <c r="E116" s="458">
        <f>SUM(E117)</f>
        <v>3880</v>
      </c>
      <c r="F116" s="459">
        <f aca="true" t="shared" si="8" ref="F116:F150">E116/D116*100</f>
        <v>13.931777378815081</v>
      </c>
      <c r="G116" s="460"/>
    </row>
    <row r="117" spans="1:7" s="468" customFormat="1" ht="18" customHeight="1">
      <c r="A117" s="462"/>
      <c r="B117" s="463"/>
      <c r="C117" s="464" t="s">
        <v>1292</v>
      </c>
      <c r="D117" s="465">
        <v>27850</v>
      </c>
      <c r="E117" s="465">
        <v>3880</v>
      </c>
      <c r="F117" s="466">
        <f t="shared" si="8"/>
        <v>13.931777378815081</v>
      </c>
      <c r="G117" s="467"/>
    </row>
    <row r="118" spans="1:8" s="1167" customFormat="1" ht="18.75" customHeight="1">
      <c r="A118" s="1164"/>
      <c r="B118" s="1152" t="s">
        <v>631</v>
      </c>
      <c r="C118" s="1161" t="s">
        <v>632</v>
      </c>
      <c r="D118" s="1154">
        <f>SUM(D119)</f>
        <v>616000</v>
      </c>
      <c r="E118" s="1154">
        <f>SUM(E119)</f>
        <v>242047.3</v>
      </c>
      <c r="F118" s="1155">
        <f t="shared" si="8"/>
        <v>39.293392857142855</v>
      </c>
      <c r="G118" s="467"/>
      <c r="H118" s="468"/>
    </row>
    <row r="119" spans="1:7" s="461" customFormat="1" ht="18.75" customHeight="1">
      <c r="A119" s="455"/>
      <c r="B119" s="456"/>
      <c r="C119" s="457" t="s">
        <v>1186</v>
      </c>
      <c r="D119" s="458">
        <f>SUM(D120)</f>
        <v>616000</v>
      </c>
      <c r="E119" s="458">
        <f>SUM(E120)</f>
        <v>242047.3</v>
      </c>
      <c r="F119" s="459">
        <f t="shared" si="8"/>
        <v>39.293392857142855</v>
      </c>
      <c r="G119" s="460"/>
    </row>
    <row r="120" spans="1:7" s="468" customFormat="1" ht="18" customHeight="1">
      <c r="A120" s="462"/>
      <c r="B120" s="463"/>
      <c r="C120" s="464" t="s">
        <v>1288</v>
      </c>
      <c r="D120" s="465">
        <f>SUM(D121,D122)</f>
        <v>616000</v>
      </c>
      <c r="E120" s="465">
        <f>SUM(E121,E122)</f>
        <v>242047.3</v>
      </c>
      <c r="F120" s="466">
        <f t="shared" si="8"/>
        <v>39.293392857142855</v>
      </c>
      <c r="G120" s="467"/>
    </row>
    <row r="121" spans="1:7" s="1197" customFormat="1" ht="18.75" customHeight="1">
      <c r="A121" s="1192"/>
      <c r="B121" s="1193"/>
      <c r="C121" s="1194" t="s">
        <v>334</v>
      </c>
      <c r="D121" s="1195">
        <v>20000</v>
      </c>
      <c r="E121" s="1195">
        <v>2577</v>
      </c>
      <c r="F121" s="1196">
        <f t="shared" si="8"/>
        <v>12.885</v>
      </c>
      <c r="G121" s="467"/>
    </row>
    <row r="122" spans="1:7" s="1197" customFormat="1" ht="18.75" customHeight="1">
      <c r="A122" s="1192"/>
      <c r="B122" s="1193"/>
      <c r="C122" s="1194" t="s">
        <v>1289</v>
      </c>
      <c r="D122" s="1195">
        <v>596000</v>
      </c>
      <c r="E122" s="1195">
        <v>239470.3</v>
      </c>
      <c r="F122" s="1196">
        <f t="shared" si="8"/>
        <v>40.17958053691275</v>
      </c>
      <c r="G122" s="467"/>
    </row>
    <row r="123" spans="1:8" s="1167" customFormat="1" ht="18.75" customHeight="1">
      <c r="A123" s="1164"/>
      <c r="B123" s="1152" t="s">
        <v>938</v>
      </c>
      <c r="C123" s="1161" t="s">
        <v>825</v>
      </c>
      <c r="D123" s="1154">
        <f>SUM(D124,D132)</f>
        <v>2102651</v>
      </c>
      <c r="E123" s="1154">
        <f>SUM(E124,E132)</f>
        <v>415994.4</v>
      </c>
      <c r="F123" s="1155">
        <f t="shared" si="8"/>
        <v>19.784281842302885</v>
      </c>
      <c r="G123" s="467"/>
      <c r="H123" s="468"/>
    </row>
    <row r="124" spans="1:7" s="461" customFormat="1" ht="18.75" customHeight="1">
      <c r="A124" s="455"/>
      <c r="B124" s="456"/>
      <c r="C124" s="457" t="s">
        <v>1186</v>
      </c>
      <c r="D124" s="458">
        <f>SUM(D125,D128,D130,D131)</f>
        <v>1337651</v>
      </c>
      <c r="E124" s="458">
        <f>SUM(E125,E128,E130,E131)</f>
        <v>385735.02</v>
      </c>
      <c r="F124" s="459">
        <f t="shared" si="8"/>
        <v>28.836745907564833</v>
      </c>
      <c r="G124" s="460"/>
    </row>
    <row r="125" spans="1:7" s="468" customFormat="1" ht="18" customHeight="1">
      <c r="A125" s="462"/>
      <c r="B125" s="463"/>
      <c r="C125" s="464" t="s">
        <v>1288</v>
      </c>
      <c r="D125" s="465">
        <f>SUM(D126,D127)</f>
        <v>347464</v>
      </c>
      <c r="E125" s="465">
        <f>SUM(E126,E127)</f>
        <v>172725.59</v>
      </c>
      <c r="F125" s="466">
        <f t="shared" si="8"/>
        <v>49.710355605185</v>
      </c>
      <c r="G125" s="467"/>
    </row>
    <row r="126" spans="1:7" s="1197" customFormat="1" ht="18.75" customHeight="1">
      <c r="A126" s="1192"/>
      <c r="B126" s="1193"/>
      <c r="C126" s="1194" t="s">
        <v>334</v>
      </c>
      <c r="D126" s="1195">
        <v>16000</v>
      </c>
      <c r="E126" s="1195">
        <v>599</v>
      </c>
      <c r="F126" s="1196">
        <f t="shared" si="8"/>
        <v>3.74375</v>
      </c>
      <c r="G126" s="467"/>
    </row>
    <row r="127" spans="1:7" s="1197" customFormat="1" ht="18.75" customHeight="1">
      <c r="A127" s="1192"/>
      <c r="B127" s="1193"/>
      <c r="C127" s="1194" t="s">
        <v>1289</v>
      </c>
      <c r="D127" s="1195">
        <v>331464</v>
      </c>
      <c r="E127" s="1195">
        <v>172126.59</v>
      </c>
      <c r="F127" s="1196">
        <f t="shared" si="8"/>
        <v>51.92919593077981</v>
      </c>
      <c r="G127" s="467"/>
    </row>
    <row r="128" spans="1:7" s="1197" customFormat="1" ht="18.75" customHeight="1">
      <c r="A128" s="1192"/>
      <c r="B128" s="1193"/>
      <c r="C128" s="464" t="s">
        <v>1319</v>
      </c>
      <c r="D128" s="465">
        <v>20280</v>
      </c>
      <c r="E128" s="465">
        <v>6180.51</v>
      </c>
      <c r="F128" s="466">
        <f t="shared" si="8"/>
        <v>30.4758875739645</v>
      </c>
      <c r="G128" s="467"/>
    </row>
    <row r="129" spans="1:7" s="1197" customFormat="1" ht="18.75" customHeight="1">
      <c r="A129" s="1192"/>
      <c r="B129" s="1193"/>
      <c r="C129" s="1194" t="s">
        <v>1062</v>
      </c>
      <c r="D129" s="1195">
        <v>20280</v>
      </c>
      <c r="E129" s="1195">
        <v>6180.51</v>
      </c>
      <c r="F129" s="1196">
        <f>E129/D129*100</f>
        <v>30.4758875739645</v>
      </c>
      <c r="G129" s="467"/>
    </row>
    <row r="130" spans="1:7" s="468" customFormat="1" ht="18.75" customHeight="1">
      <c r="A130" s="462"/>
      <c r="B130" s="463"/>
      <c r="C130" s="464" t="s">
        <v>1290</v>
      </c>
      <c r="D130" s="465">
        <v>6436</v>
      </c>
      <c r="E130" s="465">
        <v>0</v>
      </c>
      <c r="F130" s="466">
        <f t="shared" si="8"/>
        <v>0</v>
      </c>
      <c r="G130" s="1160"/>
    </row>
    <row r="131" spans="1:7" s="468" customFormat="1" ht="18.75" customHeight="1">
      <c r="A131" s="462"/>
      <c r="B131" s="463"/>
      <c r="C131" s="464" t="s">
        <v>1320</v>
      </c>
      <c r="D131" s="465">
        <v>963471</v>
      </c>
      <c r="E131" s="465">
        <v>206828.92</v>
      </c>
      <c r="F131" s="466">
        <f>E131/D131*100</f>
        <v>21.467062319467843</v>
      </c>
      <c r="G131" s="1160"/>
    </row>
    <row r="132" spans="1:7" s="461" customFormat="1" ht="18.75" customHeight="1">
      <c r="A132" s="455"/>
      <c r="B132" s="456"/>
      <c r="C132" s="457" t="s">
        <v>1291</v>
      </c>
      <c r="D132" s="458">
        <f>SUM(D133)</f>
        <v>765000</v>
      </c>
      <c r="E132" s="458">
        <f>SUM(E133)</f>
        <v>30259.38</v>
      </c>
      <c r="F132" s="459">
        <f t="shared" si="8"/>
        <v>3.955474509803922</v>
      </c>
      <c r="G132" s="460"/>
    </row>
    <row r="133" spans="1:7" s="468" customFormat="1" ht="18" customHeight="1">
      <c r="A133" s="462"/>
      <c r="B133" s="463"/>
      <c r="C133" s="464" t="s">
        <v>1293</v>
      </c>
      <c r="D133" s="465">
        <v>765000</v>
      </c>
      <c r="E133" s="465">
        <v>30259.38</v>
      </c>
      <c r="F133" s="466">
        <f t="shared" si="8"/>
        <v>3.955474509803922</v>
      </c>
      <c r="G133" s="467"/>
    </row>
    <row r="134" spans="1:8" s="1167" customFormat="1" ht="51.75" customHeight="1">
      <c r="A134" s="1168" t="s">
        <v>1162</v>
      </c>
      <c r="B134" s="1147"/>
      <c r="C134" s="1148" t="s">
        <v>939</v>
      </c>
      <c r="D134" s="1169">
        <f>SUM(D135,D139)</f>
        <v>99475</v>
      </c>
      <c r="E134" s="1169">
        <f>SUM(E135,E139)</f>
        <v>31969.22</v>
      </c>
      <c r="F134" s="1150">
        <f t="shared" si="8"/>
        <v>32.13794420708721</v>
      </c>
      <c r="G134" s="467"/>
      <c r="H134" s="468"/>
    </row>
    <row r="135" spans="1:8" s="1167" customFormat="1" ht="26.25" customHeight="1">
      <c r="A135" s="1164"/>
      <c r="B135" s="612" t="s">
        <v>1110</v>
      </c>
      <c r="C135" s="625" t="s">
        <v>348</v>
      </c>
      <c r="D135" s="1170">
        <f>D136</f>
        <v>6960</v>
      </c>
      <c r="E135" s="1154">
        <f>E136</f>
        <v>0</v>
      </c>
      <c r="F135" s="1155">
        <f t="shared" si="8"/>
        <v>0</v>
      </c>
      <c r="G135" s="467"/>
      <c r="H135" s="468"/>
    </row>
    <row r="136" spans="1:7" s="461" customFormat="1" ht="18.75" customHeight="1">
      <c r="A136" s="455"/>
      <c r="B136" s="456"/>
      <c r="C136" s="457" t="s">
        <v>1186</v>
      </c>
      <c r="D136" s="458">
        <f>SUM(D137)</f>
        <v>6960</v>
      </c>
      <c r="E136" s="458">
        <f>SUM(E137)</f>
        <v>0</v>
      </c>
      <c r="F136" s="459">
        <f t="shared" si="8"/>
        <v>0</v>
      </c>
      <c r="G136" s="460"/>
    </row>
    <row r="137" spans="1:7" s="468" customFormat="1" ht="18" customHeight="1">
      <c r="A137" s="462"/>
      <c r="B137" s="463"/>
      <c r="C137" s="464" t="s">
        <v>1288</v>
      </c>
      <c r="D137" s="465">
        <f>SUM(D138)</f>
        <v>6960</v>
      </c>
      <c r="E137" s="465">
        <f>SUM(E138)</f>
        <v>0</v>
      </c>
      <c r="F137" s="466">
        <f t="shared" si="8"/>
        <v>0</v>
      </c>
      <c r="G137" s="467"/>
    </row>
    <row r="138" spans="1:7" s="1197" customFormat="1" ht="18.75" customHeight="1">
      <c r="A138" s="1192"/>
      <c r="B138" s="1193"/>
      <c r="C138" s="1194" t="s">
        <v>334</v>
      </c>
      <c r="D138" s="1195">
        <v>6960</v>
      </c>
      <c r="E138" s="1195">
        <v>0</v>
      </c>
      <c r="F138" s="1196">
        <f t="shared" si="8"/>
        <v>0</v>
      </c>
      <c r="G138" s="467"/>
    </row>
    <row r="139" spans="1:8" s="1167" customFormat="1" ht="16.5" customHeight="1">
      <c r="A139" s="1164"/>
      <c r="B139" s="612" t="s">
        <v>70</v>
      </c>
      <c r="C139" s="625" t="s">
        <v>1313</v>
      </c>
      <c r="D139" s="1170">
        <f>D140</f>
        <v>92515</v>
      </c>
      <c r="E139" s="1154">
        <f>E140</f>
        <v>31969.22</v>
      </c>
      <c r="F139" s="1155">
        <f t="shared" si="8"/>
        <v>34.55571528941253</v>
      </c>
      <c r="G139" s="467"/>
      <c r="H139" s="468"/>
    </row>
    <row r="140" spans="1:7" s="461" customFormat="1" ht="18.75" customHeight="1">
      <c r="A140" s="455"/>
      <c r="B140" s="456"/>
      <c r="C140" s="457" t="s">
        <v>1186</v>
      </c>
      <c r="D140" s="458">
        <f>SUM(D141,D144)</f>
        <v>92515</v>
      </c>
      <c r="E140" s="458">
        <f>SUM(E141,E144)</f>
        <v>31969.22</v>
      </c>
      <c r="F140" s="459">
        <f t="shared" si="8"/>
        <v>34.55571528941253</v>
      </c>
      <c r="G140" s="460"/>
    </row>
    <row r="141" spans="1:7" s="468" customFormat="1" ht="18" customHeight="1">
      <c r="A141" s="462"/>
      <c r="B141" s="463"/>
      <c r="C141" s="464" t="s">
        <v>1288</v>
      </c>
      <c r="D141" s="465">
        <f>SUM(D142,D143)</f>
        <v>43015</v>
      </c>
      <c r="E141" s="465">
        <f>SUM(E142,E143)</f>
        <v>7489.219999999999</v>
      </c>
      <c r="F141" s="466">
        <f t="shared" si="8"/>
        <v>17.410717191677318</v>
      </c>
      <c r="G141" s="467"/>
    </row>
    <row r="142" spans="1:7" s="1197" customFormat="1" ht="18.75" customHeight="1">
      <c r="A142" s="1192"/>
      <c r="B142" s="1193"/>
      <c r="C142" s="1194" t="s">
        <v>334</v>
      </c>
      <c r="D142" s="1195">
        <v>34715</v>
      </c>
      <c r="E142" s="1195">
        <v>6598.15</v>
      </c>
      <c r="F142" s="1196">
        <f t="shared" si="8"/>
        <v>19.00662537807864</v>
      </c>
      <c r="G142" s="467"/>
    </row>
    <row r="143" spans="1:7" s="1197" customFormat="1" ht="18.75" customHeight="1">
      <c r="A143" s="1192"/>
      <c r="B143" s="1193"/>
      <c r="C143" s="1194" t="s">
        <v>1289</v>
      </c>
      <c r="D143" s="1195">
        <v>8300</v>
      </c>
      <c r="E143" s="1195">
        <v>891.07</v>
      </c>
      <c r="F143" s="1196">
        <f t="shared" si="8"/>
        <v>10.735783132530122</v>
      </c>
      <c r="G143" s="467"/>
    </row>
    <row r="144" spans="1:7" s="468" customFormat="1" ht="18.75" customHeight="1">
      <c r="A144" s="469"/>
      <c r="B144" s="463"/>
      <c r="C144" s="1198" t="s">
        <v>1312</v>
      </c>
      <c r="D144" s="465">
        <v>49500</v>
      </c>
      <c r="E144" s="465">
        <v>24480</v>
      </c>
      <c r="F144" s="466">
        <f t="shared" si="8"/>
        <v>49.45454545454545</v>
      </c>
      <c r="G144" s="467"/>
    </row>
    <row r="145" spans="1:8" s="1167" customFormat="1" ht="27.75" customHeight="1">
      <c r="A145" s="1168" t="s">
        <v>940</v>
      </c>
      <c r="B145" s="1147"/>
      <c r="C145" s="1148" t="s">
        <v>1254</v>
      </c>
      <c r="D145" s="1149">
        <f>SUM(D146,D154,D158,D164)</f>
        <v>655566</v>
      </c>
      <c r="E145" s="1149">
        <f>SUM(E146,E154,E158,E164)</f>
        <v>307242.44999999995</v>
      </c>
      <c r="F145" s="1150">
        <f t="shared" si="8"/>
        <v>46.86674568235692</v>
      </c>
      <c r="G145" s="467"/>
      <c r="H145" s="468"/>
    </row>
    <row r="146" spans="1:8" s="1167" customFormat="1" ht="18.75" customHeight="1">
      <c r="A146" s="1164"/>
      <c r="B146" s="1152" t="s">
        <v>351</v>
      </c>
      <c r="C146" s="1161" t="s">
        <v>352</v>
      </c>
      <c r="D146" s="1154">
        <f>SUM(D147,D152)</f>
        <v>149923</v>
      </c>
      <c r="E146" s="1154">
        <f>SUM(E147,E152)</f>
        <v>70692.98000000001</v>
      </c>
      <c r="F146" s="1155">
        <f t="shared" si="8"/>
        <v>47.152858467346576</v>
      </c>
      <c r="G146" s="467"/>
      <c r="H146" s="468"/>
    </row>
    <row r="147" spans="1:7" s="461" customFormat="1" ht="18.75" customHeight="1">
      <c r="A147" s="455"/>
      <c r="B147" s="456"/>
      <c r="C147" s="457" t="s">
        <v>1186</v>
      </c>
      <c r="D147" s="458">
        <f>SUM(D148,D151)</f>
        <v>138334</v>
      </c>
      <c r="E147" s="458">
        <f>SUM(E148,E151)</f>
        <v>59104.880000000005</v>
      </c>
      <c r="F147" s="459">
        <f t="shared" si="8"/>
        <v>42.72621336764642</v>
      </c>
      <c r="G147" s="460"/>
    </row>
    <row r="148" spans="1:7" s="468" customFormat="1" ht="18" customHeight="1">
      <c r="A148" s="462"/>
      <c r="B148" s="463"/>
      <c r="C148" s="464" t="s">
        <v>1288</v>
      </c>
      <c r="D148" s="465">
        <f>SUM(D149,D150)</f>
        <v>91964</v>
      </c>
      <c r="E148" s="465">
        <f>SUM(E149,E150)</f>
        <v>52920.66</v>
      </c>
      <c r="F148" s="466">
        <f t="shared" si="8"/>
        <v>57.54497412030795</v>
      </c>
      <c r="G148" s="467"/>
    </row>
    <row r="149" spans="1:7" s="1197" customFormat="1" ht="18.75" customHeight="1">
      <c r="A149" s="1192"/>
      <c r="B149" s="1193"/>
      <c r="C149" s="1194" t="s">
        <v>334</v>
      </c>
      <c r="D149" s="1195">
        <v>45800</v>
      </c>
      <c r="E149" s="1195">
        <v>20866.93</v>
      </c>
      <c r="F149" s="1196">
        <f t="shared" si="8"/>
        <v>45.56098253275109</v>
      </c>
      <c r="G149" s="467"/>
    </row>
    <row r="150" spans="1:7" s="1197" customFormat="1" ht="18.75" customHeight="1">
      <c r="A150" s="1192"/>
      <c r="B150" s="1193"/>
      <c r="C150" s="1194" t="s">
        <v>1289</v>
      </c>
      <c r="D150" s="1195">
        <v>46164</v>
      </c>
      <c r="E150" s="1195">
        <v>32053.73</v>
      </c>
      <c r="F150" s="1196">
        <f t="shared" si="8"/>
        <v>69.43447274932848</v>
      </c>
      <c r="G150" s="467"/>
    </row>
    <row r="151" spans="1:7" s="468" customFormat="1" ht="18.75" customHeight="1">
      <c r="A151" s="469"/>
      <c r="B151" s="463"/>
      <c r="C151" s="1198" t="s">
        <v>1312</v>
      </c>
      <c r="D151" s="465">
        <v>46370</v>
      </c>
      <c r="E151" s="465">
        <v>6184.22</v>
      </c>
      <c r="F151" s="466">
        <f aca="true" t="shared" si="9" ref="F151:F182">E151/D151*100</f>
        <v>13.336683200345052</v>
      </c>
      <c r="G151" s="467"/>
    </row>
    <row r="152" spans="1:7" s="461" customFormat="1" ht="18.75" customHeight="1">
      <c r="A152" s="455"/>
      <c r="B152" s="456"/>
      <c r="C152" s="457" t="s">
        <v>1291</v>
      </c>
      <c r="D152" s="458">
        <f>SUM(D153)</f>
        <v>11589</v>
      </c>
      <c r="E152" s="458">
        <f>SUM(E153)</f>
        <v>11588.1</v>
      </c>
      <c r="F152" s="459">
        <f t="shared" si="9"/>
        <v>99.99223401501423</v>
      </c>
      <c r="G152" s="460"/>
    </row>
    <row r="153" spans="1:7" s="468" customFormat="1" ht="18" customHeight="1">
      <c r="A153" s="462"/>
      <c r="B153" s="463"/>
      <c r="C153" s="464" t="s">
        <v>1292</v>
      </c>
      <c r="D153" s="465">
        <v>11589</v>
      </c>
      <c r="E153" s="465">
        <v>11588.1</v>
      </c>
      <c r="F153" s="466">
        <f t="shared" si="9"/>
        <v>99.99223401501423</v>
      </c>
      <c r="G153" s="467"/>
    </row>
    <row r="154" spans="1:8" s="1167" customFormat="1" ht="18.75" customHeight="1">
      <c r="A154" s="1164"/>
      <c r="B154" s="1152" t="s">
        <v>942</v>
      </c>
      <c r="C154" s="1166" t="s">
        <v>943</v>
      </c>
      <c r="D154" s="1154">
        <f>SUM(D157)</f>
        <v>10000</v>
      </c>
      <c r="E154" s="1154">
        <f>SUM(E157)</f>
        <v>2535.11</v>
      </c>
      <c r="F154" s="1155">
        <f t="shared" si="9"/>
        <v>25.3511</v>
      </c>
      <c r="G154" s="467"/>
      <c r="H154" s="468"/>
    </row>
    <row r="155" spans="1:7" s="461" customFormat="1" ht="18.75" customHeight="1">
      <c r="A155" s="455"/>
      <c r="B155" s="456"/>
      <c r="C155" s="457" t="s">
        <v>1186</v>
      </c>
      <c r="D155" s="458">
        <f>SUM(D156)</f>
        <v>10000</v>
      </c>
      <c r="E155" s="458">
        <f>SUM(E156)</f>
        <v>2535.11</v>
      </c>
      <c r="F155" s="459">
        <f t="shared" si="9"/>
        <v>25.3511</v>
      </c>
      <c r="G155" s="460"/>
    </row>
    <row r="156" spans="1:7" s="468" customFormat="1" ht="18" customHeight="1">
      <c r="A156" s="462"/>
      <c r="B156" s="463"/>
      <c r="C156" s="464" t="s">
        <v>1288</v>
      </c>
      <c r="D156" s="465">
        <f>SUM(D157)</f>
        <v>10000</v>
      </c>
      <c r="E156" s="465">
        <f>SUM(E157)</f>
        <v>2535.11</v>
      </c>
      <c r="F156" s="466">
        <f t="shared" si="9"/>
        <v>25.3511</v>
      </c>
      <c r="G156" s="467"/>
    </row>
    <row r="157" spans="1:7" s="1197" customFormat="1" ht="18.75" customHeight="1">
      <c r="A157" s="1192"/>
      <c r="B157" s="1193"/>
      <c r="C157" s="1194" t="s">
        <v>1289</v>
      </c>
      <c r="D157" s="1195">
        <v>10000</v>
      </c>
      <c r="E157" s="1195">
        <v>2535.11</v>
      </c>
      <c r="F157" s="1196">
        <f t="shared" si="9"/>
        <v>25.3511</v>
      </c>
      <c r="G157" s="467"/>
    </row>
    <row r="158" spans="1:7" s="468" customFormat="1" ht="18.75" customHeight="1">
      <c r="A158" s="1164"/>
      <c r="B158" s="1152" t="s">
        <v>1239</v>
      </c>
      <c r="C158" s="1166" t="s">
        <v>1240</v>
      </c>
      <c r="D158" s="1154">
        <f>SUM(D159)</f>
        <v>256243</v>
      </c>
      <c r="E158" s="1154">
        <f>SUM(E159)</f>
        <v>149907.50999999998</v>
      </c>
      <c r="F158" s="1155">
        <f t="shared" si="9"/>
        <v>58.50208981318513</v>
      </c>
      <c r="G158" s="467"/>
    </row>
    <row r="159" spans="1:7" s="461" customFormat="1" ht="18.75" customHeight="1">
      <c r="A159" s="455"/>
      <c r="B159" s="456"/>
      <c r="C159" s="457" t="s">
        <v>1186</v>
      </c>
      <c r="D159" s="458">
        <f>SUM(D160,D163)</f>
        <v>256243</v>
      </c>
      <c r="E159" s="458">
        <f>SUM(E160,E163)</f>
        <v>149907.50999999998</v>
      </c>
      <c r="F159" s="459">
        <f t="shared" si="9"/>
        <v>58.50208981318513</v>
      </c>
      <c r="G159" s="460"/>
    </row>
    <row r="160" spans="1:7" s="468" customFormat="1" ht="18" customHeight="1">
      <c r="A160" s="462"/>
      <c r="B160" s="463"/>
      <c r="C160" s="464" t="s">
        <v>1288</v>
      </c>
      <c r="D160" s="465">
        <f>SUM(D161,D162)</f>
        <v>246905</v>
      </c>
      <c r="E160" s="465">
        <f>SUM(E161,E162)</f>
        <v>146875.8</v>
      </c>
      <c r="F160" s="466">
        <f t="shared" si="9"/>
        <v>59.48676616512424</v>
      </c>
      <c r="G160" s="467"/>
    </row>
    <row r="161" spans="1:7" s="1197" customFormat="1" ht="18.75" customHeight="1">
      <c r="A161" s="1192"/>
      <c r="B161" s="1193"/>
      <c r="C161" s="1194" t="s">
        <v>334</v>
      </c>
      <c r="D161" s="1195">
        <v>215438</v>
      </c>
      <c r="E161" s="1195">
        <v>127264.53</v>
      </c>
      <c r="F161" s="1196">
        <f t="shared" si="9"/>
        <v>59.0724616827115</v>
      </c>
      <c r="G161" s="467"/>
    </row>
    <row r="162" spans="1:7" s="1197" customFormat="1" ht="18.75" customHeight="1">
      <c r="A162" s="1192"/>
      <c r="B162" s="1193"/>
      <c r="C162" s="1194" t="s">
        <v>1289</v>
      </c>
      <c r="D162" s="1195">
        <v>31467</v>
      </c>
      <c r="E162" s="1195">
        <v>19611.27</v>
      </c>
      <c r="F162" s="1196">
        <f t="shared" si="9"/>
        <v>62.32329106683192</v>
      </c>
      <c r="G162" s="467"/>
    </row>
    <row r="163" spans="1:7" s="468" customFormat="1" ht="18.75" customHeight="1">
      <c r="A163" s="469"/>
      <c r="B163" s="463"/>
      <c r="C163" s="1198" t="s">
        <v>1312</v>
      </c>
      <c r="D163" s="465">
        <v>9338</v>
      </c>
      <c r="E163" s="465">
        <v>3031.71</v>
      </c>
      <c r="F163" s="466">
        <f t="shared" si="9"/>
        <v>32.4663739558792</v>
      </c>
      <c r="G163" s="467"/>
    </row>
    <row r="164" spans="1:8" s="1167" customFormat="1" ht="17.25" customHeight="1">
      <c r="A164" s="1164"/>
      <c r="B164" s="1152" t="s">
        <v>353</v>
      </c>
      <c r="C164" s="1166" t="s">
        <v>825</v>
      </c>
      <c r="D164" s="1154">
        <f aca="true" t="shared" si="10" ref="D164:E166">SUM(D165)</f>
        <v>239400</v>
      </c>
      <c r="E164" s="1154">
        <f t="shared" si="10"/>
        <v>84106.85</v>
      </c>
      <c r="F164" s="1155">
        <f t="shared" si="9"/>
        <v>35.13235171261487</v>
      </c>
      <c r="G164" s="467"/>
      <c r="H164" s="468"/>
    </row>
    <row r="165" spans="1:7" s="461" customFormat="1" ht="18.75" customHeight="1">
      <c r="A165" s="455"/>
      <c r="B165" s="456"/>
      <c r="C165" s="457" t="s">
        <v>1186</v>
      </c>
      <c r="D165" s="458">
        <f t="shared" si="10"/>
        <v>239400</v>
      </c>
      <c r="E165" s="458">
        <f t="shared" si="10"/>
        <v>84106.85</v>
      </c>
      <c r="F165" s="459">
        <f t="shared" si="9"/>
        <v>35.13235171261487</v>
      </c>
      <c r="G165" s="460"/>
    </row>
    <row r="166" spans="1:7" s="468" customFormat="1" ht="18" customHeight="1">
      <c r="A166" s="462"/>
      <c r="B166" s="463"/>
      <c r="C166" s="464" t="s">
        <v>1288</v>
      </c>
      <c r="D166" s="465">
        <f t="shared" si="10"/>
        <v>239400</v>
      </c>
      <c r="E166" s="465">
        <f t="shared" si="10"/>
        <v>84106.85</v>
      </c>
      <c r="F166" s="466">
        <f t="shared" si="9"/>
        <v>35.13235171261487</v>
      </c>
      <c r="G166" s="467"/>
    </row>
    <row r="167" spans="1:7" s="1197" customFormat="1" ht="18.75" customHeight="1">
      <c r="A167" s="1192"/>
      <c r="B167" s="1193"/>
      <c r="C167" s="1194" t="s">
        <v>1289</v>
      </c>
      <c r="D167" s="1195">
        <v>239400</v>
      </c>
      <c r="E167" s="1195">
        <v>84106.85</v>
      </c>
      <c r="F167" s="1196">
        <f t="shared" si="9"/>
        <v>35.13235171261487</v>
      </c>
      <c r="G167" s="467"/>
    </row>
    <row r="168" spans="1:7" s="119" customFormat="1" ht="65.25" customHeight="1">
      <c r="A168" s="1165" t="s">
        <v>1203</v>
      </c>
      <c r="B168" s="1147"/>
      <c r="C168" s="1148" t="s">
        <v>354</v>
      </c>
      <c r="D168" s="1149">
        <f aca="true" t="shared" si="11" ref="D168:E170">SUM(D169)</f>
        <v>408000</v>
      </c>
      <c r="E168" s="1149">
        <f t="shared" si="11"/>
        <v>127041.99</v>
      </c>
      <c r="F168" s="1150">
        <f t="shared" si="9"/>
        <v>31.137742647058825</v>
      </c>
      <c r="G168" s="560"/>
    </row>
    <row r="169" spans="1:7" s="468" customFormat="1" ht="27.75" customHeight="1">
      <c r="A169" s="1164"/>
      <c r="B169" s="1152" t="s">
        <v>362</v>
      </c>
      <c r="C169" s="625" t="s">
        <v>363</v>
      </c>
      <c r="D169" s="1154">
        <f t="shared" si="11"/>
        <v>408000</v>
      </c>
      <c r="E169" s="1154">
        <f t="shared" si="11"/>
        <v>127041.99</v>
      </c>
      <c r="F169" s="1155">
        <f t="shared" si="9"/>
        <v>31.137742647058825</v>
      </c>
      <c r="G169" s="467"/>
    </row>
    <row r="170" spans="1:7" s="461" customFormat="1" ht="18.75" customHeight="1">
      <c r="A170" s="455"/>
      <c r="B170" s="456"/>
      <c r="C170" s="457" t="s">
        <v>1186</v>
      </c>
      <c r="D170" s="458">
        <f t="shared" si="11"/>
        <v>408000</v>
      </c>
      <c r="E170" s="458">
        <f t="shared" si="11"/>
        <v>127041.99</v>
      </c>
      <c r="F170" s="459">
        <f t="shared" si="9"/>
        <v>31.137742647058825</v>
      </c>
      <c r="G170" s="460"/>
    </row>
    <row r="171" spans="1:7" s="468" customFormat="1" ht="18" customHeight="1">
      <c r="A171" s="462"/>
      <c r="B171" s="463"/>
      <c r="C171" s="464" t="s">
        <v>1288</v>
      </c>
      <c r="D171" s="465">
        <f>SUM(D172,D173)</f>
        <v>408000</v>
      </c>
      <c r="E171" s="465">
        <f>SUM(E172,E173)</f>
        <v>127041.99</v>
      </c>
      <c r="F171" s="466">
        <f t="shared" si="9"/>
        <v>31.137742647058825</v>
      </c>
      <c r="G171" s="467"/>
    </row>
    <row r="172" spans="1:7" s="1197" customFormat="1" ht="18.75" customHeight="1">
      <c r="A172" s="1192"/>
      <c r="B172" s="1193"/>
      <c r="C172" s="1194" t="s">
        <v>334</v>
      </c>
      <c r="D172" s="1195">
        <v>350000</v>
      </c>
      <c r="E172" s="1195">
        <v>100865.1</v>
      </c>
      <c r="F172" s="1196">
        <f t="shared" si="9"/>
        <v>28.8186</v>
      </c>
      <c r="G172" s="467"/>
    </row>
    <row r="173" spans="1:7" s="1197" customFormat="1" ht="18.75" customHeight="1">
      <c r="A173" s="1192"/>
      <c r="B173" s="1193"/>
      <c r="C173" s="1194" t="s">
        <v>1289</v>
      </c>
      <c r="D173" s="1195">
        <v>58000</v>
      </c>
      <c r="E173" s="1195">
        <v>26176.89</v>
      </c>
      <c r="F173" s="1196">
        <f t="shared" si="9"/>
        <v>45.13256896551724</v>
      </c>
      <c r="G173" s="467"/>
    </row>
    <row r="174" spans="1:8" s="1167" customFormat="1" ht="18.75" customHeight="1">
      <c r="A174" s="1165" t="s">
        <v>944</v>
      </c>
      <c r="B174" s="1147"/>
      <c r="C174" s="1162" t="s">
        <v>365</v>
      </c>
      <c r="D174" s="1149">
        <f>D175</f>
        <v>3725000</v>
      </c>
      <c r="E174" s="1149">
        <f>E175</f>
        <v>1389697.94</v>
      </c>
      <c r="F174" s="1150">
        <f t="shared" si="9"/>
        <v>37.307327248322146</v>
      </c>
      <c r="G174" s="467"/>
      <c r="H174" s="468"/>
    </row>
    <row r="175" spans="1:8" s="1167" customFormat="1" ht="29.25" customHeight="1">
      <c r="A175" s="1164"/>
      <c r="B175" s="1152" t="s">
        <v>366</v>
      </c>
      <c r="C175" s="625" t="s">
        <v>373</v>
      </c>
      <c r="D175" s="1154">
        <f>D176</f>
        <v>3725000</v>
      </c>
      <c r="E175" s="1154">
        <f>E176</f>
        <v>1389697.94</v>
      </c>
      <c r="F175" s="1155">
        <f t="shared" si="9"/>
        <v>37.307327248322146</v>
      </c>
      <c r="G175" s="467"/>
      <c r="H175" s="468"/>
    </row>
    <row r="176" spans="1:7" s="461" customFormat="1" ht="18.75" customHeight="1">
      <c r="A176" s="455"/>
      <c r="B176" s="456"/>
      <c r="C176" s="457" t="s">
        <v>1186</v>
      </c>
      <c r="D176" s="458">
        <f>SUM(D177)</f>
        <v>3725000</v>
      </c>
      <c r="E176" s="458">
        <f>SUM(E177)</f>
        <v>1389697.94</v>
      </c>
      <c r="F176" s="459">
        <f t="shared" si="9"/>
        <v>37.307327248322146</v>
      </c>
      <c r="G176" s="460"/>
    </row>
    <row r="177" spans="1:7" s="468" customFormat="1" ht="18" customHeight="1">
      <c r="A177" s="462"/>
      <c r="B177" s="463"/>
      <c r="C177" s="464" t="s">
        <v>1314</v>
      </c>
      <c r="D177" s="465">
        <v>3725000</v>
      </c>
      <c r="E177" s="465">
        <v>1389697.94</v>
      </c>
      <c r="F177" s="466">
        <f t="shared" si="9"/>
        <v>37.307327248322146</v>
      </c>
      <c r="G177" s="467"/>
    </row>
    <row r="178" spans="1:7" s="559" customFormat="1" ht="18.75" customHeight="1">
      <c r="A178" s="1165" t="s">
        <v>945</v>
      </c>
      <c r="B178" s="1147"/>
      <c r="C178" s="1148" t="s">
        <v>946</v>
      </c>
      <c r="D178" s="1149">
        <f aca="true" t="shared" si="12" ref="D178:E181">SUM(D179)</f>
        <v>276129</v>
      </c>
      <c r="E178" s="1149">
        <f t="shared" si="12"/>
        <v>0</v>
      </c>
      <c r="F178" s="1150">
        <f t="shared" si="9"/>
        <v>0</v>
      </c>
      <c r="G178" s="560"/>
    </row>
    <row r="179" spans="1:7" s="119" customFormat="1" ht="18.75" customHeight="1">
      <c r="A179" s="1164"/>
      <c r="B179" s="1152" t="s">
        <v>802</v>
      </c>
      <c r="C179" s="625" t="s">
        <v>803</v>
      </c>
      <c r="D179" s="1154">
        <f t="shared" si="12"/>
        <v>276129</v>
      </c>
      <c r="E179" s="1154">
        <f t="shared" si="12"/>
        <v>0</v>
      </c>
      <c r="F179" s="1155">
        <f t="shared" si="9"/>
        <v>0</v>
      </c>
      <c r="G179" s="560"/>
    </row>
    <row r="180" spans="1:7" s="461" customFormat="1" ht="18.75" customHeight="1">
      <c r="A180" s="455"/>
      <c r="B180" s="456"/>
      <c r="C180" s="457" t="s">
        <v>1186</v>
      </c>
      <c r="D180" s="458">
        <f t="shared" si="12"/>
        <v>276129</v>
      </c>
      <c r="E180" s="458">
        <f t="shared" si="12"/>
        <v>0</v>
      </c>
      <c r="F180" s="459">
        <f t="shared" si="9"/>
        <v>0</v>
      </c>
      <c r="G180" s="460"/>
    </row>
    <row r="181" spans="1:7" s="468" customFormat="1" ht="18" customHeight="1">
      <c r="A181" s="462"/>
      <c r="B181" s="463"/>
      <c r="C181" s="464" t="s">
        <v>1288</v>
      </c>
      <c r="D181" s="465">
        <f t="shared" si="12"/>
        <v>276129</v>
      </c>
      <c r="E181" s="465">
        <f t="shared" si="12"/>
        <v>0</v>
      </c>
      <c r="F181" s="466">
        <f t="shared" si="9"/>
        <v>0</v>
      </c>
      <c r="G181" s="467"/>
    </row>
    <row r="182" spans="1:7" s="1197" customFormat="1" ht="18.75" customHeight="1">
      <c r="A182" s="1192"/>
      <c r="B182" s="1193"/>
      <c r="C182" s="1194" t="s">
        <v>1289</v>
      </c>
      <c r="D182" s="1195">
        <v>276129</v>
      </c>
      <c r="E182" s="1195">
        <v>0</v>
      </c>
      <c r="F182" s="1196">
        <f t="shared" si="9"/>
        <v>0</v>
      </c>
      <c r="G182" s="467"/>
    </row>
    <row r="183" spans="1:7" s="119" customFormat="1" ht="18.75" customHeight="1">
      <c r="A183" s="1165" t="s">
        <v>947</v>
      </c>
      <c r="B183" s="1147"/>
      <c r="C183" s="1162" t="s">
        <v>948</v>
      </c>
      <c r="D183" s="1149">
        <f>SUM(D184,D193,D199,D205,D208,D215,D219,D223,D229)</f>
        <v>27924286</v>
      </c>
      <c r="E183" s="1149">
        <f>SUM(E184,E193,E199,E205,E208,E215,E219,E223,E229)</f>
        <v>15208892.239999998</v>
      </c>
      <c r="F183" s="1150">
        <f aca="true" t="shared" si="13" ref="F183:F214">E183/D183*100</f>
        <v>54.46474885696271</v>
      </c>
      <c r="G183" s="560"/>
    </row>
    <row r="184" spans="1:7" s="468" customFormat="1" ht="18.75" customHeight="1">
      <c r="A184" s="1164"/>
      <c r="B184" s="1152" t="s">
        <v>949</v>
      </c>
      <c r="C184" s="1161" t="s">
        <v>950</v>
      </c>
      <c r="D184" s="1154">
        <f>SUM(D185,D191)</f>
        <v>12280826</v>
      </c>
      <c r="E184" s="1154">
        <f>SUM(E185,E191)</f>
        <v>6802308.64</v>
      </c>
      <c r="F184" s="1155">
        <f t="shared" si="13"/>
        <v>55.389667111967874</v>
      </c>
      <c r="G184" s="467"/>
    </row>
    <row r="185" spans="1:7" s="461" customFormat="1" ht="18.75" customHeight="1">
      <c r="A185" s="455"/>
      <c r="B185" s="456"/>
      <c r="C185" s="457" t="s">
        <v>1186</v>
      </c>
      <c r="D185" s="458">
        <f>SUM(D186,D189,D190)</f>
        <v>11780826</v>
      </c>
      <c r="E185" s="458">
        <f>SUM(E186,E189,E190)</f>
        <v>6802308.64</v>
      </c>
      <c r="F185" s="459">
        <f t="shared" si="13"/>
        <v>57.74050682014996</v>
      </c>
      <c r="G185" s="460"/>
    </row>
    <row r="186" spans="1:7" s="468" customFormat="1" ht="18" customHeight="1">
      <c r="A186" s="462"/>
      <c r="B186" s="463"/>
      <c r="C186" s="464" t="s">
        <v>1288</v>
      </c>
      <c r="D186" s="465">
        <f>SUM(D187,D188)</f>
        <v>11440946</v>
      </c>
      <c r="E186" s="465">
        <f>SUM(E187,E188)</f>
        <v>6660094.35</v>
      </c>
      <c r="F186" s="466">
        <f t="shared" si="13"/>
        <v>58.21279420425548</v>
      </c>
      <c r="G186" s="467"/>
    </row>
    <row r="187" spans="1:7" s="1197" customFormat="1" ht="18.75" customHeight="1">
      <c r="A187" s="1192"/>
      <c r="B187" s="1193"/>
      <c r="C187" s="1194" t="s">
        <v>334</v>
      </c>
      <c r="D187" s="1195">
        <v>9927507</v>
      </c>
      <c r="E187" s="1195">
        <v>5496820.67</v>
      </c>
      <c r="F187" s="1196">
        <f t="shared" si="13"/>
        <v>55.369597523325844</v>
      </c>
      <c r="G187" s="467"/>
    </row>
    <row r="188" spans="1:7" s="1197" customFormat="1" ht="18.75" customHeight="1">
      <c r="A188" s="1192"/>
      <c r="B188" s="1193"/>
      <c r="C188" s="1194" t="s">
        <v>1289</v>
      </c>
      <c r="D188" s="1195">
        <v>1513439</v>
      </c>
      <c r="E188" s="1195">
        <v>1163273.68</v>
      </c>
      <c r="F188" s="1196">
        <f t="shared" si="13"/>
        <v>76.86293798428612</v>
      </c>
      <c r="G188" s="467"/>
    </row>
    <row r="189" spans="1:7" s="468" customFormat="1" ht="18.75" customHeight="1">
      <c r="A189" s="469"/>
      <c r="B189" s="463"/>
      <c r="C189" s="1198" t="s">
        <v>1312</v>
      </c>
      <c r="D189" s="465">
        <v>13000</v>
      </c>
      <c r="E189" s="465">
        <v>7316.23</v>
      </c>
      <c r="F189" s="466">
        <f t="shared" si="13"/>
        <v>56.2786923076923</v>
      </c>
      <c r="G189" s="467"/>
    </row>
    <row r="190" spans="1:7" s="468" customFormat="1" ht="18.75" customHeight="1">
      <c r="A190" s="462"/>
      <c r="B190" s="463"/>
      <c r="C190" s="464" t="s">
        <v>1290</v>
      </c>
      <c r="D190" s="465">
        <v>326880</v>
      </c>
      <c r="E190" s="465">
        <v>134898.06</v>
      </c>
      <c r="F190" s="466">
        <f t="shared" si="13"/>
        <v>41.26837371512482</v>
      </c>
      <c r="G190" s="1160"/>
    </row>
    <row r="191" spans="1:7" s="461" customFormat="1" ht="18.75" customHeight="1">
      <c r="A191" s="455"/>
      <c r="B191" s="456"/>
      <c r="C191" s="457" t="s">
        <v>1291</v>
      </c>
      <c r="D191" s="458">
        <f>SUM(D192)</f>
        <v>500000</v>
      </c>
      <c r="E191" s="458">
        <f>SUM(E192)</f>
        <v>0</v>
      </c>
      <c r="F191" s="459">
        <f t="shared" si="13"/>
        <v>0</v>
      </c>
      <c r="G191" s="460"/>
    </row>
    <row r="192" spans="1:7" s="468" customFormat="1" ht="18" customHeight="1">
      <c r="A192" s="462"/>
      <c r="B192" s="463"/>
      <c r="C192" s="464" t="s">
        <v>1293</v>
      </c>
      <c r="D192" s="465">
        <v>500000</v>
      </c>
      <c r="E192" s="465">
        <v>0</v>
      </c>
      <c r="F192" s="466">
        <f t="shared" si="13"/>
        <v>0</v>
      </c>
      <c r="G192" s="467"/>
    </row>
    <row r="193" spans="1:7" s="119" customFormat="1" ht="18.75" customHeight="1">
      <c r="A193" s="1164"/>
      <c r="B193" s="1152" t="s">
        <v>1104</v>
      </c>
      <c r="C193" s="1161" t="s">
        <v>1105</v>
      </c>
      <c r="D193" s="1154">
        <f>D194</f>
        <v>355774</v>
      </c>
      <c r="E193" s="1154">
        <f>E194</f>
        <v>186220.89</v>
      </c>
      <c r="F193" s="1155">
        <f t="shared" si="13"/>
        <v>52.34246740908554</v>
      </c>
      <c r="G193" s="560"/>
    </row>
    <row r="194" spans="1:7" s="461" customFormat="1" ht="18.75" customHeight="1">
      <c r="A194" s="455"/>
      <c r="B194" s="456"/>
      <c r="C194" s="457" t="s">
        <v>1186</v>
      </c>
      <c r="D194" s="458">
        <f>SUM(D195,D198)</f>
        <v>355774</v>
      </c>
      <c r="E194" s="458">
        <f>SUM(E195,E198)</f>
        <v>186220.89</v>
      </c>
      <c r="F194" s="459">
        <f t="shared" si="13"/>
        <v>52.34246740908554</v>
      </c>
      <c r="G194" s="460"/>
    </row>
    <row r="195" spans="1:7" s="468" customFormat="1" ht="18" customHeight="1">
      <c r="A195" s="462"/>
      <c r="B195" s="463"/>
      <c r="C195" s="464" t="s">
        <v>1288</v>
      </c>
      <c r="D195" s="465">
        <f>SUM(D196,D197)</f>
        <v>300094</v>
      </c>
      <c r="E195" s="465">
        <f>SUM(E196,E197)</f>
        <v>167056.41</v>
      </c>
      <c r="F195" s="466">
        <f t="shared" si="13"/>
        <v>55.668027351429885</v>
      </c>
      <c r="G195" s="467"/>
    </row>
    <row r="196" spans="1:7" s="1197" customFormat="1" ht="18.75" customHeight="1">
      <c r="A196" s="1192"/>
      <c r="B196" s="1193"/>
      <c r="C196" s="1194" t="s">
        <v>334</v>
      </c>
      <c r="D196" s="1195">
        <v>253468</v>
      </c>
      <c r="E196" s="1195">
        <v>128162.35</v>
      </c>
      <c r="F196" s="1196">
        <f t="shared" si="13"/>
        <v>50.56352281155807</v>
      </c>
      <c r="G196" s="467"/>
    </row>
    <row r="197" spans="1:7" s="1197" customFormat="1" ht="18.75" customHeight="1">
      <c r="A197" s="1192"/>
      <c r="B197" s="1193"/>
      <c r="C197" s="1194" t="s">
        <v>1289</v>
      </c>
      <c r="D197" s="1195">
        <v>46626</v>
      </c>
      <c r="E197" s="1195">
        <v>38894.06</v>
      </c>
      <c r="F197" s="1196">
        <f t="shared" si="13"/>
        <v>83.41710633552096</v>
      </c>
      <c r="G197" s="467"/>
    </row>
    <row r="198" spans="1:7" s="468" customFormat="1" ht="18.75" customHeight="1">
      <c r="A198" s="462"/>
      <c r="B198" s="463"/>
      <c r="C198" s="464" t="s">
        <v>1290</v>
      </c>
      <c r="D198" s="465">
        <v>55680</v>
      </c>
      <c r="E198" s="465">
        <v>19164.48</v>
      </c>
      <c r="F198" s="466">
        <f t="shared" si="13"/>
        <v>34.41896551724138</v>
      </c>
      <c r="G198" s="1160"/>
    </row>
    <row r="199" spans="1:8" s="1167" customFormat="1" ht="18.75" customHeight="1">
      <c r="A199" s="1164"/>
      <c r="B199" s="1152" t="s">
        <v>377</v>
      </c>
      <c r="C199" s="1161" t="s">
        <v>378</v>
      </c>
      <c r="D199" s="1154">
        <f>SUM(D200)</f>
        <v>5518474</v>
      </c>
      <c r="E199" s="1154">
        <f>SUM(E200)</f>
        <v>3146687.42</v>
      </c>
      <c r="F199" s="1155">
        <f t="shared" si="13"/>
        <v>57.02097028997509</v>
      </c>
      <c r="G199" s="467"/>
      <c r="H199" s="468"/>
    </row>
    <row r="200" spans="1:7" s="461" customFormat="1" ht="18.75" customHeight="1">
      <c r="A200" s="455"/>
      <c r="B200" s="456"/>
      <c r="C200" s="457" t="s">
        <v>1186</v>
      </c>
      <c r="D200" s="458">
        <f>SUM(D201,D204)</f>
        <v>5518474</v>
      </c>
      <c r="E200" s="458">
        <f>SUM(E201,E204)</f>
        <v>3146687.42</v>
      </c>
      <c r="F200" s="459">
        <f t="shared" si="13"/>
        <v>57.02097028997509</v>
      </c>
      <c r="G200" s="460"/>
    </row>
    <row r="201" spans="1:7" s="468" customFormat="1" ht="18" customHeight="1">
      <c r="A201" s="462"/>
      <c r="B201" s="463"/>
      <c r="C201" s="464" t="s">
        <v>1288</v>
      </c>
      <c r="D201" s="465">
        <f>SUM(D202,D203)</f>
        <v>378314</v>
      </c>
      <c r="E201" s="465">
        <f>SUM(E202,E203)</f>
        <v>73180.42</v>
      </c>
      <c r="F201" s="466">
        <f t="shared" si="13"/>
        <v>19.3438307860666</v>
      </c>
      <c r="G201" s="467"/>
    </row>
    <row r="202" spans="1:7" s="1197" customFormat="1" ht="18.75" customHeight="1">
      <c r="A202" s="1192"/>
      <c r="B202" s="1193"/>
      <c r="C202" s="1194" t="s">
        <v>334</v>
      </c>
      <c r="D202" s="1195">
        <v>162854</v>
      </c>
      <c r="E202" s="1195">
        <v>67180.42</v>
      </c>
      <c r="F202" s="1196">
        <f t="shared" si="13"/>
        <v>41.25193117761922</v>
      </c>
      <c r="G202" s="467"/>
    </row>
    <row r="203" spans="1:7" s="1197" customFormat="1" ht="18.75" customHeight="1">
      <c r="A203" s="1192"/>
      <c r="B203" s="1193"/>
      <c r="C203" s="1194" t="s">
        <v>1289</v>
      </c>
      <c r="D203" s="1195">
        <v>215460</v>
      </c>
      <c r="E203" s="1195">
        <v>6000</v>
      </c>
      <c r="F203" s="1196">
        <f t="shared" si="13"/>
        <v>2.78473962684489</v>
      </c>
      <c r="G203" s="467"/>
    </row>
    <row r="204" spans="1:7" s="468" customFormat="1" ht="18.75" customHeight="1">
      <c r="A204" s="462"/>
      <c r="B204" s="463"/>
      <c r="C204" s="464" t="s">
        <v>1290</v>
      </c>
      <c r="D204" s="465">
        <v>5140160</v>
      </c>
      <c r="E204" s="465">
        <v>3073507</v>
      </c>
      <c r="F204" s="466">
        <f t="shared" si="13"/>
        <v>59.793994739463365</v>
      </c>
      <c r="G204" s="1160"/>
    </row>
    <row r="205" spans="1:8" s="1167" customFormat="1" ht="18.75" customHeight="1">
      <c r="A205" s="1164"/>
      <c r="B205" s="1152" t="s">
        <v>1315</v>
      </c>
      <c r="C205" s="1161" t="s">
        <v>1316</v>
      </c>
      <c r="D205" s="1154">
        <f>SUM(D206)</f>
        <v>152240</v>
      </c>
      <c r="E205" s="1154">
        <f>SUM(E206)</f>
        <v>72137.32</v>
      </c>
      <c r="F205" s="1155">
        <f t="shared" si="13"/>
        <v>47.3839464004204</v>
      </c>
      <c r="G205" s="467"/>
      <c r="H205" s="468"/>
    </row>
    <row r="206" spans="1:7" s="461" customFormat="1" ht="18.75" customHeight="1">
      <c r="A206" s="455"/>
      <c r="B206" s="456"/>
      <c r="C206" s="457" t="s">
        <v>1186</v>
      </c>
      <c r="D206" s="458">
        <f>SUM(D207)</f>
        <v>152240</v>
      </c>
      <c r="E206" s="458">
        <f>SUM(E207)</f>
        <v>72137.32</v>
      </c>
      <c r="F206" s="459">
        <f t="shared" si="13"/>
        <v>47.3839464004204</v>
      </c>
      <c r="G206" s="460"/>
    </row>
    <row r="207" spans="1:7" s="468" customFormat="1" ht="18.75" customHeight="1">
      <c r="A207" s="462"/>
      <c r="B207" s="463"/>
      <c r="C207" s="464" t="s">
        <v>1290</v>
      </c>
      <c r="D207" s="465">
        <v>152240</v>
      </c>
      <c r="E207" s="465">
        <v>72137.32</v>
      </c>
      <c r="F207" s="466">
        <f t="shared" si="13"/>
        <v>47.3839464004204</v>
      </c>
      <c r="G207" s="1160"/>
    </row>
    <row r="208" spans="1:8" s="1167" customFormat="1" ht="18.75" customHeight="1">
      <c r="A208" s="1164"/>
      <c r="B208" s="1152" t="s">
        <v>951</v>
      </c>
      <c r="C208" s="1161" t="s">
        <v>952</v>
      </c>
      <c r="D208" s="1154">
        <f>SUM(D209)</f>
        <v>8213903</v>
      </c>
      <c r="E208" s="1154">
        <f>SUM(E209)</f>
        <v>4501677.31</v>
      </c>
      <c r="F208" s="1155">
        <f t="shared" si="13"/>
        <v>54.80558158527072</v>
      </c>
      <c r="G208" s="467"/>
      <c r="H208" s="468"/>
    </row>
    <row r="209" spans="1:7" s="461" customFormat="1" ht="18.75" customHeight="1">
      <c r="A209" s="455"/>
      <c r="B209" s="456"/>
      <c r="C209" s="457" t="s">
        <v>1186</v>
      </c>
      <c r="D209" s="458">
        <f>SUM(D210,D213,D214)</f>
        <v>8213903</v>
      </c>
      <c r="E209" s="458">
        <f>SUM(E210,E213,E214)</f>
        <v>4501677.31</v>
      </c>
      <c r="F209" s="459">
        <f t="shared" si="13"/>
        <v>54.80558158527072</v>
      </c>
      <c r="G209" s="460"/>
    </row>
    <row r="210" spans="1:7" s="468" customFormat="1" ht="18" customHeight="1">
      <c r="A210" s="462"/>
      <c r="B210" s="463"/>
      <c r="C210" s="464" t="s">
        <v>1288</v>
      </c>
      <c r="D210" s="465">
        <f>SUM(D211,D212)</f>
        <v>7571063</v>
      </c>
      <c r="E210" s="465">
        <f>SUM(E211,E212)</f>
        <v>4240120.68</v>
      </c>
      <c r="F210" s="466">
        <f t="shared" si="13"/>
        <v>56.00429794336673</v>
      </c>
      <c r="G210" s="467"/>
    </row>
    <row r="211" spans="1:7" s="1197" customFormat="1" ht="18.75" customHeight="1">
      <c r="A211" s="1192"/>
      <c r="B211" s="1193"/>
      <c r="C211" s="1194" t="s">
        <v>334</v>
      </c>
      <c r="D211" s="1195">
        <v>6370090</v>
      </c>
      <c r="E211" s="1195">
        <v>3491430.79</v>
      </c>
      <c r="F211" s="1196">
        <f t="shared" si="13"/>
        <v>54.80975606310115</v>
      </c>
      <c r="G211" s="467"/>
    </row>
    <row r="212" spans="1:7" s="1197" customFormat="1" ht="18.75" customHeight="1">
      <c r="A212" s="1192"/>
      <c r="B212" s="1193"/>
      <c r="C212" s="1194" t="s">
        <v>1289</v>
      </c>
      <c r="D212" s="1195">
        <v>1200973</v>
      </c>
      <c r="E212" s="1195">
        <v>748689.89</v>
      </c>
      <c r="F212" s="1196">
        <f t="shared" si="13"/>
        <v>62.340276592396336</v>
      </c>
      <c r="G212" s="467"/>
    </row>
    <row r="213" spans="1:7" s="468" customFormat="1" ht="18.75" customHeight="1">
      <c r="A213" s="469"/>
      <c r="B213" s="463"/>
      <c r="C213" s="1198" t="s">
        <v>1312</v>
      </c>
      <c r="D213" s="465">
        <v>9120</v>
      </c>
      <c r="E213" s="465">
        <v>1085.01</v>
      </c>
      <c r="F213" s="466">
        <f t="shared" si="13"/>
        <v>11.897039473684211</v>
      </c>
      <c r="G213" s="467"/>
    </row>
    <row r="214" spans="1:7" s="468" customFormat="1" ht="18.75" customHeight="1">
      <c r="A214" s="462"/>
      <c r="B214" s="463"/>
      <c r="C214" s="464" t="s">
        <v>1290</v>
      </c>
      <c r="D214" s="465">
        <v>633720</v>
      </c>
      <c r="E214" s="465">
        <v>260471.62</v>
      </c>
      <c r="F214" s="466">
        <f t="shared" si="13"/>
        <v>41.102004039638956</v>
      </c>
      <c r="G214" s="1160"/>
    </row>
    <row r="215" spans="1:7" s="119" customFormat="1" ht="17.25" customHeight="1">
      <c r="A215" s="1171"/>
      <c r="B215" s="1152" t="s">
        <v>1156</v>
      </c>
      <c r="C215" s="1161" t="s">
        <v>1157</v>
      </c>
      <c r="D215" s="1154">
        <f>D216</f>
        <v>101000</v>
      </c>
      <c r="E215" s="1154">
        <f>E216</f>
        <v>42123.24</v>
      </c>
      <c r="F215" s="1155">
        <f aca="true" t="shared" si="14" ref="F215:F233">E215/D215*100</f>
        <v>41.70617821782178</v>
      </c>
      <c r="G215" s="560"/>
    </row>
    <row r="216" spans="1:7" s="461" customFormat="1" ht="18.75" customHeight="1">
      <c r="A216" s="455"/>
      <c r="B216" s="456"/>
      <c r="C216" s="457" t="s">
        <v>1186</v>
      </c>
      <c r="D216" s="458">
        <f>SUM(D217)</f>
        <v>101000</v>
      </c>
      <c r="E216" s="458">
        <f>SUM(E217)</f>
        <v>42123.24</v>
      </c>
      <c r="F216" s="459">
        <f t="shared" si="14"/>
        <v>41.70617821782178</v>
      </c>
      <c r="G216" s="460"/>
    </row>
    <row r="217" spans="1:7" s="468" customFormat="1" ht="18" customHeight="1">
      <c r="A217" s="462"/>
      <c r="B217" s="463"/>
      <c r="C217" s="464" t="s">
        <v>1288</v>
      </c>
      <c r="D217" s="465">
        <f>SUM(D218)</f>
        <v>101000</v>
      </c>
      <c r="E217" s="465">
        <f>SUM(E218)</f>
        <v>42123.24</v>
      </c>
      <c r="F217" s="466">
        <f t="shared" si="14"/>
        <v>41.70617821782178</v>
      </c>
      <c r="G217" s="467"/>
    </row>
    <row r="218" spans="1:7" s="1197" customFormat="1" ht="18.75" customHeight="1">
      <c r="A218" s="1192"/>
      <c r="B218" s="1193"/>
      <c r="C218" s="1194" t="s">
        <v>1289</v>
      </c>
      <c r="D218" s="1195">
        <v>101000</v>
      </c>
      <c r="E218" s="1195">
        <v>42123.24</v>
      </c>
      <c r="F218" s="1196">
        <f t="shared" si="14"/>
        <v>41.70617821782178</v>
      </c>
      <c r="G218" s="467"/>
    </row>
    <row r="219" spans="1:7" s="119" customFormat="1" ht="18.75" customHeight="1">
      <c r="A219" s="1164"/>
      <c r="B219" s="1152" t="s">
        <v>397</v>
      </c>
      <c r="C219" s="1161" t="s">
        <v>398</v>
      </c>
      <c r="D219" s="1154">
        <f>D222</f>
        <v>113799</v>
      </c>
      <c r="E219" s="1154">
        <f>E222</f>
        <v>21807.64</v>
      </c>
      <c r="F219" s="1155">
        <f t="shared" si="14"/>
        <v>19.16329668977759</v>
      </c>
      <c r="G219" s="560"/>
    </row>
    <row r="220" spans="1:7" s="461" customFormat="1" ht="18.75" customHeight="1">
      <c r="A220" s="455"/>
      <c r="B220" s="456"/>
      <c r="C220" s="457" t="s">
        <v>1186</v>
      </c>
      <c r="D220" s="458">
        <f>SUM(D221)</f>
        <v>113799</v>
      </c>
      <c r="E220" s="458">
        <f>SUM(E221)</f>
        <v>21807.64</v>
      </c>
      <c r="F220" s="459">
        <f t="shared" si="14"/>
        <v>19.16329668977759</v>
      </c>
      <c r="G220" s="460"/>
    </row>
    <row r="221" spans="1:7" s="468" customFormat="1" ht="18" customHeight="1">
      <c r="A221" s="462"/>
      <c r="B221" s="463"/>
      <c r="C221" s="464" t="s">
        <v>1288</v>
      </c>
      <c r="D221" s="465">
        <f>SUM(D222)</f>
        <v>113799</v>
      </c>
      <c r="E221" s="465">
        <f>SUM(E222)</f>
        <v>21807.64</v>
      </c>
      <c r="F221" s="466">
        <f t="shared" si="14"/>
        <v>19.16329668977759</v>
      </c>
      <c r="G221" s="467"/>
    </row>
    <row r="222" spans="1:7" s="1197" customFormat="1" ht="18.75" customHeight="1">
      <c r="A222" s="1192"/>
      <c r="B222" s="1193"/>
      <c r="C222" s="1194" t="s">
        <v>1289</v>
      </c>
      <c r="D222" s="1195">
        <v>113799</v>
      </c>
      <c r="E222" s="1195">
        <v>21807.64</v>
      </c>
      <c r="F222" s="1196">
        <f t="shared" si="14"/>
        <v>19.16329668977759</v>
      </c>
      <c r="G222" s="467"/>
    </row>
    <row r="223" spans="1:7" s="119" customFormat="1" ht="18.75" customHeight="1">
      <c r="A223" s="1164"/>
      <c r="B223" s="1152" t="s">
        <v>138</v>
      </c>
      <c r="C223" s="625" t="s">
        <v>185</v>
      </c>
      <c r="D223" s="1154">
        <f>SUM(D224)</f>
        <v>569418</v>
      </c>
      <c r="E223" s="1154">
        <f>SUM(E224)</f>
        <v>315006.77</v>
      </c>
      <c r="F223" s="1155">
        <f t="shared" si="14"/>
        <v>55.32083109420496</v>
      </c>
      <c r="G223" s="560"/>
    </row>
    <row r="224" spans="1:7" s="461" customFormat="1" ht="18.75" customHeight="1">
      <c r="A224" s="455"/>
      <c r="B224" s="456"/>
      <c r="C224" s="457" t="s">
        <v>1186</v>
      </c>
      <c r="D224" s="458">
        <f>SUM(D225,D228)</f>
        <v>569418</v>
      </c>
      <c r="E224" s="458">
        <f>SUM(E225,E228)</f>
        <v>315006.77</v>
      </c>
      <c r="F224" s="459">
        <f t="shared" si="14"/>
        <v>55.32083109420496</v>
      </c>
      <c r="G224" s="460"/>
    </row>
    <row r="225" spans="1:7" s="468" customFormat="1" ht="18" customHeight="1">
      <c r="A225" s="462"/>
      <c r="B225" s="463"/>
      <c r="C225" s="464" t="s">
        <v>1288</v>
      </c>
      <c r="D225" s="465">
        <f>SUM(D226,D227)</f>
        <v>564800</v>
      </c>
      <c r="E225" s="465">
        <f>SUM(E226,E227)</f>
        <v>314491.32</v>
      </c>
      <c r="F225" s="466">
        <f t="shared" si="14"/>
        <v>55.68189093484419</v>
      </c>
      <c r="G225" s="467"/>
    </row>
    <row r="226" spans="1:7" s="1197" customFormat="1" ht="18.75" customHeight="1">
      <c r="A226" s="1192"/>
      <c r="B226" s="1193"/>
      <c r="C226" s="1194" t="s">
        <v>334</v>
      </c>
      <c r="D226" s="1195">
        <v>450623</v>
      </c>
      <c r="E226" s="1195">
        <v>265304.49</v>
      </c>
      <c r="F226" s="1196">
        <f t="shared" si="14"/>
        <v>58.8750441056049</v>
      </c>
      <c r="G226" s="467"/>
    </row>
    <row r="227" spans="1:7" s="1197" customFormat="1" ht="18.75" customHeight="1">
      <c r="A227" s="1192"/>
      <c r="B227" s="1193"/>
      <c r="C227" s="1194" t="s">
        <v>1289</v>
      </c>
      <c r="D227" s="1195">
        <v>114177</v>
      </c>
      <c r="E227" s="1195">
        <v>49186.83</v>
      </c>
      <c r="F227" s="1196">
        <f t="shared" si="14"/>
        <v>43.07945558212249</v>
      </c>
      <c r="G227" s="467"/>
    </row>
    <row r="228" spans="1:7" s="468" customFormat="1" ht="18.75" customHeight="1">
      <c r="A228" s="469"/>
      <c r="B228" s="463"/>
      <c r="C228" s="1198" t="s">
        <v>1312</v>
      </c>
      <c r="D228" s="465">
        <v>4618</v>
      </c>
      <c r="E228" s="465">
        <v>515.45</v>
      </c>
      <c r="F228" s="466">
        <f t="shared" si="14"/>
        <v>11.1617583369424</v>
      </c>
      <c r="G228" s="467"/>
    </row>
    <row r="229" spans="1:8" s="1167" customFormat="1" ht="18.75" customHeight="1">
      <c r="A229" s="1164"/>
      <c r="B229" s="1152" t="s">
        <v>399</v>
      </c>
      <c r="C229" s="1161" t="s">
        <v>825</v>
      </c>
      <c r="D229" s="1154">
        <f>SUM(D230)</f>
        <v>618852</v>
      </c>
      <c r="E229" s="1154">
        <f>SUM(E230)</f>
        <v>120923.01</v>
      </c>
      <c r="F229" s="1155">
        <f t="shared" si="14"/>
        <v>19.539891605747414</v>
      </c>
      <c r="G229" s="467"/>
      <c r="H229" s="468"/>
    </row>
    <row r="230" spans="1:7" s="461" customFormat="1" ht="18.75" customHeight="1">
      <c r="A230" s="455"/>
      <c r="B230" s="456"/>
      <c r="C230" s="457" t="s">
        <v>1186</v>
      </c>
      <c r="D230" s="458">
        <f>SUM(D231,D234,D235)</f>
        <v>618852</v>
      </c>
      <c r="E230" s="458">
        <f>SUM(E231,E234,E235)</f>
        <v>120923.01</v>
      </c>
      <c r="F230" s="459">
        <f t="shared" si="14"/>
        <v>19.539891605747414</v>
      </c>
      <c r="G230" s="460"/>
    </row>
    <row r="231" spans="1:7" s="468" customFormat="1" ht="18" customHeight="1">
      <c r="A231" s="462"/>
      <c r="B231" s="463"/>
      <c r="C231" s="464" t="s">
        <v>1288</v>
      </c>
      <c r="D231" s="465">
        <f>SUM(D232,D233)</f>
        <v>534031</v>
      </c>
      <c r="E231" s="465">
        <f>SUM(E232,E233)</f>
        <v>85496.01</v>
      </c>
      <c r="F231" s="466">
        <f t="shared" si="14"/>
        <v>16.009559370148924</v>
      </c>
      <c r="G231" s="467"/>
    </row>
    <row r="232" spans="1:7" s="1197" customFormat="1" ht="18.75" customHeight="1">
      <c r="A232" s="1192"/>
      <c r="B232" s="1193"/>
      <c r="C232" s="1194" t="s">
        <v>334</v>
      </c>
      <c r="D232" s="1195">
        <v>152544</v>
      </c>
      <c r="E232" s="1195">
        <v>1000</v>
      </c>
      <c r="F232" s="1196">
        <f t="shared" si="14"/>
        <v>0.6555485630375498</v>
      </c>
      <c r="G232" s="467"/>
    </row>
    <row r="233" spans="1:7" s="1197" customFormat="1" ht="18.75" customHeight="1">
      <c r="A233" s="1192"/>
      <c r="B233" s="1193"/>
      <c r="C233" s="1194" t="s">
        <v>1289</v>
      </c>
      <c r="D233" s="1195">
        <v>381487</v>
      </c>
      <c r="E233" s="1195">
        <v>84496.01</v>
      </c>
      <c r="F233" s="1196">
        <f t="shared" si="14"/>
        <v>22.14911910497605</v>
      </c>
      <c r="G233" s="467"/>
    </row>
    <row r="234" spans="1:7" s="468" customFormat="1" ht="18.75" customHeight="1">
      <c r="A234" s="469"/>
      <c r="B234" s="463"/>
      <c r="C234" s="464" t="s">
        <v>1290</v>
      </c>
      <c r="D234" s="465">
        <v>14000</v>
      </c>
      <c r="E234" s="465">
        <v>0</v>
      </c>
      <c r="F234" s="466">
        <f aca="true" t="shared" si="15" ref="F234:F266">E234/D234*100</f>
        <v>0</v>
      </c>
      <c r="G234" s="1160"/>
    </row>
    <row r="235" spans="1:7" s="468" customFormat="1" ht="18.75" customHeight="1">
      <c r="A235" s="469"/>
      <c r="B235" s="463"/>
      <c r="C235" s="1198" t="s">
        <v>1312</v>
      </c>
      <c r="D235" s="465">
        <v>70821</v>
      </c>
      <c r="E235" s="465">
        <v>35427</v>
      </c>
      <c r="F235" s="466">
        <f t="shared" si="15"/>
        <v>50.023298174270344</v>
      </c>
      <c r="G235" s="467"/>
    </row>
    <row r="236" spans="1:7" s="119" customFormat="1" ht="18.75" customHeight="1">
      <c r="A236" s="1165" t="s">
        <v>956</v>
      </c>
      <c r="B236" s="1147"/>
      <c r="C236" s="1162" t="s">
        <v>957</v>
      </c>
      <c r="D236" s="1149">
        <f>SUM(D237,D243,D248,D256)</f>
        <v>1567400</v>
      </c>
      <c r="E236" s="1149">
        <f>SUM(E237,E243,E248,E256)</f>
        <v>432867.32</v>
      </c>
      <c r="F236" s="1150">
        <f t="shared" si="15"/>
        <v>27.616901875717748</v>
      </c>
      <c r="G236" s="560"/>
    </row>
    <row r="237" spans="1:8" s="1167" customFormat="1" ht="18.75" customHeight="1">
      <c r="A237" s="1164"/>
      <c r="B237" s="1152" t="s">
        <v>405</v>
      </c>
      <c r="C237" s="1172" t="s">
        <v>406</v>
      </c>
      <c r="D237" s="1173">
        <f>D238</f>
        <v>37700</v>
      </c>
      <c r="E237" s="1173">
        <f>E238</f>
        <v>12671.02</v>
      </c>
      <c r="F237" s="1155">
        <f t="shared" si="15"/>
        <v>33.6101326259947</v>
      </c>
      <c r="G237" s="467"/>
      <c r="H237" s="468"/>
    </row>
    <row r="238" spans="1:7" s="461" customFormat="1" ht="18.75" customHeight="1">
      <c r="A238" s="455"/>
      <c r="B238" s="456"/>
      <c r="C238" s="457" t="s">
        <v>1186</v>
      </c>
      <c r="D238" s="458">
        <f>SUM(D239,D242)</f>
        <v>37700</v>
      </c>
      <c r="E238" s="458">
        <f>SUM(E239,E242)</f>
        <v>12671.02</v>
      </c>
      <c r="F238" s="459">
        <f t="shared" si="15"/>
        <v>33.6101326259947</v>
      </c>
      <c r="G238" s="460"/>
    </row>
    <row r="239" spans="1:7" s="468" customFormat="1" ht="18" customHeight="1">
      <c r="A239" s="462"/>
      <c r="B239" s="463"/>
      <c r="C239" s="464" t="s">
        <v>1288</v>
      </c>
      <c r="D239" s="465">
        <f>SUM(D240,D241)</f>
        <v>23700</v>
      </c>
      <c r="E239" s="465">
        <f>SUM(E240,E241)</f>
        <v>7290.4400000000005</v>
      </c>
      <c r="F239" s="466">
        <f t="shared" si="15"/>
        <v>30.761350210970466</v>
      </c>
      <c r="G239" s="467"/>
    </row>
    <row r="240" spans="1:7" s="1197" customFormat="1" ht="18.75" customHeight="1">
      <c r="A240" s="1192"/>
      <c r="B240" s="1193"/>
      <c r="C240" s="1194" t="s">
        <v>334</v>
      </c>
      <c r="D240" s="1195">
        <v>7700</v>
      </c>
      <c r="E240" s="1195">
        <v>3390</v>
      </c>
      <c r="F240" s="1196">
        <f t="shared" si="15"/>
        <v>44.02597402597402</v>
      </c>
      <c r="G240" s="467"/>
    </row>
    <row r="241" spans="1:7" s="1197" customFormat="1" ht="18.75" customHeight="1">
      <c r="A241" s="1192"/>
      <c r="B241" s="1193"/>
      <c r="C241" s="1194" t="s">
        <v>1289</v>
      </c>
      <c r="D241" s="1195">
        <v>16000</v>
      </c>
      <c r="E241" s="1195">
        <v>3900.44</v>
      </c>
      <c r="F241" s="1196">
        <f t="shared" si="15"/>
        <v>24.377750000000002</v>
      </c>
      <c r="G241" s="467"/>
    </row>
    <row r="242" spans="1:7" s="468" customFormat="1" ht="18.75" customHeight="1">
      <c r="A242" s="469"/>
      <c r="B242" s="463"/>
      <c r="C242" s="464" t="s">
        <v>1290</v>
      </c>
      <c r="D242" s="465">
        <v>14000</v>
      </c>
      <c r="E242" s="465">
        <v>5380.58</v>
      </c>
      <c r="F242" s="466">
        <f t="shared" si="15"/>
        <v>38.43271428571428</v>
      </c>
      <c r="G242" s="1160"/>
    </row>
    <row r="243" spans="1:7" s="119" customFormat="1" ht="18.75" customHeight="1">
      <c r="A243" s="1164"/>
      <c r="B243" s="1152" t="s">
        <v>407</v>
      </c>
      <c r="C243" s="625" t="s">
        <v>408</v>
      </c>
      <c r="D243" s="1154">
        <f>SUM(D244)</f>
        <v>7000</v>
      </c>
      <c r="E243" s="1154">
        <f>SUM(E244)</f>
        <v>4737.42</v>
      </c>
      <c r="F243" s="466">
        <f t="shared" si="15"/>
        <v>67.67742857142858</v>
      </c>
      <c r="G243" s="560"/>
    </row>
    <row r="244" spans="1:7" s="461" customFormat="1" ht="18.75" customHeight="1">
      <c r="A244" s="455"/>
      <c r="B244" s="456"/>
      <c r="C244" s="457" t="s">
        <v>1186</v>
      </c>
      <c r="D244" s="458">
        <f>SUM(D245)</f>
        <v>7000</v>
      </c>
      <c r="E244" s="458">
        <f>SUM(E245)</f>
        <v>4737.42</v>
      </c>
      <c r="F244" s="459">
        <f t="shared" si="15"/>
        <v>67.67742857142858</v>
      </c>
      <c r="G244" s="460"/>
    </row>
    <row r="245" spans="1:7" s="468" customFormat="1" ht="18" customHeight="1">
      <c r="A245" s="462"/>
      <c r="B245" s="463"/>
      <c r="C245" s="464" t="s">
        <v>1288</v>
      </c>
      <c r="D245" s="465">
        <f>SUM(D246,D247)</f>
        <v>7000</v>
      </c>
      <c r="E245" s="465">
        <f>SUM(E246,E247)</f>
        <v>4737.42</v>
      </c>
      <c r="F245" s="466">
        <f t="shared" si="15"/>
        <v>67.67742857142858</v>
      </c>
      <c r="G245" s="467"/>
    </row>
    <row r="246" spans="1:7" s="1197" customFormat="1" ht="18.75" customHeight="1">
      <c r="A246" s="1192"/>
      <c r="B246" s="1193"/>
      <c r="C246" s="1194" t="s">
        <v>334</v>
      </c>
      <c r="D246" s="1195">
        <v>370</v>
      </c>
      <c r="E246" s="1195">
        <v>311.7</v>
      </c>
      <c r="F246" s="1196">
        <f t="shared" si="15"/>
        <v>84.24324324324324</v>
      </c>
      <c r="G246" s="467"/>
    </row>
    <row r="247" spans="1:7" s="1197" customFormat="1" ht="18.75" customHeight="1">
      <c r="A247" s="1192"/>
      <c r="B247" s="1193"/>
      <c r="C247" s="1194" t="s">
        <v>1289</v>
      </c>
      <c r="D247" s="1195">
        <v>6630</v>
      </c>
      <c r="E247" s="1195">
        <v>4425.72</v>
      </c>
      <c r="F247" s="1196">
        <f t="shared" si="15"/>
        <v>66.75294117647059</v>
      </c>
      <c r="G247" s="467"/>
    </row>
    <row r="248" spans="1:8" s="1167" customFormat="1" ht="18.75" customHeight="1">
      <c r="A248" s="1164"/>
      <c r="B248" s="1152" t="s">
        <v>958</v>
      </c>
      <c r="C248" s="1161" t="s">
        <v>959</v>
      </c>
      <c r="D248" s="1154">
        <f>SUM(D249,D254)</f>
        <v>1400000</v>
      </c>
      <c r="E248" s="1154">
        <f>SUM(E249,E254)</f>
        <v>408081.53</v>
      </c>
      <c r="F248" s="1155">
        <f t="shared" si="15"/>
        <v>29.148680714285717</v>
      </c>
      <c r="G248" s="467"/>
      <c r="H248" s="468"/>
    </row>
    <row r="249" spans="1:7" s="461" customFormat="1" ht="18.75" customHeight="1">
      <c r="A249" s="455"/>
      <c r="B249" s="456"/>
      <c r="C249" s="457" t="s">
        <v>1186</v>
      </c>
      <c r="D249" s="458">
        <f>SUM(D250,D253)</f>
        <v>1250000</v>
      </c>
      <c r="E249" s="458">
        <f>SUM(E250,E253)</f>
        <v>408081.53</v>
      </c>
      <c r="F249" s="459">
        <f t="shared" si="15"/>
        <v>32.6465224</v>
      </c>
      <c r="G249" s="460"/>
    </row>
    <row r="250" spans="1:7" s="468" customFormat="1" ht="18" customHeight="1">
      <c r="A250" s="462"/>
      <c r="B250" s="463"/>
      <c r="C250" s="464" t="s">
        <v>1288</v>
      </c>
      <c r="D250" s="465">
        <f>SUM(D251,D252)</f>
        <v>728800</v>
      </c>
      <c r="E250" s="465">
        <f>SUM(E251,E252)</f>
        <v>180481.53000000003</v>
      </c>
      <c r="F250" s="466">
        <f t="shared" si="15"/>
        <v>24.76420554335895</v>
      </c>
      <c r="G250" s="467"/>
    </row>
    <row r="251" spans="1:7" s="1197" customFormat="1" ht="18.75" customHeight="1">
      <c r="A251" s="1192"/>
      <c r="B251" s="1193"/>
      <c r="C251" s="1194" t="s">
        <v>334</v>
      </c>
      <c r="D251" s="1195">
        <v>299193</v>
      </c>
      <c r="E251" s="1195">
        <v>95822.71</v>
      </c>
      <c r="F251" s="1196">
        <f t="shared" si="15"/>
        <v>32.02705611428075</v>
      </c>
      <c r="G251" s="467"/>
    </row>
    <row r="252" spans="1:7" s="1197" customFormat="1" ht="18.75" customHeight="1">
      <c r="A252" s="1192"/>
      <c r="B252" s="1193"/>
      <c r="C252" s="1194" t="s">
        <v>1289</v>
      </c>
      <c r="D252" s="1195">
        <v>429607</v>
      </c>
      <c r="E252" s="1195">
        <v>84658.82</v>
      </c>
      <c r="F252" s="1196">
        <f t="shared" si="15"/>
        <v>19.70610814069603</v>
      </c>
      <c r="G252" s="467"/>
    </row>
    <row r="253" spans="1:7" s="468" customFormat="1" ht="18.75" customHeight="1">
      <c r="A253" s="469"/>
      <c r="B253" s="463"/>
      <c r="C253" s="471" t="s">
        <v>1290</v>
      </c>
      <c r="D253" s="465">
        <v>521200</v>
      </c>
      <c r="E253" s="465">
        <v>227600</v>
      </c>
      <c r="F253" s="466">
        <f t="shared" si="15"/>
        <v>43.66845740598618</v>
      </c>
      <c r="G253" s="467"/>
    </row>
    <row r="254" spans="1:7" s="461" customFormat="1" ht="18.75" customHeight="1">
      <c r="A254" s="455"/>
      <c r="B254" s="456"/>
      <c r="C254" s="457" t="s">
        <v>1291</v>
      </c>
      <c r="D254" s="458">
        <f>SUM(D255)</f>
        <v>150000</v>
      </c>
      <c r="E254" s="458">
        <f>SUM(E255)</f>
        <v>0</v>
      </c>
      <c r="F254" s="459">
        <f t="shared" si="15"/>
        <v>0</v>
      </c>
      <c r="G254" s="460"/>
    </row>
    <row r="255" spans="1:7" s="468" customFormat="1" ht="18" customHeight="1">
      <c r="A255" s="462"/>
      <c r="B255" s="463"/>
      <c r="C255" s="464" t="s">
        <v>1293</v>
      </c>
      <c r="D255" s="465">
        <v>150000</v>
      </c>
      <c r="E255" s="465">
        <v>0</v>
      </c>
      <c r="F255" s="466">
        <f t="shared" si="15"/>
        <v>0</v>
      </c>
      <c r="G255" s="467"/>
    </row>
    <row r="256" spans="1:7" s="468" customFormat="1" ht="18.75" customHeight="1">
      <c r="A256" s="1164"/>
      <c r="B256" s="1152" t="s">
        <v>411</v>
      </c>
      <c r="C256" s="1161" t="s">
        <v>825</v>
      </c>
      <c r="D256" s="1154">
        <f>SUM(D257)</f>
        <v>122700</v>
      </c>
      <c r="E256" s="1154">
        <f>SUM(E257)</f>
        <v>7377.35</v>
      </c>
      <c r="F256" s="1155">
        <f t="shared" si="15"/>
        <v>6.012510187449063</v>
      </c>
      <c r="G256" s="467"/>
    </row>
    <row r="257" spans="1:7" s="461" customFormat="1" ht="18.75" customHeight="1">
      <c r="A257" s="455"/>
      <c r="B257" s="456"/>
      <c r="C257" s="457" t="s">
        <v>1186</v>
      </c>
      <c r="D257" s="458">
        <f>SUM(D258,D261)</f>
        <v>122700</v>
      </c>
      <c r="E257" s="458">
        <f>SUM(E258,E261)</f>
        <v>7377.35</v>
      </c>
      <c r="F257" s="459">
        <f t="shared" si="15"/>
        <v>6.012510187449063</v>
      </c>
      <c r="G257" s="460"/>
    </row>
    <row r="258" spans="1:7" s="468" customFormat="1" ht="18" customHeight="1">
      <c r="A258" s="462"/>
      <c r="B258" s="463"/>
      <c r="C258" s="464" t="s">
        <v>1288</v>
      </c>
      <c r="D258" s="465">
        <f>SUM(D259,D260)</f>
        <v>102700</v>
      </c>
      <c r="E258" s="465">
        <f>SUM(E259,E260)</f>
        <v>2377.35</v>
      </c>
      <c r="F258" s="466">
        <f t="shared" si="15"/>
        <v>2.314849074975657</v>
      </c>
      <c r="G258" s="467"/>
    </row>
    <row r="259" spans="1:7" s="1197" customFormat="1" ht="18.75" customHeight="1">
      <c r="A259" s="1192"/>
      <c r="B259" s="1193"/>
      <c r="C259" s="1194" t="s">
        <v>334</v>
      </c>
      <c r="D259" s="1195">
        <v>11118</v>
      </c>
      <c r="E259" s="1195">
        <v>1727.09</v>
      </c>
      <c r="F259" s="1196">
        <f t="shared" si="15"/>
        <v>15.534178809138332</v>
      </c>
      <c r="G259" s="467"/>
    </row>
    <row r="260" spans="1:7" s="1197" customFormat="1" ht="18.75" customHeight="1">
      <c r="A260" s="1192"/>
      <c r="B260" s="1193"/>
      <c r="C260" s="1194" t="s">
        <v>1289</v>
      </c>
      <c r="D260" s="1195">
        <v>91582</v>
      </c>
      <c r="E260" s="1195">
        <v>650.26</v>
      </c>
      <c r="F260" s="1196">
        <f t="shared" si="15"/>
        <v>0.7100303553099955</v>
      </c>
      <c r="G260" s="467"/>
    </row>
    <row r="261" spans="1:7" s="468" customFormat="1" ht="18.75" customHeight="1">
      <c r="A261" s="469"/>
      <c r="B261" s="463"/>
      <c r="C261" s="471" t="s">
        <v>1290</v>
      </c>
      <c r="D261" s="465">
        <v>20000</v>
      </c>
      <c r="E261" s="465">
        <v>5000</v>
      </c>
      <c r="F261" s="466">
        <f t="shared" si="15"/>
        <v>25</v>
      </c>
      <c r="G261" s="467"/>
    </row>
    <row r="262" spans="1:8" s="1167" customFormat="1" ht="18.75" customHeight="1">
      <c r="A262" s="1165" t="s">
        <v>110</v>
      </c>
      <c r="B262" s="1147"/>
      <c r="C262" s="1162" t="s">
        <v>412</v>
      </c>
      <c r="D262" s="1149">
        <f>SUM(D263,D267,D271,D276,D283,D288,D296,D299,D302,D308,D314)</f>
        <v>13016938</v>
      </c>
      <c r="E262" s="1149">
        <f>SUM(E263,E267,E271,E276,E283,E288,E296,E299,E302,E308,E314)</f>
        <v>6241076.8100000005</v>
      </c>
      <c r="F262" s="1150">
        <f t="shared" si="15"/>
        <v>47.945813447064126</v>
      </c>
      <c r="G262" s="467"/>
      <c r="H262" s="468"/>
    </row>
    <row r="263" spans="1:7" s="119" customFormat="1" ht="18.75" customHeight="1">
      <c r="A263" s="1164"/>
      <c r="B263" s="1152" t="s">
        <v>111</v>
      </c>
      <c r="C263" s="1161" t="s">
        <v>413</v>
      </c>
      <c r="D263" s="1154">
        <f aca="true" t="shared" si="16" ref="D263:E265">SUM(D264)</f>
        <v>450000</v>
      </c>
      <c r="E263" s="1154">
        <f t="shared" si="16"/>
        <v>10745.25</v>
      </c>
      <c r="F263" s="1155">
        <f t="shared" si="15"/>
        <v>2.3878333333333335</v>
      </c>
      <c r="G263" s="560"/>
    </row>
    <row r="264" spans="1:7" s="461" customFormat="1" ht="18.75" customHeight="1">
      <c r="A264" s="455"/>
      <c r="B264" s="456"/>
      <c r="C264" s="457" t="s">
        <v>1186</v>
      </c>
      <c r="D264" s="458">
        <f t="shared" si="16"/>
        <v>450000</v>
      </c>
      <c r="E264" s="458">
        <f t="shared" si="16"/>
        <v>10745.25</v>
      </c>
      <c r="F264" s="459">
        <f t="shared" si="15"/>
        <v>2.3878333333333335</v>
      </c>
      <c r="G264" s="460"/>
    </row>
    <row r="265" spans="1:7" s="468" customFormat="1" ht="18" customHeight="1">
      <c r="A265" s="462"/>
      <c r="B265" s="463"/>
      <c r="C265" s="464" t="s">
        <v>1288</v>
      </c>
      <c r="D265" s="465">
        <f t="shared" si="16"/>
        <v>450000</v>
      </c>
      <c r="E265" s="465">
        <f t="shared" si="16"/>
        <v>10745.25</v>
      </c>
      <c r="F265" s="466">
        <f t="shared" si="15"/>
        <v>2.3878333333333335</v>
      </c>
      <c r="G265" s="467"/>
    </row>
    <row r="266" spans="1:7" s="1197" customFormat="1" ht="18.75" customHeight="1">
      <c r="A266" s="1192"/>
      <c r="B266" s="1193"/>
      <c r="C266" s="1194" t="s">
        <v>1289</v>
      </c>
      <c r="D266" s="1195">
        <v>450000</v>
      </c>
      <c r="E266" s="1195">
        <v>10745.25</v>
      </c>
      <c r="F266" s="1196">
        <f t="shared" si="15"/>
        <v>2.3878333333333335</v>
      </c>
      <c r="G266" s="467"/>
    </row>
    <row r="267" spans="1:8" s="1167" customFormat="1" ht="18.75" customHeight="1">
      <c r="A267" s="1164"/>
      <c r="B267" s="1152" t="s">
        <v>414</v>
      </c>
      <c r="C267" s="625" t="s">
        <v>415</v>
      </c>
      <c r="D267" s="1154">
        <f>SUM(D270)</f>
        <v>533456</v>
      </c>
      <c r="E267" s="1154">
        <f>SUM(E270)</f>
        <v>205370.87</v>
      </c>
      <c r="F267" s="466">
        <f aca="true" t="shared" si="17" ref="F267:F299">E267/D267*100</f>
        <v>38.498183542785156</v>
      </c>
      <c r="G267" s="467"/>
      <c r="H267" s="468"/>
    </row>
    <row r="268" spans="1:7" s="461" customFormat="1" ht="18.75" customHeight="1">
      <c r="A268" s="455"/>
      <c r="B268" s="456"/>
      <c r="C268" s="457" t="s">
        <v>1186</v>
      </c>
      <c r="D268" s="458">
        <f>SUM(D269)</f>
        <v>533456</v>
      </c>
      <c r="E268" s="458">
        <f>SUM(E269)</f>
        <v>205370.87</v>
      </c>
      <c r="F268" s="459">
        <f t="shared" si="17"/>
        <v>38.498183542785156</v>
      </c>
      <c r="G268" s="460"/>
    </row>
    <row r="269" spans="1:7" s="468" customFormat="1" ht="18" customHeight="1">
      <c r="A269" s="462"/>
      <c r="B269" s="463"/>
      <c r="C269" s="464" t="s">
        <v>1288</v>
      </c>
      <c r="D269" s="465">
        <f>SUM(D270)</f>
        <v>533456</v>
      </c>
      <c r="E269" s="465">
        <f>SUM(E270)</f>
        <v>205370.87</v>
      </c>
      <c r="F269" s="466">
        <f t="shared" si="17"/>
        <v>38.498183542785156</v>
      </c>
      <c r="G269" s="467"/>
    </row>
    <row r="270" spans="1:7" s="1197" customFormat="1" ht="18.75" customHeight="1">
      <c r="A270" s="1192"/>
      <c r="B270" s="1193"/>
      <c r="C270" s="1194" t="s">
        <v>1289</v>
      </c>
      <c r="D270" s="1195">
        <v>533456</v>
      </c>
      <c r="E270" s="1195">
        <v>205370.87</v>
      </c>
      <c r="F270" s="1196">
        <f t="shared" si="17"/>
        <v>38.498183542785156</v>
      </c>
      <c r="G270" s="467"/>
    </row>
    <row r="271" spans="1:7" s="468" customFormat="1" ht="18.75" customHeight="1">
      <c r="A271" s="1164"/>
      <c r="B271" s="1152" t="s">
        <v>122</v>
      </c>
      <c r="C271" s="1161" t="s">
        <v>1227</v>
      </c>
      <c r="D271" s="1154">
        <f>SUM(D272)</f>
        <v>187000</v>
      </c>
      <c r="E271" s="1154">
        <f>SUM(E272)</f>
        <v>69631</v>
      </c>
      <c r="F271" s="1155">
        <f t="shared" si="17"/>
        <v>37.23582887700535</v>
      </c>
      <c r="G271" s="467"/>
    </row>
    <row r="272" spans="1:7" s="461" customFormat="1" ht="18.75" customHeight="1">
      <c r="A272" s="455"/>
      <c r="B272" s="456"/>
      <c r="C272" s="457" t="s">
        <v>1186</v>
      </c>
      <c r="D272" s="458">
        <f>SUM(D273,D275)</f>
        <v>187000</v>
      </c>
      <c r="E272" s="458">
        <f>SUM(E273,E275)</f>
        <v>69631</v>
      </c>
      <c r="F272" s="459">
        <f t="shared" si="17"/>
        <v>37.23582887700535</v>
      </c>
      <c r="G272" s="460"/>
    </row>
    <row r="273" spans="1:7" s="468" customFormat="1" ht="18" customHeight="1">
      <c r="A273" s="462"/>
      <c r="B273" s="463"/>
      <c r="C273" s="464" t="s">
        <v>1288</v>
      </c>
      <c r="D273" s="465">
        <f>SUM(D274)</f>
        <v>50000</v>
      </c>
      <c r="E273" s="465">
        <f>SUM(E274)</f>
        <v>0</v>
      </c>
      <c r="F273" s="466">
        <f t="shared" si="17"/>
        <v>0</v>
      </c>
      <c r="G273" s="467"/>
    </row>
    <row r="274" spans="1:7" s="1197" customFormat="1" ht="18.75" customHeight="1">
      <c r="A274" s="1192"/>
      <c r="B274" s="1193"/>
      <c r="C274" s="1194" t="s">
        <v>1289</v>
      </c>
      <c r="D274" s="1195">
        <v>50000</v>
      </c>
      <c r="E274" s="1195">
        <v>0</v>
      </c>
      <c r="F274" s="1196">
        <f t="shared" si="17"/>
        <v>0</v>
      </c>
      <c r="G274" s="467"/>
    </row>
    <row r="275" spans="1:7" s="468" customFormat="1" ht="18.75" customHeight="1">
      <c r="A275" s="469"/>
      <c r="B275" s="463"/>
      <c r="C275" s="471" t="s">
        <v>1290</v>
      </c>
      <c r="D275" s="465">
        <v>137000</v>
      </c>
      <c r="E275" s="465">
        <v>69631</v>
      </c>
      <c r="F275" s="466">
        <f t="shared" si="17"/>
        <v>50.82554744525547</v>
      </c>
      <c r="G275" s="467"/>
    </row>
    <row r="276" spans="1:7" s="119" customFormat="1" ht="40.5" customHeight="1">
      <c r="A276" s="1164"/>
      <c r="B276" s="1152" t="s">
        <v>112</v>
      </c>
      <c r="C276" s="207" t="s">
        <v>460</v>
      </c>
      <c r="D276" s="1154">
        <f>SUM(D277)</f>
        <v>5652931</v>
      </c>
      <c r="E276" s="1154">
        <f>SUM(E277)</f>
        <v>2771953.6</v>
      </c>
      <c r="F276" s="466">
        <f t="shared" si="17"/>
        <v>49.03568785821019</v>
      </c>
      <c r="G276" s="560"/>
    </row>
    <row r="277" spans="1:7" s="461" customFormat="1" ht="18.75" customHeight="1">
      <c r="A277" s="455"/>
      <c r="B277" s="456"/>
      <c r="C277" s="457" t="s">
        <v>1186</v>
      </c>
      <c r="D277" s="458">
        <f>SUM(D278,D281,D282)</f>
        <v>5652931</v>
      </c>
      <c r="E277" s="458">
        <f>SUM(E278,E281,E282)</f>
        <v>2771953.6</v>
      </c>
      <c r="F277" s="459">
        <f t="shared" si="17"/>
        <v>49.03568785821019</v>
      </c>
      <c r="G277" s="460"/>
    </row>
    <row r="278" spans="1:7" s="468" customFormat="1" ht="18" customHeight="1">
      <c r="A278" s="462"/>
      <c r="B278" s="463"/>
      <c r="C278" s="464" t="s">
        <v>1288</v>
      </c>
      <c r="D278" s="465">
        <f>SUM(D279,D280)</f>
        <v>256731</v>
      </c>
      <c r="E278" s="465">
        <f>SUM(E279,E280)</f>
        <v>63862.38</v>
      </c>
      <c r="F278" s="466">
        <f t="shared" si="17"/>
        <v>24.87521179756243</v>
      </c>
      <c r="G278" s="467"/>
    </row>
    <row r="279" spans="1:7" s="1197" customFormat="1" ht="18.75" customHeight="1">
      <c r="A279" s="1192"/>
      <c r="B279" s="1193"/>
      <c r="C279" s="1194" t="s">
        <v>334</v>
      </c>
      <c r="D279" s="1195">
        <v>221778</v>
      </c>
      <c r="E279" s="1195">
        <v>45725.71</v>
      </c>
      <c r="F279" s="1196">
        <f t="shared" si="17"/>
        <v>20.617784451117785</v>
      </c>
      <c r="G279" s="467"/>
    </row>
    <row r="280" spans="1:7" s="1197" customFormat="1" ht="18.75" customHeight="1">
      <c r="A280" s="1192"/>
      <c r="B280" s="1193"/>
      <c r="C280" s="1194" t="s">
        <v>1289</v>
      </c>
      <c r="D280" s="1195">
        <v>34953</v>
      </c>
      <c r="E280" s="1195">
        <v>18136.67</v>
      </c>
      <c r="F280" s="1196">
        <f t="shared" si="17"/>
        <v>51.8887363030355</v>
      </c>
      <c r="G280" s="467"/>
    </row>
    <row r="281" spans="1:7" s="468" customFormat="1" ht="18.75" customHeight="1">
      <c r="A281" s="469"/>
      <c r="B281" s="463"/>
      <c r="C281" s="471" t="s">
        <v>1290</v>
      </c>
      <c r="D281" s="465">
        <v>35000</v>
      </c>
      <c r="E281" s="465">
        <v>12595.93</v>
      </c>
      <c r="F281" s="466">
        <f t="shared" si="17"/>
        <v>35.98837142857143</v>
      </c>
      <c r="G281" s="467"/>
    </row>
    <row r="282" spans="1:7" s="468" customFormat="1" ht="18.75" customHeight="1">
      <c r="A282" s="469"/>
      <c r="B282" s="463"/>
      <c r="C282" s="1198" t="s">
        <v>1312</v>
      </c>
      <c r="D282" s="465">
        <v>5361200</v>
      </c>
      <c r="E282" s="465">
        <v>2695495.29</v>
      </c>
      <c r="F282" s="466">
        <f t="shared" si="17"/>
        <v>50.27783499962695</v>
      </c>
      <c r="G282" s="467"/>
    </row>
    <row r="283" spans="1:7" s="119" customFormat="1" ht="65.25" customHeight="1">
      <c r="A283" s="1164"/>
      <c r="B283" s="612" t="s">
        <v>113</v>
      </c>
      <c r="C283" s="625" t="s">
        <v>1182</v>
      </c>
      <c r="D283" s="1154">
        <f>D284</f>
        <v>133000</v>
      </c>
      <c r="E283" s="1154">
        <f>E284</f>
        <v>36140.65</v>
      </c>
      <c r="F283" s="1155">
        <f t="shared" si="17"/>
        <v>27.17342105263158</v>
      </c>
      <c r="G283" s="560"/>
    </row>
    <row r="284" spans="1:7" s="461" customFormat="1" ht="18.75" customHeight="1">
      <c r="A284" s="455"/>
      <c r="B284" s="456"/>
      <c r="C284" s="457" t="s">
        <v>1186</v>
      </c>
      <c r="D284" s="458">
        <f>SUM(D285,D287)</f>
        <v>133000</v>
      </c>
      <c r="E284" s="458">
        <f>SUM(E285,E287)</f>
        <v>36140.65</v>
      </c>
      <c r="F284" s="459">
        <f t="shared" si="17"/>
        <v>27.17342105263158</v>
      </c>
      <c r="G284" s="460"/>
    </row>
    <row r="285" spans="1:7" s="468" customFormat="1" ht="18" customHeight="1">
      <c r="A285" s="462"/>
      <c r="B285" s="463"/>
      <c r="C285" s="464" t="s">
        <v>1288</v>
      </c>
      <c r="D285" s="465">
        <f>SUM(D286)</f>
        <v>132000</v>
      </c>
      <c r="E285" s="465">
        <f>SUM(E286)</f>
        <v>35887.21</v>
      </c>
      <c r="F285" s="466">
        <f t="shared" si="17"/>
        <v>27.187280303030303</v>
      </c>
      <c r="G285" s="467"/>
    </row>
    <row r="286" spans="1:7" s="1197" customFormat="1" ht="18.75" customHeight="1">
      <c r="A286" s="1192"/>
      <c r="B286" s="1193"/>
      <c r="C286" s="1194" t="s">
        <v>334</v>
      </c>
      <c r="D286" s="1195">
        <v>132000</v>
      </c>
      <c r="E286" s="1195">
        <v>35887.21</v>
      </c>
      <c r="F286" s="1196">
        <f t="shared" si="17"/>
        <v>27.187280303030303</v>
      </c>
      <c r="G286" s="467"/>
    </row>
    <row r="287" spans="1:7" s="468" customFormat="1" ht="18.75" customHeight="1">
      <c r="A287" s="469"/>
      <c r="B287" s="463"/>
      <c r="C287" s="471" t="s">
        <v>1290</v>
      </c>
      <c r="D287" s="465">
        <v>1000</v>
      </c>
      <c r="E287" s="465">
        <v>253.44</v>
      </c>
      <c r="F287" s="466">
        <f t="shared" si="17"/>
        <v>25.344</v>
      </c>
      <c r="G287" s="467"/>
    </row>
    <row r="288" spans="1:7" s="119" customFormat="1" ht="30" customHeight="1">
      <c r="A288" s="1164"/>
      <c r="B288" s="612" t="s">
        <v>114</v>
      </c>
      <c r="C288" s="625" t="s">
        <v>301</v>
      </c>
      <c r="D288" s="1154">
        <f>D289</f>
        <v>1350700</v>
      </c>
      <c r="E288" s="1154">
        <f>E289</f>
        <v>711999.53</v>
      </c>
      <c r="F288" s="1155">
        <f t="shared" si="17"/>
        <v>52.71337306581773</v>
      </c>
      <c r="G288" s="560"/>
    </row>
    <row r="289" spans="1:7" s="461" customFormat="1" ht="18.75" customHeight="1">
      <c r="A289" s="455"/>
      <c r="B289" s="456"/>
      <c r="C289" s="457" t="s">
        <v>1186</v>
      </c>
      <c r="D289" s="458">
        <f>SUM(D290,D293,D294,D295)</f>
        <v>1350700</v>
      </c>
      <c r="E289" s="458">
        <f>SUM(E290,E293,E294,E295)</f>
        <v>711999.53</v>
      </c>
      <c r="F289" s="459">
        <f t="shared" si="17"/>
        <v>52.71337306581773</v>
      </c>
      <c r="G289" s="460"/>
    </row>
    <row r="290" spans="1:7" s="468" customFormat="1" ht="18" customHeight="1">
      <c r="A290" s="462"/>
      <c r="B290" s="463"/>
      <c r="C290" s="464" t="s">
        <v>1288</v>
      </c>
      <c r="D290" s="465">
        <f>SUM(D291,D292)</f>
        <v>31500</v>
      </c>
      <c r="E290" s="465">
        <f>SUM(E291,E292)</f>
        <v>447.9</v>
      </c>
      <c r="F290" s="466">
        <f t="shared" si="17"/>
        <v>1.421904761904762</v>
      </c>
      <c r="G290" s="467"/>
    </row>
    <row r="291" spans="1:7" s="1197" customFormat="1" ht="18.75" customHeight="1">
      <c r="A291" s="1192"/>
      <c r="B291" s="1193"/>
      <c r="C291" s="1194" t="s">
        <v>334</v>
      </c>
      <c r="D291" s="1195">
        <v>1500</v>
      </c>
      <c r="E291" s="1195">
        <v>447.9</v>
      </c>
      <c r="F291" s="1196">
        <f t="shared" si="17"/>
        <v>29.86</v>
      </c>
      <c r="G291" s="467"/>
    </row>
    <row r="292" spans="1:7" s="1197" customFormat="1" ht="18.75" customHeight="1">
      <c r="A292" s="1192"/>
      <c r="B292" s="1193"/>
      <c r="C292" s="1194" t="s">
        <v>1289</v>
      </c>
      <c r="D292" s="1195">
        <v>30000</v>
      </c>
      <c r="E292" s="1195">
        <v>0</v>
      </c>
      <c r="F292" s="1196">
        <f t="shared" si="17"/>
        <v>0</v>
      </c>
      <c r="G292" s="467"/>
    </row>
    <row r="293" spans="1:7" s="468" customFormat="1" ht="18.75" customHeight="1">
      <c r="A293" s="469"/>
      <c r="B293" s="463"/>
      <c r="C293" s="471" t="s">
        <v>1290</v>
      </c>
      <c r="D293" s="465">
        <v>18000</v>
      </c>
      <c r="E293" s="465">
        <v>5305.23</v>
      </c>
      <c r="F293" s="466">
        <f t="shared" si="17"/>
        <v>29.473499999999998</v>
      </c>
      <c r="G293" s="467"/>
    </row>
    <row r="294" spans="1:7" s="468" customFormat="1" ht="18.75" customHeight="1">
      <c r="A294" s="469"/>
      <c r="B294" s="463"/>
      <c r="C294" s="1198" t="s">
        <v>1312</v>
      </c>
      <c r="D294" s="465">
        <v>1293859</v>
      </c>
      <c r="E294" s="465">
        <v>706246.4</v>
      </c>
      <c r="F294" s="466">
        <f t="shared" si="17"/>
        <v>54.584494910187274</v>
      </c>
      <c r="G294" s="467"/>
    </row>
    <row r="295" spans="1:7" s="468" customFormat="1" ht="18.75" customHeight="1">
      <c r="A295" s="469"/>
      <c r="B295" s="463"/>
      <c r="C295" s="1198" t="s">
        <v>1320</v>
      </c>
      <c r="D295" s="465">
        <v>7341</v>
      </c>
      <c r="E295" s="465">
        <v>0</v>
      </c>
      <c r="F295" s="466">
        <f>E295/D295*100</f>
        <v>0</v>
      </c>
      <c r="G295" s="467"/>
    </row>
    <row r="296" spans="1:7" s="119" customFormat="1" ht="18.75" customHeight="1">
      <c r="A296" s="1164"/>
      <c r="B296" s="1152" t="s">
        <v>115</v>
      </c>
      <c r="C296" s="1161" t="s">
        <v>965</v>
      </c>
      <c r="D296" s="1154">
        <f>D298</f>
        <v>840000</v>
      </c>
      <c r="E296" s="1154">
        <f>E298</f>
        <v>455861.78</v>
      </c>
      <c r="F296" s="1155">
        <f t="shared" si="17"/>
        <v>54.26925952380953</v>
      </c>
      <c r="G296" s="560"/>
    </row>
    <row r="297" spans="1:7" s="461" customFormat="1" ht="18.75" customHeight="1">
      <c r="A297" s="455"/>
      <c r="B297" s="456"/>
      <c r="C297" s="457" t="s">
        <v>1186</v>
      </c>
      <c r="D297" s="458">
        <f>SUM(D298)</f>
        <v>840000</v>
      </c>
      <c r="E297" s="458">
        <f>SUM(E298)</f>
        <v>455861.78</v>
      </c>
      <c r="F297" s="459">
        <f t="shared" si="17"/>
        <v>54.26925952380953</v>
      </c>
      <c r="G297" s="460"/>
    </row>
    <row r="298" spans="1:7" s="468" customFormat="1" ht="18.75" customHeight="1">
      <c r="A298" s="469"/>
      <c r="B298" s="463"/>
      <c r="C298" s="1198" t="s">
        <v>1312</v>
      </c>
      <c r="D298" s="465">
        <v>840000</v>
      </c>
      <c r="E298" s="465">
        <v>455861.78</v>
      </c>
      <c r="F298" s="466">
        <f t="shared" si="17"/>
        <v>54.26925952380953</v>
      </c>
      <c r="G298" s="467"/>
    </row>
    <row r="299" spans="1:7" s="119" customFormat="1" ht="18.75" customHeight="1">
      <c r="A299" s="1164"/>
      <c r="B299" s="1152" t="s">
        <v>80</v>
      </c>
      <c r="C299" s="1161" t="s">
        <v>355</v>
      </c>
      <c r="D299" s="1154">
        <f>D301</f>
        <v>773000</v>
      </c>
      <c r="E299" s="1154">
        <f>E301</f>
        <v>392486.21</v>
      </c>
      <c r="F299" s="1155">
        <f t="shared" si="17"/>
        <v>50.7744126778784</v>
      </c>
      <c r="G299" s="560"/>
    </row>
    <row r="300" spans="1:7" s="461" customFormat="1" ht="18.75" customHeight="1">
      <c r="A300" s="455"/>
      <c r="B300" s="456"/>
      <c r="C300" s="457" t="s">
        <v>1186</v>
      </c>
      <c r="D300" s="458">
        <f>SUM(D301)</f>
        <v>773000</v>
      </c>
      <c r="E300" s="458">
        <f>SUM(E301)</f>
        <v>392486.21</v>
      </c>
      <c r="F300" s="459">
        <f aca="true" t="shared" si="18" ref="F300:F313">E300/D300*100</f>
        <v>50.7744126778784</v>
      </c>
      <c r="G300" s="460"/>
    </row>
    <row r="301" spans="1:7" s="468" customFormat="1" ht="18.75" customHeight="1">
      <c r="A301" s="469"/>
      <c r="B301" s="463"/>
      <c r="C301" s="1198" t="s">
        <v>1312</v>
      </c>
      <c r="D301" s="465">
        <v>773000</v>
      </c>
      <c r="E301" s="465">
        <v>392486.21</v>
      </c>
      <c r="F301" s="466">
        <f t="shared" si="18"/>
        <v>50.7744126778784</v>
      </c>
      <c r="G301" s="467"/>
    </row>
    <row r="302" spans="1:7" s="468" customFormat="1" ht="18.75" customHeight="1">
      <c r="A302" s="1164"/>
      <c r="B302" s="1152" t="s">
        <v>116</v>
      </c>
      <c r="C302" s="625" t="s">
        <v>966</v>
      </c>
      <c r="D302" s="1154">
        <f>SUM(D303)</f>
        <v>1734580</v>
      </c>
      <c r="E302" s="1154">
        <f>SUM(E303)</f>
        <v>947850.09</v>
      </c>
      <c r="F302" s="1155">
        <f t="shared" si="18"/>
        <v>54.644357135444885</v>
      </c>
      <c r="G302" s="467"/>
    </row>
    <row r="303" spans="1:7" s="461" customFormat="1" ht="18.75" customHeight="1">
      <c r="A303" s="455"/>
      <c r="B303" s="456"/>
      <c r="C303" s="457" t="s">
        <v>1186</v>
      </c>
      <c r="D303" s="458">
        <f>SUM(D304,D307)</f>
        <v>1734580</v>
      </c>
      <c r="E303" s="458">
        <f>SUM(E304,E307)</f>
        <v>947850.09</v>
      </c>
      <c r="F303" s="459">
        <f t="shared" si="18"/>
        <v>54.644357135444885</v>
      </c>
      <c r="G303" s="460"/>
    </row>
    <row r="304" spans="1:7" s="468" customFormat="1" ht="18" customHeight="1">
      <c r="A304" s="462"/>
      <c r="B304" s="463"/>
      <c r="C304" s="464" t="s">
        <v>1288</v>
      </c>
      <c r="D304" s="465">
        <f>SUM(D305,D306)</f>
        <v>1725060</v>
      </c>
      <c r="E304" s="465">
        <f>SUM(E305,E306)</f>
        <v>941076.5599999999</v>
      </c>
      <c r="F304" s="466">
        <f t="shared" si="18"/>
        <v>54.55326539366746</v>
      </c>
      <c r="G304" s="467"/>
    </row>
    <row r="305" spans="1:7" s="468" customFormat="1" ht="18" customHeight="1">
      <c r="A305" s="462"/>
      <c r="B305" s="463"/>
      <c r="C305" s="1194" t="s">
        <v>334</v>
      </c>
      <c r="D305" s="1195">
        <v>1361589</v>
      </c>
      <c r="E305" s="1195">
        <v>782191.32</v>
      </c>
      <c r="F305" s="1196">
        <f t="shared" si="18"/>
        <v>57.4469476471975</v>
      </c>
      <c r="G305" s="467"/>
    </row>
    <row r="306" spans="1:7" s="1197" customFormat="1" ht="18.75" customHeight="1">
      <c r="A306" s="1192"/>
      <c r="B306" s="1193"/>
      <c r="C306" s="1194" t="s">
        <v>1289</v>
      </c>
      <c r="D306" s="1195">
        <v>363471</v>
      </c>
      <c r="E306" s="1195">
        <v>158885.24</v>
      </c>
      <c r="F306" s="1196">
        <f t="shared" si="18"/>
        <v>43.713319632102696</v>
      </c>
      <c r="G306" s="467"/>
    </row>
    <row r="307" spans="1:7" s="468" customFormat="1" ht="18.75" customHeight="1">
      <c r="A307" s="469"/>
      <c r="B307" s="463"/>
      <c r="C307" s="471" t="s">
        <v>1312</v>
      </c>
      <c r="D307" s="465">
        <v>9520</v>
      </c>
      <c r="E307" s="465">
        <v>6773.53</v>
      </c>
      <c r="F307" s="466">
        <f t="shared" si="18"/>
        <v>71.15052521008403</v>
      </c>
      <c r="G307" s="467"/>
    </row>
    <row r="308" spans="1:8" s="1167" customFormat="1" ht="27" customHeight="1">
      <c r="A308" s="1164"/>
      <c r="B308" s="1152" t="s">
        <v>118</v>
      </c>
      <c r="C308" s="625" t="s">
        <v>969</v>
      </c>
      <c r="D308" s="1154">
        <f>D309</f>
        <v>839800</v>
      </c>
      <c r="E308" s="1154">
        <f>E309</f>
        <v>397513.72000000003</v>
      </c>
      <c r="F308" s="1155">
        <f t="shared" si="18"/>
        <v>47.33433198380567</v>
      </c>
      <c r="G308" s="467"/>
      <c r="H308" s="468"/>
    </row>
    <row r="309" spans="1:7" s="461" customFormat="1" ht="18.75" customHeight="1">
      <c r="A309" s="455"/>
      <c r="B309" s="456"/>
      <c r="C309" s="457" t="s">
        <v>1186</v>
      </c>
      <c r="D309" s="458">
        <f>SUM(D310,D313)</f>
        <v>839800</v>
      </c>
      <c r="E309" s="458">
        <f>SUM(E310,E313)</f>
        <v>397513.72000000003</v>
      </c>
      <c r="F309" s="459">
        <f t="shared" si="18"/>
        <v>47.33433198380567</v>
      </c>
      <c r="G309" s="460"/>
    </row>
    <row r="310" spans="1:7" s="468" customFormat="1" ht="18" customHeight="1">
      <c r="A310" s="462"/>
      <c r="B310" s="463"/>
      <c r="C310" s="464" t="s">
        <v>1288</v>
      </c>
      <c r="D310" s="465">
        <f>SUM(D312,D311)</f>
        <v>829598</v>
      </c>
      <c r="E310" s="465">
        <f>SUM(E312,E311)</f>
        <v>390161.69</v>
      </c>
      <c r="F310" s="466">
        <f t="shared" si="18"/>
        <v>47.030211017866485</v>
      </c>
      <c r="G310" s="467"/>
    </row>
    <row r="311" spans="1:7" s="1197" customFormat="1" ht="18.75" customHeight="1">
      <c r="A311" s="1192"/>
      <c r="B311" s="1193"/>
      <c r="C311" s="1194" t="s">
        <v>334</v>
      </c>
      <c r="D311" s="1195">
        <v>768629</v>
      </c>
      <c r="E311" s="1195">
        <v>354460.63</v>
      </c>
      <c r="F311" s="1196">
        <f t="shared" si="18"/>
        <v>46.11595841426748</v>
      </c>
      <c r="G311" s="467"/>
    </row>
    <row r="312" spans="1:7" s="1197" customFormat="1" ht="18.75" customHeight="1">
      <c r="A312" s="1192"/>
      <c r="B312" s="1193"/>
      <c r="C312" s="1194" t="s">
        <v>1289</v>
      </c>
      <c r="D312" s="1195">
        <v>60969</v>
      </c>
      <c r="E312" s="1195">
        <v>35701.06</v>
      </c>
      <c r="F312" s="1196">
        <f t="shared" si="18"/>
        <v>58.55608587970935</v>
      </c>
      <c r="G312" s="467"/>
    </row>
    <row r="313" spans="1:7" s="468" customFormat="1" ht="18.75" customHeight="1">
      <c r="A313" s="469"/>
      <c r="B313" s="463"/>
      <c r="C313" s="471" t="s">
        <v>1312</v>
      </c>
      <c r="D313" s="465">
        <v>10202</v>
      </c>
      <c r="E313" s="465">
        <v>7352.03</v>
      </c>
      <c r="F313" s="466">
        <f t="shared" si="18"/>
        <v>72.0645951774162</v>
      </c>
      <c r="G313" s="467"/>
    </row>
    <row r="314" spans="1:7" s="468" customFormat="1" ht="18.75" customHeight="1">
      <c r="A314" s="1164"/>
      <c r="B314" s="1152" t="s">
        <v>120</v>
      </c>
      <c r="C314" s="1161" t="s">
        <v>825</v>
      </c>
      <c r="D314" s="1154">
        <f>SUM(D315)</f>
        <v>522471</v>
      </c>
      <c r="E314" s="1154">
        <f>SUM(E315)</f>
        <v>241524.11</v>
      </c>
      <c r="F314" s="1155">
        <f aca="true" t="shared" si="19" ref="F314:F322">E314/D314*100</f>
        <v>46.227275772243814</v>
      </c>
      <c r="G314" s="467"/>
    </row>
    <row r="315" spans="1:7" s="461" customFormat="1" ht="18.75" customHeight="1">
      <c r="A315" s="455"/>
      <c r="B315" s="456"/>
      <c r="C315" s="457" t="s">
        <v>1186</v>
      </c>
      <c r="D315" s="458">
        <f>SUM(D316,D319)</f>
        <v>522471</v>
      </c>
      <c r="E315" s="458">
        <f>SUM(E316,E319)</f>
        <v>241524.11</v>
      </c>
      <c r="F315" s="459">
        <f t="shared" si="19"/>
        <v>46.227275772243814</v>
      </c>
      <c r="G315" s="460"/>
    </row>
    <row r="316" spans="1:7" s="468" customFormat="1" ht="18" customHeight="1">
      <c r="A316" s="462"/>
      <c r="B316" s="463"/>
      <c r="C316" s="464" t="s">
        <v>1288</v>
      </c>
      <c r="D316" s="465">
        <f>SUM(D318,D317)</f>
        <v>12551</v>
      </c>
      <c r="E316" s="465">
        <f>SUM(E318,E317)</f>
        <v>4050.77</v>
      </c>
      <c r="F316" s="466">
        <f>E316/D316*100</f>
        <v>32.27448012110589</v>
      </c>
      <c r="G316" s="467"/>
    </row>
    <row r="317" spans="1:7" s="1197" customFormat="1" ht="18.75" customHeight="1">
      <c r="A317" s="1192"/>
      <c r="B317" s="1193"/>
      <c r="C317" s="1194" t="s">
        <v>334</v>
      </c>
      <c r="D317" s="1195">
        <v>3950</v>
      </c>
      <c r="E317" s="1195">
        <v>0</v>
      </c>
      <c r="F317" s="1196">
        <f>E317/D317*100</f>
        <v>0</v>
      </c>
      <c r="G317" s="467"/>
    </row>
    <row r="318" spans="1:7" s="1197" customFormat="1" ht="18.75" customHeight="1">
      <c r="A318" s="1192"/>
      <c r="B318" s="1193"/>
      <c r="C318" s="1194" t="s">
        <v>1289</v>
      </c>
      <c r="D318" s="1195">
        <v>8601</v>
      </c>
      <c r="E318" s="1195">
        <v>4050.77</v>
      </c>
      <c r="F318" s="1196">
        <f>E318/D318*100</f>
        <v>47.09650040692942</v>
      </c>
      <c r="G318" s="467"/>
    </row>
    <row r="319" spans="1:7" s="468" customFormat="1" ht="18.75" customHeight="1">
      <c r="A319" s="469"/>
      <c r="B319" s="463"/>
      <c r="C319" s="471" t="s">
        <v>1312</v>
      </c>
      <c r="D319" s="465">
        <v>509920</v>
      </c>
      <c r="E319" s="465">
        <v>237473.34</v>
      </c>
      <c r="F319" s="466">
        <f>E319/D319*100</f>
        <v>46.57070520866018</v>
      </c>
      <c r="G319" s="467"/>
    </row>
    <row r="320" spans="1:7" s="468" customFormat="1" ht="27" customHeight="1">
      <c r="A320" s="1165" t="s">
        <v>960</v>
      </c>
      <c r="B320" s="1147"/>
      <c r="C320" s="1148" t="s">
        <v>420</v>
      </c>
      <c r="D320" s="1149">
        <f>SUM(D321,D328)</f>
        <v>2915824</v>
      </c>
      <c r="E320" s="1149">
        <f>SUM(E321,E328)</f>
        <v>1417831.9799999997</v>
      </c>
      <c r="F320" s="1150">
        <f t="shared" si="19"/>
        <v>48.62543075302212</v>
      </c>
      <c r="G320" s="467"/>
    </row>
    <row r="321" spans="1:8" s="1167" customFormat="1" ht="18.75" customHeight="1">
      <c r="A321" s="1164"/>
      <c r="B321" s="1152" t="s">
        <v>961</v>
      </c>
      <c r="C321" s="625" t="s">
        <v>421</v>
      </c>
      <c r="D321" s="1154">
        <f>SUM(D322,D326)</f>
        <v>1220554</v>
      </c>
      <c r="E321" s="1154">
        <f>SUM(E322,E326)</f>
        <v>389196.36999999994</v>
      </c>
      <c r="F321" s="1155">
        <f t="shared" si="19"/>
        <v>31.88686203150372</v>
      </c>
      <c r="G321" s="467"/>
      <c r="H321" s="468"/>
    </row>
    <row r="322" spans="1:7" s="461" customFormat="1" ht="18.75" customHeight="1">
      <c r="A322" s="455"/>
      <c r="B322" s="456"/>
      <c r="C322" s="457" t="s">
        <v>1186</v>
      </c>
      <c r="D322" s="458">
        <f>SUM(D323)</f>
        <v>1197733</v>
      </c>
      <c r="E322" s="458">
        <f>SUM(E323)</f>
        <v>378521.94999999995</v>
      </c>
      <c r="F322" s="459">
        <f t="shared" si="19"/>
        <v>31.60319954447276</v>
      </c>
      <c r="G322" s="460"/>
    </row>
    <row r="323" spans="1:7" s="468" customFormat="1" ht="18" customHeight="1">
      <c r="A323" s="462"/>
      <c r="B323" s="463"/>
      <c r="C323" s="464" t="s">
        <v>1288</v>
      </c>
      <c r="D323" s="465">
        <f>SUM(D324,D325)</f>
        <v>1197733</v>
      </c>
      <c r="E323" s="465">
        <f>SUM(E324,E325)</f>
        <v>378521.94999999995</v>
      </c>
      <c r="F323" s="466">
        <f aca="true" t="shared" si="20" ref="F323:F355">E323/D323*100</f>
        <v>31.60319954447276</v>
      </c>
      <c r="G323" s="467"/>
    </row>
    <row r="324" spans="1:7" s="1197" customFormat="1" ht="18.75" customHeight="1">
      <c r="A324" s="1192"/>
      <c r="B324" s="1193"/>
      <c r="C324" s="1194" t="s">
        <v>334</v>
      </c>
      <c r="D324" s="1195">
        <v>776162</v>
      </c>
      <c r="E324" s="1195">
        <v>346892.67</v>
      </c>
      <c r="F324" s="1196">
        <f t="shared" si="20"/>
        <v>44.69333335051188</v>
      </c>
      <c r="G324" s="467"/>
    </row>
    <row r="325" spans="1:7" s="1197" customFormat="1" ht="18.75" customHeight="1">
      <c r="A325" s="1192"/>
      <c r="B325" s="1193"/>
      <c r="C325" s="1194" t="s">
        <v>1289</v>
      </c>
      <c r="D325" s="1195">
        <v>421571</v>
      </c>
      <c r="E325" s="1195">
        <v>31629.28</v>
      </c>
      <c r="F325" s="1196">
        <f t="shared" si="20"/>
        <v>7.502717217265893</v>
      </c>
      <c r="G325" s="467"/>
    </row>
    <row r="326" spans="1:7" s="461" customFormat="1" ht="18.75" customHeight="1">
      <c r="A326" s="455"/>
      <c r="B326" s="456"/>
      <c r="C326" s="457" t="s">
        <v>1291</v>
      </c>
      <c r="D326" s="458">
        <f>SUM(D327)</f>
        <v>22821</v>
      </c>
      <c r="E326" s="458">
        <f>SUM(E327)</f>
        <v>10674.42</v>
      </c>
      <c r="F326" s="459">
        <f t="shared" si="20"/>
        <v>46.77454975680295</v>
      </c>
      <c r="G326" s="460"/>
    </row>
    <row r="327" spans="1:7" s="468" customFormat="1" ht="18" customHeight="1">
      <c r="A327" s="462"/>
      <c r="B327" s="463"/>
      <c r="C327" s="464" t="s">
        <v>1292</v>
      </c>
      <c r="D327" s="465">
        <v>22821</v>
      </c>
      <c r="E327" s="465">
        <v>10674.42</v>
      </c>
      <c r="F327" s="466">
        <f t="shared" si="20"/>
        <v>46.77454975680295</v>
      </c>
      <c r="G327" s="467"/>
    </row>
    <row r="328" spans="1:7" s="468" customFormat="1" ht="18.75" customHeight="1">
      <c r="A328" s="1164"/>
      <c r="B328" s="1152" t="s">
        <v>424</v>
      </c>
      <c r="C328" s="625" t="s">
        <v>825</v>
      </c>
      <c r="D328" s="1154">
        <f>SUM(D329)</f>
        <v>1695270</v>
      </c>
      <c r="E328" s="1154">
        <f>SUM(E329)</f>
        <v>1028635.6099999999</v>
      </c>
      <c r="F328" s="1155">
        <f t="shared" si="20"/>
        <v>60.67680133548048</v>
      </c>
      <c r="G328" s="467"/>
    </row>
    <row r="329" spans="1:7" s="461" customFormat="1" ht="18.75" customHeight="1">
      <c r="A329" s="455"/>
      <c r="B329" s="456"/>
      <c r="C329" s="457" t="s">
        <v>1186</v>
      </c>
      <c r="D329" s="458">
        <f>SUM(D330,D333,D334)</f>
        <v>1695270</v>
      </c>
      <c r="E329" s="458">
        <f>SUM(E330,E333,E334)</f>
        <v>1028635.6099999999</v>
      </c>
      <c r="F329" s="459">
        <f t="shared" si="20"/>
        <v>60.67680133548048</v>
      </c>
      <c r="G329" s="460"/>
    </row>
    <row r="330" spans="1:7" s="468" customFormat="1" ht="18" customHeight="1">
      <c r="A330" s="462"/>
      <c r="B330" s="463"/>
      <c r="C330" s="464" t="s">
        <v>1288</v>
      </c>
      <c r="D330" s="465">
        <f>SUM(D332,D331)</f>
        <v>48000</v>
      </c>
      <c r="E330" s="465">
        <f>SUM(E332,E331)</f>
        <v>26189.42</v>
      </c>
      <c r="F330" s="466">
        <f t="shared" si="20"/>
        <v>54.56129166666667</v>
      </c>
      <c r="G330" s="467"/>
    </row>
    <row r="331" spans="1:7" s="1197" customFormat="1" ht="18.75" customHeight="1" hidden="1">
      <c r="A331" s="1192"/>
      <c r="B331" s="1193"/>
      <c r="C331" s="1194" t="s">
        <v>334</v>
      </c>
      <c r="D331" s="1195">
        <v>0</v>
      </c>
      <c r="E331" s="1195">
        <v>0</v>
      </c>
      <c r="F331" s="1196" t="e">
        <f t="shared" si="20"/>
        <v>#DIV/0!</v>
      </c>
      <c r="G331" s="467"/>
    </row>
    <row r="332" spans="1:7" s="1197" customFormat="1" ht="18.75" customHeight="1">
      <c r="A332" s="1192"/>
      <c r="B332" s="1193"/>
      <c r="C332" s="1194" t="s">
        <v>1289</v>
      </c>
      <c r="D332" s="1195">
        <v>48000</v>
      </c>
      <c r="E332" s="1195">
        <v>26189.42</v>
      </c>
      <c r="F332" s="1196">
        <f t="shared" si="20"/>
        <v>54.56129166666667</v>
      </c>
      <c r="G332" s="467"/>
    </row>
    <row r="333" spans="1:7" s="468" customFormat="1" ht="18.75" customHeight="1">
      <c r="A333" s="469"/>
      <c r="B333" s="463"/>
      <c r="C333" s="471" t="s">
        <v>1290</v>
      </c>
      <c r="D333" s="465">
        <v>552000</v>
      </c>
      <c r="E333" s="465">
        <v>286784</v>
      </c>
      <c r="F333" s="466">
        <f t="shared" si="20"/>
        <v>51.95362318840579</v>
      </c>
      <c r="G333" s="467"/>
    </row>
    <row r="334" spans="1:7" s="468" customFormat="1" ht="18.75" customHeight="1">
      <c r="A334" s="469"/>
      <c r="B334" s="463"/>
      <c r="C334" s="471" t="s">
        <v>1320</v>
      </c>
      <c r="D334" s="465">
        <v>1095270</v>
      </c>
      <c r="E334" s="465">
        <v>715662.19</v>
      </c>
      <c r="F334" s="466">
        <f>E334/D334*100</f>
        <v>65.34116610516128</v>
      </c>
      <c r="G334" s="467"/>
    </row>
    <row r="335" spans="1:7" s="468" customFormat="1" ht="18.75" customHeight="1">
      <c r="A335" s="1165" t="s">
        <v>970</v>
      </c>
      <c r="B335" s="1147"/>
      <c r="C335" s="1148" t="s">
        <v>974</v>
      </c>
      <c r="D335" s="1149">
        <f>SUM(D336,D341,D349,D352,D356)</f>
        <v>1624714</v>
      </c>
      <c r="E335" s="1149">
        <f>SUM(E336,E341,E349,E352,E356)</f>
        <v>746020.74</v>
      </c>
      <c r="F335" s="1150">
        <f t="shared" si="20"/>
        <v>45.91705001618747</v>
      </c>
      <c r="G335" s="467"/>
    </row>
    <row r="336" spans="1:7" s="468" customFormat="1" ht="18.75" customHeight="1">
      <c r="A336" s="1164"/>
      <c r="B336" s="1152" t="s">
        <v>425</v>
      </c>
      <c r="C336" s="625" t="s">
        <v>426</v>
      </c>
      <c r="D336" s="1154">
        <f>SUM(D337)</f>
        <v>589557</v>
      </c>
      <c r="E336" s="1154">
        <f>SUM(E337)</f>
        <v>295620.74</v>
      </c>
      <c r="F336" s="1155">
        <f t="shared" si="20"/>
        <v>50.142859808296734</v>
      </c>
      <c r="G336" s="467"/>
    </row>
    <row r="337" spans="1:7" s="461" customFormat="1" ht="18.75" customHeight="1">
      <c r="A337" s="455"/>
      <c r="B337" s="456"/>
      <c r="C337" s="457" t="s">
        <v>1186</v>
      </c>
      <c r="D337" s="458">
        <f>SUM(D338)</f>
        <v>589557</v>
      </c>
      <c r="E337" s="458">
        <f>SUM(E338)</f>
        <v>295620.74</v>
      </c>
      <c r="F337" s="459">
        <f t="shared" si="20"/>
        <v>50.142859808296734</v>
      </c>
      <c r="G337" s="460"/>
    </row>
    <row r="338" spans="1:7" s="468" customFormat="1" ht="18" customHeight="1">
      <c r="A338" s="462"/>
      <c r="B338" s="463"/>
      <c r="C338" s="464" t="s">
        <v>1288</v>
      </c>
      <c r="D338" s="465">
        <f>SUM(D340,D339)</f>
        <v>589557</v>
      </c>
      <c r="E338" s="465">
        <f>SUM(E340,E339)</f>
        <v>295620.74</v>
      </c>
      <c r="F338" s="466">
        <f t="shared" si="20"/>
        <v>50.142859808296734</v>
      </c>
      <c r="G338" s="467"/>
    </row>
    <row r="339" spans="1:7" s="1197" customFormat="1" ht="18.75" customHeight="1">
      <c r="A339" s="1192"/>
      <c r="B339" s="1193"/>
      <c r="C339" s="1194" t="s">
        <v>334</v>
      </c>
      <c r="D339" s="1195">
        <v>481173</v>
      </c>
      <c r="E339" s="1195">
        <v>240513.55</v>
      </c>
      <c r="F339" s="1196">
        <f t="shared" si="20"/>
        <v>49.98483913270279</v>
      </c>
      <c r="G339" s="467"/>
    </row>
    <row r="340" spans="1:7" s="1197" customFormat="1" ht="18.75" customHeight="1">
      <c r="A340" s="1192"/>
      <c r="B340" s="1193"/>
      <c r="C340" s="1194" t="s">
        <v>1289</v>
      </c>
      <c r="D340" s="1195">
        <v>108384</v>
      </c>
      <c r="E340" s="1195">
        <v>55107.19</v>
      </c>
      <c r="F340" s="1196">
        <f t="shared" si="20"/>
        <v>50.84439585178624</v>
      </c>
      <c r="G340" s="467"/>
    </row>
    <row r="341" spans="1:8" s="1167" customFormat="1" ht="18.75" customHeight="1">
      <c r="A341" s="1164"/>
      <c r="B341" s="1152" t="s">
        <v>1043</v>
      </c>
      <c r="C341" s="1161" t="s">
        <v>428</v>
      </c>
      <c r="D341" s="1154">
        <f>SUM(D342,D347)</f>
        <v>648961</v>
      </c>
      <c r="E341" s="1154">
        <f>SUM(E342,E347)</f>
        <v>323121.04</v>
      </c>
      <c r="F341" s="1155">
        <f t="shared" si="20"/>
        <v>49.790517457905786</v>
      </c>
      <c r="G341" s="467"/>
      <c r="H341" s="468"/>
    </row>
    <row r="342" spans="1:7" s="461" customFormat="1" ht="18.75" customHeight="1">
      <c r="A342" s="455"/>
      <c r="B342" s="456"/>
      <c r="C342" s="457" t="s">
        <v>1186</v>
      </c>
      <c r="D342" s="458">
        <f>SUM(D343,D346)</f>
        <v>600961</v>
      </c>
      <c r="E342" s="458">
        <f>SUM(E343,E346)</f>
        <v>323121.04</v>
      </c>
      <c r="F342" s="459">
        <f t="shared" si="20"/>
        <v>53.76738923158075</v>
      </c>
      <c r="G342" s="460"/>
    </row>
    <row r="343" spans="1:7" s="468" customFormat="1" ht="18" customHeight="1">
      <c r="A343" s="462"/>
      <c r="B343" s="463"/>
      <c r="C343" s="464" t="s">
        <v>1288</v>
      </c>
      <c r="D343" s="465">
        <f>SUM(D345,D344)</f>
        <v>600461</v>
      </c>
      <c r="E343" s="465">
        <f>SUM(E345,E344)</f>
        <v>323121.04</v>
      </c>
      <c r="F343" s="466">
        <f t="shared" si="20"/>
        <v>53.81216098963962</v>
      </c>
      <c r="G343" s="467"/>
    </row>
    <row r="344" spans="1:7" s="1197" customFormat="1" ht="18.75" customHeight="1">
      <c r="A344" s="1192"/>
      <c r="B344" s="1193"/>
      <c r="C344" s="1194" t="s">
        <v>334</v>
      </c>
      <c r="D344" s="1195">
        <v>467729</v>
      </c>
      <c r="E344" s="1195">
        <v>233220.28</v>
      </c>
      <c r="F344" s="1196">
        <f t="shared" si="20"/>
        <v>49.862266397850036</v>
      </c>
      <c r="G344" s="467"/>
    </row>
    <row r="345" spans="1:7" s="1197" customFormat="1" ht="18.75" customHeight="1">
      <c r="A345" s="1192"/>
      <c r="B345" s="1193"/>
      <c r="C345" s="1194" t="s">
        <v>1289</v>
      </c>
      <c r="D345" s="1195">
        <v>132732</v>
      </c>
      <c r="E345" s="1195">
        <v>89900.76</v>
      </c>
      <c r="F345" s="1196">
        <f t="shared" si="20"/>
        <v>67.7310369767652</v>
      </c>
      <c r="G345" s="467"/>
    </row>
    <row r="346" spans="1:7" s="468" customFormat="1" ht="18.75" customHeight="1">
      <c r="A346" s="469"/>
      <c r="B346" s="463"/>
      <c r="C346" s="471" t="s">
        <v>1312</v>
      </c>
      <c r="D346" s="465">
        <v>500</v>
      </c>
      <c r="E346" s="465">
        <v>0</v>
      </c>
      <c r="F346" s="466">
        <f t="shared" si="20"/>
        <v>0</v>
      </c>
      <c r="G346" s="467"/>
    </row>
    <row r="347" spans="1:7" s="461" customFormat="1" ht="18.75" customHeight="1">
      <c r="A347" s="455"/>
      <c r="B347" s="456"/>
      <c r="C347" s="457" t="s">
        <v>1291</v>
      </c>
      <c r="D347" s="458">
        <f>SUM(D348)</f>
        <v>48000</v>
      </c>
      <c r="E347" s="458">
        <f>SUM(E348)</f>
        <v>0</v>
      </c>
      <c r="F347" s="459">
        <f t="shared" si="20"/>
        <v>0</v>
      </c>
      <c r="G347" s="460"/>
    </row>
    <row r="348" spans="1:7" s="468" customFormat="1" ht="18" customHeight="1">
      <c r="A348" s="462"/>
      <c r="B348" s="463"/>
      <c r="C348" s="464" t="s">
        <v>1292</v>
      </c>
      <c r="D348" s="465">
        <v>48000</v>
      </c>
      <c r="E348" s="465">
        <v>0</v>
      </c>
      <c r="F348" s="466">
        <f t="shared" si="20"/>
        <v>0</v>
      </c>
      <c r="G348" s="467"/>
    </row>
    <row r="349" spans="1:8" s="1167" customFormat="1" ht="18.75" customHeight="1">
      <c r="A349" s="1164"/>
      <c r="B349" s="1152" t="s">
        <v>1046</v>
      </c>
      <c r="C349" s="1161" t="s">
        <v>1047</v>
      </c>
      <c r="D349" s="1154">
        <f>D351</f>
        <v>158206</v>
      </c>
      <c r="E349" s="1154">
        <f>E351</f>
        <v>45672</v>
      </c>
      <c r="F349" s="1155">
        <f t="shared" si="20"/>
        <v>28.868690188741265</v>
      </c>
      <c r="G349" s="467"/>
      <c r="H349" s="468"/>
    </row>
    <row r="350" spans="1:7" s="461" customFormat="1" ht="18.75" customHeight="1">
      <c r="A350" s="455"/>
      <c r="B350" s="456"/>
      <c r="C350" s="457" t="s">
        <v>1186</v>
      </c>
      <c r="D350" s="458">
        <f>SUM(D351)</f>
        <v>158206</v>
      </c>
      <c r="E350" s="458">
        <f>SUM(E351)</f>
        <v>45672</v>
      </c>
      <c r="F350" s="459">
        <f t="shared" si="20"/>
        <v>28.868690188741265</v>
      </c>
      <c r="G350" s="460"/>
    </row>
    <row r="351" spans="1:7" s="468" customFormat="1" ht="18.75" customHeight="1">
      <c r="A351" s="469"/>
      <c r="B351" s="463"/>
      <c r="C351" s="471" t="s">
        <v>1312</v>
      </c>
      <c r="D351" s="465">
        <v>158206</v>
      </c>
      <c r="E351" s="465">
        <v>45672</v>
      </c>
      <c r="F351" s="466">
        <f t="shared" si="20"/>
        <v>28.868690188741265</v>
      </c>
      <c r="G351" s="467"/>
    </row>
    <row r="352" spans="1:8" s="1167" customFormat="1" ht="18.75" customHeight="1">
      <c r="A352" s="1164"/>
      <c r="B352" s="1152" t="s">
        <v>432</v>
      </c>
      <c r="C352" s="1161" t="s">
        <v>398</v>
      </c>
      <c r="D352" s="1154">
        <f>D355</f>
        <v>7622</v>
      </c>
      <c r="E352" s="1154">
        <f>E355</f>
        <v>808.28</v>
      </c>
      <c r="F352" s="1155">
        <f t="shared" si="20"/>
        <v>10.604565730779322</v>
      </c>
      <c r="G352" s="467"/>
      <c r="H352" s="468"/>
    </row>
    <row r="353" spans="1:7" s="461" customFormat="1" ht="18.75" customHeight="1">
      <c r="A353" s="455"/>
      <c r="B353" s="456"/>
      <c r="C353" s="457" t="s">
        <v>1186</v>
      </c>
      <c r="D353" s="458">
        <f>SUM(D354)</f>
        <v>7622</v>
      </c>
      <c r="E353" s="458">
        <f>SUM(E354)</f>
        <v>808.28</v>
      </c>
      <c r="F353" s="459">
        <f t="shared" si="20"/>
        <v>10.604565730779322</v>
      </c>
      <c r="G353" s="460"/>
    </row>
    <row r="354" spans="1:7" s="468" customFormat="1" ht="18" customHeight="1">
      <c r="A354" s="462"/>
      <c r="B354" s="463"/>
      <c r="C354" s="464" t="s">
        <v>1288</v>
      </c>
      <c r="D354" s="465">
        <f>SUM(D355)</f>
        <v>7622</v>
      </c>
      <c r="E354" s="465">
        <f>SUM(E355)</f>
        <v>808.28</v>
      </c>
      <c r="F354" s="466">
        <f t="shared" si="20"/>
        <v>10.604565730779322</v>
      </c>
      <c r="G354" s="467"/>
    </row>
    <row r="355" spans="1:7" s="1197" customFormat="1" ht="18.75" customHeight="1">
      <c r="A355" s="1192"/>
      <c r="B355" s="1193"/>
      <c r="C355" s="1194" t="s">
        <v>1289</v>
      </c>
      <c r="D355" s="1195">
        <v>7622</v>
      </c>
      <c r="E355" s="1195">
        <v>808.28</v>
      </c>
      <c r="F355" s="1196">
        <f t="shared" si="20"/>
        <v>10.604565730779322</v>
      </c>
      <c r="G355" s="467"/>
    </row>
    <row r="356" spans="1:8" s="1167" customFormat="1" ht="18.75" customHeight="1">
      <c r="A356" s="1164"/>
      <c r="B356" s="1152" t="s">
        <v>433</v>
      </c>
      <c r="C356" s="1161" t="s">
        <v>825</v>
      </c>
      <c r="D356" s="1154">
        <f>D357</f>
        <v>220368</v>
      </c>
      <c r="E356" s="1154">
        <f>E357</f>
        <v>80798.68</v>
      </c>
      <c r="F356" s="1155">
        <f aca="true" t="shared" si="21" ref="F356:F387">E356/D356*100</f>
        <v>36.66534161039715</v>
      </c>
      <c r="G356" s="467"/>
      <c r="H356" s="468"/>
    </row>
    <row r="357" spans="1:7" s="461" customFormat="1" ht="18.75" customHeight="1">
      <c r="A357" s="455"/>
      <c r="B357" s="456"/>
      <c r="C357" s="457" t="s">
        <v>1186</v>
      </c>
      <c r="D357" s="458">
        <f>SUM(D358,D361)</f>
        <v>220368</v>
      </c>
      <c r="E357" s="458">
        <f>SUM(E358,E361)</f>
        <v>80798.68</v>
      </c>
      <c r="F357" s="459">
        <f t="shared" si="21"/>
        <v>36.66534161039715</v>
      </c>
      <c r="G357" s="460"/>
    </row>
    <row r="358" spans="1:7" s="468" customFormat="1" ht="18" customHeight="1">
      <c r="A358" s="462"/>
      <c r="B358" s="463"/>
      <c r="C358" s="464" t="s">
        <v>1288</v>
      </c>
      <c r="D358" s="465">
        <f>SUM(D360,D359)</f>
        <v>218084</v>
      </c>
      <c r="E358" s="465">
        <f>SUM(E360,E359)</f>
        <v>80528.68</v>
      </c>
      <c r="F358" s="466">
        <f t="shared" si="21"/>
        <v>36.9255332807542</v>
      </c>
      <c r="G358" s="467"/>
    </row>
    <row r="359" spans="1:7" s="1197" customFormat="1" ht="18.75" customHeight="1">
      <c r="A359" s="1192"/>
      <c r="B359" s="1193"/>
      <c r="C359" s="1194" t="s">
        <v>334</v>
      </c>
      <c r="D359" s="1195">
        <v>13324</v>
      </c>
      <c r="E359" s="1195">
        <v>0</v>
      </c>
      <c r="F359" s="1196">
        <f t="shared" si="21"/>
        <v>0</v>
      </c>
      <c r="G359" s="467"/>
    </row>
    <row r="360" spans="1:7" s="1197" customFormat="1" ht="18.75" customHeight="1">
      <c r="A360" s="1192"/>
      <c r="B360" s="1193"/>
      <c r="C360" s="1194" t="s">
        <v>1289</v>
      </c>
      <c r="D360" s="1195">
        <v>204760</v>
      </c>
      <c r="E360" s="1195">
        <v>80528.68</v>
      </c>
      <c r="F360" s="1196">
        <f t="shared" si="21"/>
        <v>39.32832584489157</v>
      </c>
      <c r="G360" s="467"/>
    </row>
    <row r="361" spans="1:7" s="468" customFormat="1" ht="18.75" customHeight="1">
      <c r="A361" s="469"/>
      <c r="B361" s="463"/>
      <c r="C361" s="471" t="s">
        <v>1312</v>
      </c>
      <c r="D361" s="465">
        <v>2284</v>
      </c>
      <c r="E361" s="465">
        <v>270</v>
      </c>
      <c r="F361" s="466">
        <f t="shared" si="21"/>
        <v>11.821366024518388</v>
      </c>
      <c r="G361" s="467"/>
    </row>
    <row r="362" spans="1:7" s="468" customFormat="1" ht="27" customHeight="1">
      <c r="A362" s="1165" t="s">
        <v>1049</v>
      </c>
      <c r="B362" s="1147"/>
      <c r="C362" s="1148" t="s">
        <v>454</v>
      </c>
      <c r="D362" s="1149">
        <f>SUM(D363,D367,D373,D376,D382,D386)</f>
        <v>18048349</v>
      </c>
      <c r="E362" s="1149">
        <f>SUM(E363,E367,E373,E376,E382,E386)</f>
        <v>4868889.72</v>
      </c>
      <c r="F362" s="1150">
        <f t="shared" si="21"/>
        <v>26.976925811884513</v>
      </c>
      <c r="G362" s="467"/>
    </row>
    <row r="363" spans="1:8" s="1167" customFormat="1" ht="18.75" customHeight="1">
      <c r="A363" s="1164"/>
      <c r="B363" s="1152" t="s">
        <v>1050</v>
      </c>
      <c r="C363" s="1161" t="s">
        <v>1234</v>
      </c>
      <c r="D363" s="1154">
        <f aca="true" t="shared" si="22" ref="D363:E365">SUM(D364)</f>
        <v>3325029</v>
      </c>
      <c r="E363" s="1154">
        <f t="shared" si="22"/>
        <v>2228269.96</v>
      </c>
      <c r="F363" s="1155">
        <f t="shared" si="21"/>
        <v>67.01505340254175</v>
      </c>
      <c r="G363" s="467"/>
      <c r="H363" s="468"/>
    </row>
    <row r="364" spans="1:7" s="461" customFormat="1" ht="18.75" customHeight="1">
      <c r="A364" s="455"/>
      <c r="B364" s="456"/>
      <c r="C364" s="457" t="s">
        <v>1186</v>
      </c>
      <c r="D364" s="458">
        <f t="shared" si="22"/>
        <v>3325029</v>
      </c>
      <c r="E364" s="458">
        <f t="shared" si="22"/>
        <v>2228269.96</v>
      </c>
      <c r="F364" s="459">
        <f t="shared" si="21"/>
        <v>67.01505340254175</v>
      </c>
      <c r="G364" s="460"/>
    </row>
    <row r="365" spans="1:7" s="468" customFormat="1" ht="18" customHeight="1">
      <c r="A365" s="462"/>
      <c r="B365" s="463"/>
      <c r="C365" s="464" t="s">
        <v>1288</v>
      </c>
      <c r="D365" s="465">
        <f t="shared" si="22"/>
        <v>3325029</v>
      </c>
      <c r="E365" s="465">
        <f t="shared" si="22"/>
        <v>2228269.96</v>
      </c>
      <c r="F365" s="466">
        <f t="shared" si="21"/>
        <v>67.01505340254175</v>
      </c>
      <c r="G365" s="467"/>
    </row>
    <row r="366" spans="1:7" s="1197" customFormat="1" ht="18.75" customHeight="1">
      <c r="A366" s="1192"/>
      <c r="B366" s="1193"/>
      <c r="C366" s="1194" t="s">
        <v>1289</v>
      </c>
      <c r="D366" s="1195">
        <v>3325029</v>
      </c>
      <c r="E366" s="1195">
        <v>2228269.96</v>
      </c>
      <c r="F366" s="1196">
        <f t="shared" si="21"/>
        <v>67.01505340254175</v>
      </c>
      <c r="G366" s="467"/>
    </row>
    <row r="367" spans="1:7" s="119" customFormat="1" ht="18.75" customHeight="1">
      <c r="A367" s="1164"/>
      <c r="B367" s="1152" t="s">
        <v>455</v>
      </c>
      <c r="C367" s="1161" t="s">
        <v>456</v>
      </c>
      <c r="D367" s="1154">
        <f>SUM(D368,D371)</f>
        <v>9499106</v>
      </c>
      <c r="E367" s="1154">
        <f>SUM(E368,E371)</f>
        <v>1706767.71</v>
      </c>
      <c r="F367" s="1155">
        <f t="shared" si="21"/>
        <v>17.967666746744378</v>
      </c>
      <c r="G367" s="560"/>
    </row>
    <row r="368" spans="1:7" s="461" customFormat="1" ht="18.75" customHeight="1">
      <c r="A368" s="455"/>
      <c r="B368" s="456"/>
      <c r="C368" s="457" t="s">
        <v>1186</v>
      </c>
      <c r="D368" s="458">
        <f>SUM(D369)</f>
        <v>2109106</v>
      </c>
      <c r="E368" s="458">
        <f>SUM(E369)</f>
        <v>689621.04</v>
      </c>
      <c r="F368" s="459">
        <f t="shared" si="21"/>
        <v>32.697315355415995</v>
      </c>
      <c r="G368" s="460"/>
    </row>
    <row r="369" spans="1:7" s="468" customFormat="1" ht="18" customHeight="1">
      <c r="A369" s="462"/>
      <c r="B369" s="463"/>
      <c r="C369" s="464" t="s">
        <v>1288</v>
      </c>
      <c r="D369" s="465">
        <f>SUM(D370)</f>
        <v>2109106</v>
      </c>
      <c r="E369" s="465">
        <f>SUM(E370)</f>
        <v>689621.04</v>
      </c>
      <c r="F369" s="466">
        <f t="shared" si="21"/>
        <v>32.697315355415995</v>
      </c>
      <c r="G369" s="467"/>
    </row>
    <row r="370" spans="1:7" s="1197" customFormat="1" ht="18.75" customHeight="1">
      <c r="A370" s="1192"/>
      <c r="B370" s="1193"/>
      <c r="C370" s="1194" t="s">
        <v>1289</v>
      </c>
      <c r="D370" s="1195">
        <v>2109106</v>
      </c>
      <c r="E370" s="1195">
        <v>689621.04</v>
      </c>
      <c r="F370" s="1196">
        <f t="shared" si="21"/>
        <v>32.697315355415995</v>
      </c>
      <c r="G370" s="467"/>
    </row>
    <row r="371" spans="1:7" s="461" customFormat="1" ht="18.75" customHeight="1">
      <c r="A371" s="455"/>
      <c r="B371" s="456"/>
      <c r="C371" s="457" t="s">
        <v>1291</v>
      </c>
      <c r="D371" s="458">
        <f>SUM(D372)</f>
        <v>7390000</v>
      </c>
      <c r="E371" s="458">
        <f>SUM(E372)</f>
        <v>1017146.67</v>
      </c>
      <c r="F371" s="459">
        <f t="shared" si="21"/>
        <v>13.7638250338295</v>
      </c>
      <c r="G371" s="460"/>
    </row>
    <row r="372" spans="1:7" s="468" customFormat="1" ht="18" customHeight="1">
      <c r="A372" s="462"/>
      <c r="B372" s="463"/>
      <c r="C372" s="464" t="s">
        <v>1293</v>
      </c>
      <c r="D372" s="465">
        <v>7390000</v>
      </c>
      <c r="E372" s="465">
        <v>1017146.67</v>
      </c>
      <c r="F372" s="466">
        <f t="shared" si="21"/>
        <v>13.7638250338295</v>
      </c>
      <c r="G372" s="467"/>
    </row>
    <row r="373" spans="1:7" s="119" customFormat="1" ht="18.75" customHeight="1">
      <c r="A373" s="1164"/>
      <c r="B373" s="1152" t="s">
        <v>459</v>
      </c>
      <c r="C373" s="1161" t="s">
        <v>464</v>
      </c>
      <c r="D373" s="1154">
        <f>SUM(D374)</f>
        <v>305000</v>
      </c>
      <c r="E373" s="1154">
        <f>SUM(E374)</f>
        <v>152499.96</v>
      </c>
      <c r="F373" s="1155">
        <f t="shared" si="21"/>
        <v>49.9999868852459</v>
      </c>
      <c r="G373" s="560"/>
    </row>
    <row r="374" spans="1:7" s="461" customFormat="1" ht="18.75" customHeight="1">
      <c r="A374" s="455"/>
      <c r="B374" s="456"/>
      <c r="C374" s="457" t="s">
        <v>1186</v>
      </c>
      <c r="D374" s="458">
        <f>SUM(D375)</f>
        <v>305000</v>
      </c>
      <c r="E374" s="458">
        <f>SUM(E375)</f>
        <v>152499.96</v>
      </c>
      <c r="F374" s="459">
        <f t="shared" si="21"/>
        <v>49.9999868852459</v>
      </c>
      <c r="G374" s="460"/>
    </row>
    <row r="375" spans="1:7" s="468" customFormat="1" ht="18" customHeight="1">
      <c r="A375" s="462"/>
      <c r="B375" s="463"/>
      <c r="C375" s="464" t="s">
        <v>1290</v>
      </c>
      <c r="D375" s="465">
        <v>305000</v>
      </c>
      <c r="E375" s="465">
        <v>152499.96</v>
      </c>
      <c r="F375" s="466">
        <f t="shared" si="21"/>
        <v>49.9999868852459</v>
      </c>
      <c r="G375" s="467"/>
    </row>
    <row r="376" spans="1:8" s="1167" customFormat="1" ht="18.75" customHeight="1">
      <c r="A376" s="1164"/>
      <c r="B376" s="1152" t="s">
        <v>1051</v>
      </c>
      <c r="C376" s="1161" t="s">
        <v>1052</v>
      </c>
      <c r="D376" s="1154">
        <f>SUM(D377,D381)</f>
        <v>1296000</v>
      </c>
      <c r="E376" s="1154">
        <f>SUM(E377,E381)</f>
        <v>535314.3</v>
      </c>
      <c r="F376" s="1155">
        <f t="shared" si="21"/>
        <v>41.305115740740746</v>
      </c>
      <c r="G376" s="467"/>
      <c r="H376" s="468"/>
    </row>
    <row r="377" spans="1:7" s="461" customFormat="1" ht="18.75" customHeight="1">
      <c r="A377" s="455"/>
      <c r="B377" s="456"/>
      <c r="C377" s="457" t="s">
        <v>1186</v>
      </c>
      <c r="D377" s="458">
        <f>SUM(D378)</f>
        <v>970000</v>
      </c>
      <c r="E377" s="458">
        <f>SUM(E378)</f>
        <v>466897.75</v>
      </c>
      <c r="F377" s="459">
        <f t="shared" si="21"/>
        <v>48.133788659793815</v>
      </c>
      <c r="G377" s="460"/>
    </row>
    <row r="378" spans="1:7" s="468" customFormat="1" ht="18" customHeight="1">
      <c r="A378" s="462"/>
      <c r="B378" s="463"/>
      <c r="C378" s="464" t="s">
        <v>1288</v>
      </c>
      <c r="D378" s="465">
        <f>SUM(D379)</f>
        <v>970000</v>
      </c>
      <c r="E378" s="465">
        <f>SUM(E379)</f>
        <v>466897.75</v>
      </c>
      <c r="F378" s="466">
        <f t="shared" si="21"/>
        <v>48.133788659793815</v>
      </c>
      <c r="G378" s="467"/>
    </row>
    <row r="379" spans="1:7" s="1197" customFormat="1" ht="18.75" customHeight="1">
      <c r="A379" s="1192"/>
      <c r="B379" s="1193"/>
      <c r="C379" s="1194" t="s">
        <v>1289</v>
      </c>
      <c r="D379" s="1195">
        <v>970000</v>
      </c>
      <c r="E379" s="1195">
        <v>466897.75</v>
      </c>
      <c r="F379" s="1196">
        <f t="shared" si="21"/>
        <v>48.133788659793815</v>
      </c>
      <c r="G379" s="467"/>
    </row>
    <row r="380" spans="1:7" s="461" customFormat="1" ht="18.75" customHeight="1">
      <c r="A380" s="455"/>
      <c r="B380" s="456"/>
      <c r="C380" s="457" t="s">
        <v>1291</v>
      </c>
      <c r="D380" s="458">
        <f>SUM(D381)</f>
        <v>326000</v>
      </c>
      <c r="E380" s="458">
        <f>SUM(E381)</f>
        <v>68416.55</v>
      </c>
      <c r="F380" s="459">
        <f t="shared" si="21"/>
        <v>20.986671779141105</v>
      </c>
      <c r="G380" s="460"/>
    </row>
    <row r="381" spans="1:7" s="468" customFormat="1" ht="18" customHeight="1">
      <c r="A381" s="462"/>
      <c r="B381" s="463"/>
      <c r="C381" s="464" t="s">
        <v>1293</v>
      </c>
      <c r="D381" s="465">
        <v>326000</v>
      </c>
      <c r="E381" s="465">
        <v>68416.55</v>
      </c>
      <c r="F381" s="466">
        <f t="shared" si="21"/>
        <v>20.986671779141105</v>
      </c>
      <c r="G381" s="467"/>
    </row>
    <row r="382" spans="1:7" s="468" customFormat="1" ht="27.75" customHeight="1">
      <c r="A382" s="1164"/>
      <c r="B382" s="1152" t="s">
        <v>1259</v>
      </c>
      <c r="C382" s="625" t="s">
        <v>1260</v>
      </c>
      <c r="D382" s="1154">
        <f>SUM(D385)</f>
        <v>12000</v>
      </c>
      <c r="E382" s="1154">
        <f>SUM(E385)</f>
        <v>0</v>
      </c>
      <c r="F382" s="1155">
        <f t="shared" si="21"/>
        <v>0</v>
      </c>
      <c r="G382" s="467"/>
    </row>
    <row r="383" spans="1:7" s="461" customFormat="1" ht="18.75" customHeight="1">
      <c r="A383" s="455"/>
      <c r="B383" s="456"/>
      <c r="C383" s="457" t="s">
        <v>1186</v>
      </c>
      <c r="D383" s="458">
        <f>SUM(D384)</f>
        <v>12000</v>
      </c>
      <c r="E383" s="458">
        <f>SUM(E384)</f>
        <v>0</v>
      </c>
      <c r="F383" s="459">
        <f t="shared" si="21"/>
        <v>0</v>
      </c>
      <c r="G383" s="460"/>
    </row>
    <row r="384" spans="1:7" s="468" customFormat="1" ht="18" customHeight="1">
      <c r="A384" s="462"/>
      <c r="B384" s="463"/>
      <c r="C384" s="464" t="s">
        <v>1288</v>
      </c>
      <c r="D384" s="465">
        <f>SUM(D385)</f>
        <v>12000</v>
      </c>
      <c r="E384" s="465">
        <f>SUM(E385)</f>
        <v>0</v>
      </c>
      <c r="F384" s="466">
        <f t="shared" si="21"/>
        <v>0</v>
      </c>
      <c r="G384" s="467"/>
    </row>
    <row r="385" spans="1:7" s="1197" customFormat="1" ht="18.75" customHeight="1">
      <c r="A385" s="1192"/>
      <c r="B385" s="1193"/>
      <c r="C385" s="1194" t="s">
        <v>1289</v>
      </c>
      <c r="D385" s="1195">
        <v>12000</v>
      </c>
      <c r="E385" s="1195">
        <v>0</v>
      </c>
      <c r="F385" s="1196">
        <f t="shared" si="21"/>
        <v>0</v>
      </c>
      <c r="G385" s="467"/>
    </row>
    <row r="386" spans="1:7" s="119" customFormat="1" ht="18.75" customHeight="1">
      <c r="A386" s="1164"/>
      <c r="B386" s="1152" t="s">
        <v>1053</v>
      </c>
      <c r="C386" s="1161" t="s">
        <v>825</v>
      </c>
      <c r="D386" s="1154">
        <f>SUM(D387,D391)</f>
        <v>3611214</v>
      </c>
      <c r="E386" s="1154">
        <f>SUM(E387,E391)</f>
        <v>246037.79</v>
      </c>
      <c r="F386" s="1155">
        <f t="shared" si="21"/>
        <v>6.813160061962542</v>
      </c>
      <c r="G386" s="560"/>
    </row>
    <row r="387" spans="1:7" s="461" customFormat="1" ht="18.75" customHeight="1">
      <c r="A387" s="455"/>
      <c r="B387" s="456"/>
      <c r="C387" s="457" t="s">
        <v>1186</v>
      </c>
      <c r="D387" s="458">
        <f>SUM(D388,D390)</f>
        <v>921514</v>
      </c>
      <c r="E387" s="458">
        <f>SUM(E388,E390)</f>
        <v>200754.35</v>
      </c>
      <c r="F387" s="459">
        <f t="shared" si="21"/>
        <v>21.78527401645553</v>
      </c>
      <c r="G387" s="460"/>
    </row>
    <row r="388" spans="1:7" s="468" customFormat="1" ht="18" customHeight="1">
      <c r="A388" s="462"/>
      <c r="B388" s="463"/>
      <c r="C388" s="464" t="s">
        <v>1288</v>
      </c>
      <c r="D388" s="465">
        <f>SUM(D389)</f>
        <v>851514</v>
      </c>
      <c r="E388" s="465">
        <f>SUM(E389)</f>
        <v>170754.35</v>
      </c>
      <c r="F388" s="466">
        <f aca="true" t="shared" si="23" ref="F388:F419">E388/D388*100</f>
        <v>20.053029075270636</v>
      </c>
      <c r="G388" s="467"/>
    </row>
    <row r="389" spans="1:7" s="1197" customFormat="1" ht="18.75" customHeight="1">
      <c r="A389" s="1192"/>
      <c r="B389" s="1193"/>
      <c r="C389" s="1194" t="s">
        <v>1289</v>
      </c>
      <c r="D389" s="1195">
        <v>851514</v>
      </c>
      <c r="E389" s="1195">
        <v>170754.35</v>
      </c>
      <c r="F389" s="1196">
        <f t="shared" si="23"/>
        <v>20.053029075270636</v>
      </c>
      <c r="G389" s="467"/>
    </row>
    <row r="390" spans="1:7" s="468" customFormat="1" ht="18.75" customHeight="1">
      <c r="A390" s="462"/>
      <c r="B390" s="463"/>
      <c r="C390" s="464" t="s">
        <v>1290</v>
      </c>
      <c r="D390" s="465">
        <v>70000</v>
      </c>
      <c r="E390" s="465">
        <v>30000</v>
      </c>
      <c r="F390" s="466">
        <f t="shared" si="23"/>
        <v>42.857142857142854</v>
      </c>
      <c r="G390" s="1160"/>
    </row>
    <row r="391" spans="1:7" s="461" customFormat="1" ht="18.75" customHeight="1">
      <c r="A391" s="455"/>
      <c r="B391" s="456"/>
      <c r="C391" s="457" t="s">
        <v>1291</v>
      </c>
      <c r="D391" s="458">
        <f>SUM(D392,D393)</f>
        <v>2689700</v>
      </c>
      <c r="E391" s="458">
        <f>SUM(E392,E393)</f>
        <v>45283.44</v>
      </c>
      <c r="F391" s="459">
        <f t="shared" si="23"/>
        <v>1.6835870171394582</v>
      </c>
      <c r="G391" s="460"/>
    </row>
    <row r="392" spans="1:7" s="468" customFormat="1" ht="18" customHeight="1">
      <c r="A392" s="462"/>
      <c r="B392" s="463"/>
      <c r="C392" s="464" t="s">
        <v>1293</v>
      </c>
      <c r="D392" s="465">
        <v>2539700</v>
      </c>
      <c r="E392" s="465">
        <v>45283.44</v>
      </c>
      <c r="F392" s="466">
        <f t="shared" si="23"/>
        <v>1.7830231917155572</v>
      </c>
      <c r="G392" s="467"/>
    </row>
    <row r="393" spans="1:7" s="468" customFormat="1" ht="18.75" customHeight="1">
      <c r="A393" s="469"/>
      <c r="B393" s="463"/>
      <c r="C393" s="464" t="s">
        <v>1292</v>
      </c>
      <c r="D393" s="465">
        <v>150000</v>
      </c>
      <c r="E393" s="465">
        <v>0</v>
      </c>
      <c r="F393" s="466">
        <f t="shared" si="23"/>
        <v>0</v>
      </c>
      <c r="G393" s="467"/>
    </row>
    <row r="394" spans="1:8" s="1167" customFormat="1" ht="31.5" customHeight="1">
      <c r="A394" s="1165" t="s">
        <v>1080</v>
      </c>
      <c r="B394" s="1147"/>
      <c r="C394" s="1148" t="s">
        <v>465</v>
      </c>
      <c r="D394" s="1149">
        <f>SUM(D395,D400,D403,D406,D413)</f>
        <v>5085300</v>
      </c>
      <c r="E394" s="1149">
        <f>SUM(E395,E400,E403,E406,E413)</f>
        <v>3599045.2600000002</v>
      </c>
      <c r="F394" s="1150">
        <f t="shared" si="23"/>
        <v>70.77350913417104</v>
      </c>
      <c r="G394" s="467"/>
      <c r="H394" s="468"/>
    </row>
    <row r="395" spans="1:7" s="119" customFormat="1" ht="18.75" customHeight="1">
      <c r="A395" s="1164"/>
      <c r="B395" s="1152" t="s">
        <v>466</v>
      </c>
      <c r="C395" s="625" t="s">
        <v>467</v>
      </c>
      <c r="D395" s="1154">
        <f>SUM(D396,D398)</f>
        <v>1720000</v>
      </c>
      <c r="E395" s="1154">
        <f>SUM(E396,E398)</f>
        <v>1475000</v>
      </c>
      <c r="F395" s="1155">
        <f t="shared" si="23"/>
        <v>85.75581395348837</v>
      </c>
      <c r="G395" s="560"/>
    </row>
    <row r="396" spans="1:7" s="461" customFormat="1" ht="18.75" customHeight="1">
      <c r="A396" s="455"/>
      <c r="B396" s="456"/>
      <c r="C396" s="457" t="s">
        <v>1186</v>
      </c>
      <c r="D396" s="458">
        <f>SUM(D397)</f>
        <v>1660000</v>
      </c>
      <c r="E396" s="458">
        <f>SUM(E397)</f>
        <v>1415000</v>
      </c>
      <c r="F396" s="459">
        <f t="shared" si="23"/>
        <v>85.2409638554217</v>
      </c>
      <c r="G396" s="460"/>
    </row>
    <row r="397" spans="1:7" s="468" customFormat="1" ht="18.75" customHeight="1">
      <c r="A397" s="462"/>
      <c r="B397" s="463"/>
      <c r="C397" s="464" t="s">
        <v>1290</v>
      </c>
      <c r="D397" s="465">
        <v>1660000</v>
      </c>
      <c r="E397" s="465">
        <v>1415000</v>
      </c>
      <c r="F397" s="466">
        <f t="shared" si="23"/>
        <v>85.2409638554217</v>
      </c>
      <c r="G397" s="1160"/>
    </row>
    <row r="398" spans="1:7" s="461" customFormat="1" ht="18.75" customHeight="1">
      <c r="A398" s="455"/>
      <c r="B398" s="456"/>
      <c r="C398" s="457" t="s">
        <v>1291</v>
      </c>
      <c r="D398" s="458">
        <f>SUM(D399)</f>
        <v>60000</v>
      </c>
      <c r="E398" s="458">
        <f>SUM(E399)</f>
        <v>60000</v>
      </c>
      <c r="F398" s="1199">
        <f t="shared" si="23"/>
        <v>100</v>
      </c>
      <c r="G398" s="460"/>
    </row>
    <row r="399" spans="1:7" s="468" customFormat="1" ht="18.75" customHeight="1">
      <c r="A399" s="469"/>
      <c r="B399" s="463"/>
      <c r="C399" s="464" t="s">
        <v>1317</v>
      </c>
      <c r="D399" s="465">
        <v>60000</v>
      </c>
      <c r="E399" s="465">
        <v>60000</v>
      </c>
      <c r="F399" s="466">
        <f t="shared" si="23"/>
        <v>100</v>
      </c>
      <c r="G399" s="1160"/>
    </row>
    <row r="400" spans="1:7" s="468" customFormat="1" ht="18.75" customHeight="1">
      <c r="A400" s="1164"/>
      <c r="B400" s="1152" t="s">
        <v>468</v>
      </c>
      <c r="C400" s="1161" t="s">
        <v>469</v>
      </c>
      <c r="D400" s="1154">
        <f>SUM(D401)</f>
        <v>1170500</v>
      </c>
      <c r="E400" s="1154">
        <f>SUM(E401)</f>
        <v>594500</v>
      </c>
      <c r="F400" s="1155">
        <f t="shared" si="23"/>
        <v>50.790260572404954</v>
      </c>
      <c r="G400" s="467"/>
    </row>
    <row r="401" spans="1:7" s="461" customFormat="1" ht="18.75" customHeight="1">
      <c r="A401" s="455"/>
      <c r="B401" s="456"/>
      <c r="C401" s="457" t="s">
        <v>1186</v>
      </c>
      <c r="D401" s="458">
        <f>SUM(D402)</f>
        <v>1170500</v>
      </c>
      <c r="E401" s="458">
        <f>SUM(E402)</f>
        <v>594500</v>
      </c>
      <c r="F401" s="459">
        <f t="shared" si="23"/>
        <v>50.790260572404954</v>
      </c>
      <c r="G401" s="460"/>
    </row>
    <row r="402" spans="1:7" s="468" customFormat="1" ht="18.75" customHeight="1">
      <c r="A402" s="462"/>
      <c r="B402" s="463"/>
      <c r="C402" s="464" t="s">
        <v>1290</v>
      </c>
      <c r="D402" s="465">
        <v>1170500</v>
      </c>
      <c r="E402" s="465">
        <v>594500</v>
      </c>
      <c r="F402" s="466">
        <f t="shared" si="23"/>
        <v>50.790260572404954</v>
      </c>
      <c r="G402" s="1160"/>
    </row>
    <row r="403" spans="1:7" s="468" customFormat="1" ht="18.75" customHeight="1">
      <c r="A403" s="1164"/>
      <c r="B403" s="1152" t="s">
        <v>470</v>
      </c>
      <c r="C403" s="1161" t="s">
        <v>471</v>
      </c>
      <c r="D403" s="1154">
        <f>SUM(D404)</f>
        <v>390000</v>
      </c>
      <c r="E403" s="1154">
        <f>SUM(E404)</f>
        <v>200000</v>
      </c>
      <c r="F403" s="1155">
        <f t="shared" si="23"/>
        <v>51.28205128205128</v>
      </c>
      <c r="G403" s="467"/>
    </row>
    <row r="404" spans="1:7" s="461" customFormat="1" ht="18.75" customHeight="1">
      <c r="A404" s="455"/>
      <c r="B404" s="456"/>
      <c r="C404" s="457" t="s">
        <v>1186</v>
      </c>
      <c r="D404" s="458">
        <f>SUM(D405)</f>
        <v>390000</v>
      </c>
      <c r="E404" s="458">
        <f>SUM(E405)</f>
        <v>200000</v>
      </c>
      <c r="F404" s="459">
        <f t="shared" si="23"/>
        <v>51.28205128205128</v>
      </c>
      <c r="G404" s="460"/>
    </row>
    <row r="405" spans="1:7" s="468" customFormat="1" ht="18.75" customHeight="1">
      <c r="A405" s="462"/>
      <c r="B405" s="463"/>
      <c r="C405" s="464" t="s">
        <v>1290</v>
      </c>
      <c r="D405" s="465">
        <v>390000</v>
      </c>
      <c r="E405" s="465">
        <v>200000</v>
      </c>
      <c r="F405" s="466">
        <f t="shared" si="23"/>
        <v>51.28205128205128</v>
      </c>
      <c r="G405" s="1160"/>
    </row>
    <row r="406" spans="1:7" s="119" customFormat="1" ht="18.75" customHeight="1">
      <c r="A406" s="1164"/>
      <c r="B406" s="1152" t="s">
        <v>139</v>
      </c>
      <c r="C406" s="625" t="s">
        <v>140</v>
      </c>
      <c r="D406" s="1154">
        <f>SUM(D407,D410)</f>
        <v>470000</v>
      </c>
      <c r="E406" s="1154">
        <f>SUM(E407,E410)</f>
        <v>289247.66</v>
      </c>
      <c r="F406" s="466">
        <f t="shared" si="23"/>
        <v>61.542055319148936</v>
      </c>
      <c r="G406" s="560"/>
    </row>
    <row r="407" spans="1:7" s="461" customFormat="1" ht="18.75" customHeight="1">
      <c r="A407" s="455"/>
      <c r="B407" s="456"/>
      <c r="C407" s="457" t="s">
        <v>1186</v>
      </c>
      <c r="D407" s="458">
        <f>SUM(D408)</f>
        <v>290000</v>
      </c>
      <c r="E407" s="458">
        <f>SUM(E408)</f>
        <v>289247.66</v>
      </c>
      <c r="F407" s="459">
        <f t="shared" si="23"/>
        <v>99.74057241379309</v>
      </c>
      <c r="G407" s="460"/>
    </row>
    <row r="408" spans="1:7" s="468" customFormat="1" ht="18" customHeight="1">
      <c r="A408" s="462"/>
      <c r="B408" s="463"/>
      <c r="C408" s="464" t="s">
        <v>1288</v>
      </c>
      <c r="D408" s="465">
        <f>SUM(D409)</f>
        <v>290000</v>
      </c>
      <c r="E408" s="465">
        <f>SUM(E409)</f>
        <v>289247.66</v>
      </c>
      <c r="F408" s="466">
        <f t="shared" si="23"/>
        <v>99.74057241379309</v>
      </c>
      <c r="G408" s="467"/>
    </row>
    <row r="409" spans="1:7" s="1197" customFormat="1" ht="18.75" customHeight="1">
      <c r="A409" s="1192"/>
      <c r="B409" s="1193"/>
      <c r="C409" s="1194" t="s">
        <v>1289</v>
      </c>
      <c r="D409" s="1195">
        <v>290000</v>
      </c>
      <c r="E409" s="1195">
        <v>289247.66</v>
      </c>
      <c r="F409" s="1196">
        <f t="shared" si="23"/>
        <v>99.74057241379309</v>
      </c>
      <c r="G409" s="467"/>
    </row>
    <row r="410" spans="1:7" s="461" customFormat="1" ht="18.75" customHeight="1">
      <c r="A410" s="455"/>
      <c r="B410" s="456"/>
      <c r="C410" s="457" t="s">
        <v>1291</v>
      </c>
      <c r="D410" s="458">
        <f>SUM(D411,D412)</f>
        <v>180000</v>
      </c>
      <c r="E410" s="458">
        <f>SUM(E411,E412)</f>
        <v>0</v>
      </c>
      <c r="F410" s="459">
        <f t="shared" si="23"/>
        <v>0</v>
      </c>
      <c r="G410" s="460"/>
    </row>
    <row r="411" spans="1:7" s="468" customFormat="1" ht="18" customHeight="1">
      <c r="A411" s="462"/>
      <c r="B411" s="463"/>
      <c r="C411" s="464" t="s">
        <v>1317</v>
      </c>
      <c r="D411" s="465">
        <v>150000</v>
      </c>
      <c r="E411" s="465">
        <v>0</v>
      </c>
      <c r="F411" s="466">
        <f t="shared" si="23"/>
        <v>0</v>
      </c>
      <c r="G411" s="467"/>
    </row>
    <row r="412" spans="1:7" s="468" customFormat="1" ht="18.75" customHeight="1">
      <c r="A412" s="469"/>
      <c r="B412" s="463"/>
      <c r="C412" s="464" t="s">
        <v>1293</v>
      </c>
      <c r="D412" s="465">
        <v>30000</v>
      </c>
      <c r="E412" s="465">
        <v>0</v>
      </c>
      <c r="F412" s="466">
        <f t="shared" si="23"/>
        <v>0</v>
      </c>
      <c r="G412" s="467"/>
    </row>
    <row r="413" spans="1:8" s="1167" customFormat="1" ht="18.75" customHeight="1">
      <c r="A413" s="1164"/>
      <c r="B413" s="1152" t="s">
        <v>472</v>
      </c>
      <c r="C413" s="1161" t="s">
        <v>825</v>
      </c>
      <c r="D413" s="1154">
        <f>SUM(D414)</f>
        <v>1334800</v>
      </c>
      <c r="E413" s="1154">
        <f>SUM(E414)</f>
        <v>1040297.6</v>
      </c>
      <c r="F413" s="1155">
        <f t="shared" si="23"/>
        <v>77.9365897512736</v>
      </c>
      <c r="G413" s="467"/>
      <c r="H413" s="468"/>
    </row>
    <row r="414" spans="1:7" s="461" customFormat="1" ht="18.75" customHeight="1">
      <c r="A414" s="455"/>
      <c r="B414" s="456"/>
      <c r="C414" s="457" t="s">
        <v>1186</v>
      </c>
      <c r="D414" s="458">
        <f>SUM(D415,D418,D419)</f>
        <v>1334800</v>
      </c>
      <c r="E414" s="458">
        <f>SUM(E415,E418,E419)</f>
        <v>1040297.6</v>
      </c>
      <c r="F414" s="459">
        <f t="shared" si="23"/>
        <v>77.9365897512736</v>
      </c>
      <c r="G414" s="460"/>
    </row>
    <row r="415" spans="1:7" s="468" customFormat="1" ht="18" customHeight="1">
      <c r="A415" s="462"/>
      <c r="B415" s="463"/>
      <c r="C415" s="464" t="s">
        <v>1288</v>
      </c>
      <c r="D415" s="465">
        <f>SUM(D417,D416)</f>
        <v>1271650</v>
      </c>
      <c r="E415" s="465">
        <f>SUM(E417,E416)</f>
        <v>1017029.6</v>
      </c>
      <c r="F415" s="466">
        <f t="shared" si="23"/>
        <v>79.97716352770024</v>
      </c>
      <c r="G415" s="467"/>
    </row>
    <row r="416" spans="1:7" s="1197" customFormat="1" ht="18.75" customHeight="1">
      <c r="A416" s="1192"/>
      <c r="B416" s="1193"/>
      <c r="C416" s="1194" t="s">
        <v>334</v>
      </c>
      <c r="D416" s="1195">
        <v>6000</v>
      </c>
      <c r="E416" s="1195">
        <v>0</v>
      </c>
      <c r="F416" s="1196">
        <f t="shared" si="23"/>
        <v>0</v>
      </c>
      <c r="G416" s="467"/>
    </row>
    <row r="417" spans="1:7" s="1197" customFormat="1" ht="18.75" customHeight="1">
      <c r="A417" s="1192"/>
      <c r="B417" s="1193"/>
      <c r="C417" s="1194" t="s">
        <v>1289</v>
      </c>
      <c r="D417" s="1195">
        <v>1265650</v>
      </c>
      <c r="E417" s="1195">
        <v>1017029.6</v>
      </c>
      <c r="F417" s="1196">
        <f t="shared" si="23"/>
        <v>80.3563070359104</v>
      </c>
      <c r="G417" s="467"/>
    </row>
    <row r="418" spans="1:7" s="468" customFormat="1" ht="18.75" customHeight="1">
      <c r="A418" s="469"/>
      <c r="B418" s="463"/>
      <c r="C418" s="464" t="s">
        <v>1290</v>
      </c>
      <c r="D418" s="465">
        <v>56800</v>
      </c>
      <c r="E418" s="465">
        <v>22918</v>
      </c>
      <c r="F418" s="466">
        <f t="shared" si="23"/>
        <v>40.348591549295776</v>
      </c>
      <c r="G418" s="1160"/>
    </row>
    <row r="419" spans="1:7" s="468" customFormat="1" ht="18.75" customHeight="1">
      <c r="A419" s="469"/>
      <c r="B419" s="463"/>
      <c r="C419" s="471" t="s">
        <v>1312</v>
      </c>
      <c r="D419" s="465">
        <v>6350</v>
      </c>
      <c r="E419" s="465">
        <v>350</v>
      </c>
      <c r="F419" s="466">
        <f t="shared" si="23"/>
        <v>5.511811023622047</v>
      </c>
      <c r="G419" s="467"/>
    </row>
    <row r="420" spans="1:8" s="1167" customFormat="1" ht="18.75" customHeight="1">
      <c r="A420" s="1146" t="s">
        <v>1081</v>
      </c>
      <c r="B420" s="1147"/>
      <c r="C420" s="1162" t="s">
        <v>1082</v>
      </c>
      <c r="D420" s="1149">
        <f>SUM(D421,D424)</f>
        <v>12275000</v>
      </c>
      <c r="E420" s="1149">
        <f>SUM(E421,E424)</f>
        <v>3897851.1</v>
      </c>
      <c r="F420" s="1150">
        <f aca="true" t="shared" si="24" ref="F420:F451">E420/D420*100</f>
        <v>31.754387780040734</v>
      </c>
      <c r="G420" s="467"/>
      <c r="H420" s="468"/>
    </row>
    <row r="421" spans="1:8" s="1167" customFormat="1" ht="18.75" customHeight="1">
      <c r="A421" s="1151"/>
      <c r="B421" s="1152" t="s">
        <v>1086</v>
      </c>
      <c r="C421" s="1161" t="s">
        <v>1087</v>
      </c>
      <c r="D421" s="1154">
        <f>SUM(D422)</f>
        <v>8550000</v>
      </c>
      <c r="E421" s="1154">
        <f>SUM(E422)</f>
        <v>1490380.1</v>
      </c>
      <c r="F421" s="1155">
        <f t="shared" si="24"/>
        <v>17.43134619883041</v>
      </c>
      <c r="G421" s="467"/>
      <c r="H421" s="468"/>
    </row>
    <row r="422" spans="1:7" s="461" customFormat="1" ht="18.75" customHeight="1">
      <c r="A422" s="455"/>
      <c r="B422" s="456"/>
      <c r="C422" s="457" t="s">
        <v>1291</v>
      </c>
      <c r="D422" s="458">
        <f>SUM(D423)</f>
        <v>8550000</v>
      </c>
      <c r="E422" s="458">
        <f>SUM(E423)</f>
        <v>1490380.1</v>
      </c>
      <c r="F422" s="459">
        <f t="shared" si="24"/>
        <v>17.43134619883041</v>
      </c>
      <c r="G422" s="460"/>
    </row>
    <row r="423" spans="1:7" s="468" customFormat="1" ht="18" customHeight="1">
      <c r="A423" s="462"/>
      <c r="B423" s="463"/>
      <c r="C423" s="464" t="s">
        <v>1293</v>
      </c>
      <c r="D423" s="465">
        <v>8550000</v>
      </c>
      <c r="E423" s="465">
        <v>1490380.1</v>
      </c>
      <c r="F423" s="466">
        <f t="shared" si="24"/>
        <v>17.43134619883041</v>
      </c>
      <c r="G423" s="467"/>
    </row>
    <row r="424" spans="1:8" s="1167" customFormat="1" ht="18.75" customHeight="1">
      <c r="A424" s="1151"/>
      <c r="B424" s="1152" t="s">
        <v>1088</v>
      </c>
      <c r="C424" s="625" t="s">
        <v>1089</v>
      </c>
      <c r="D424" s="1154">
        <f>SUM(D425,D431)</f>
        <v>3725000</v>
      </c>
      <c r="E424" s="1154">
        <f>SUM(E425,E431)</f>
        <v>2407471</v>
      </c>
      <c r="F424" s="1155">
        <f t="shared" si="24"/>
        <v>64.63009395973154</v>
      </c>
      <c r="G424" s="467"/>
      <c r="H424" s="468"/>
    </row>
    <row r="425" spans="1:7" s="461" customFormat="1" ht="18.75" customHeight="1">
      <c r="A425" s="455"/>
      <c r="B425" s="456"/>
      <c r="C425" s="457" t="s">
        <v>1186</v>
      </c>
      <c r="D425" s="458">
        <f>SUM(D426,D429,D430)</f>
        <v>3335000</v>
      </c>
      <c r="E425" s="458">
        <f>SUM(E426,E429,E430)</f>
        <v>2017471</v>
      </c>
      <c r="F425" s="459">
        <f t="shared" si="24"/>
        <v>60.493883058470765</v>
      </c>
      <c r="G425" s="460"/>
    </row>
    <row r="426" spans="1:7" s="468" customFormat="1" ht="18" customHeight="1">
      <c r="A426" s="462"/>
      <c r="B426" s="463"/>
      <c r="C426" s="464" t="s">
        <v>1288</v>
      </c>
      <c r="D426" s="465">
        <f>SUM(D428,D427)</f>
        <v>151340</v>
      </c>
      <c r="E426" s="465">
        <f>SUM(E428,E427)</f>
        <v>69451.94</v>
      </c>
      <c r="F426" s="466">
        <f t="shared" si="24"/>
        <v>45.89133077837981</v>
      </c>
      <c r="G426" s="467"/>
    </row>
    <row r="427" spans="1:7" s="1197" customFormat="1" ht="18.75" customHeight="1">
      <c r="A427" s="1192"/>
      <c r="B427" s="1193"/>
      <c r="C427" s="1194" t="s">
        <v>334</v>
      </c>
      <c r="D427" s="1195">
        <v>1200</v>
      </c>
      <c r="E427" s="1195">
        <v>232.35</v>
      </c>
      <c r="F427" s="1196">
        <f t="shared" si="24"/>
        <v>19.3625</v>
      </c>
      <c r="G427" s="467"/>
    </row>
    <row r="428" spans="1:7" s="1197" customFormat="1" ht="18.75" customHeight="1">
      <c r="A428" s="1192"/>
      <c r="B428" s="1193"/>
      <c r="C428" s="1194" t="s">
        <v>1289</v>
      </c>
      <c r="D428" s="1195">
        <v>150140</v>
      </c>
      <c r="E428" s="1195">
        <v>69219.59</v>
      </c>
      <c r="F428" s="1196">
        <f t="shared" si="24"/>
        <v>46.10336352737445</v>
      </c>
      <c r="G428" s="467"/>
    </row>
    <row r="429" spans="1:7" s="468" customFormat="1" ht="18.75" customHeight="1">
      <c r="A429" s="469"/>
      <c r="B429" s="463"/>
      <c r="C429" s="464" t="s">
        <v>1290</v>
      </c>
      <c r="D429" s="465">
        <v>1894500</v>
      </c>
      <c r="E429" s="465">
        <v>1333350</v>
      </c>
      <c r="F429" s="466">
        <f t="shared" si="24"/>
        <v>70.38004750593824</v>
      </c>
      <c r="G429" s="1160"/>
    </row>
    <row r="430" spans="1:7" s="468" customFormat="1" ht="18.75" customHeight="1">
      <c r="A430" s="469"/>
      <c r="B430" s="463"/>
      <c r="C430" s="471" t="s">
        <v>1312</v>
      </c>
      <c r="D430" s="465">
        <v>1289160</v>
      </c>
      <c r="E430" s="465">
        <v>614669.06</v>
      </c>
      <c r="F430" s="466">
        <f t="shared" si="24"/>
        <v>47.67981166030594</v>
      </c>
      <c r="G430" s="467"/>
    </row>
    <row r="431" spans="1:7" s="461" customFormat="1" ht="18.75" customHeight="1">
      <c r="A431" s="455"/>
      <c r="B431" s="456"/>
      <c r="C431" s="457" t="s">
        <v>1291</v>
      </c>
      <c r="D431" s="458">
        <f>SUM(D432)</f>
        <v>390000</v>
      </c>
      <c r="E431" s="458">
        <f>SUM(E432)</f>
        <v>390000</v>
      </c>
      <c r="F431" s="459">
        <f t="shared" si="24"/>
        <v>100</v>
      </c>
      <c r="G431" s="460"/>
    </row>
    <row r="432" spans="1:7" s="468" customFormat="1" ht="18" customHeight="1">
      <c r="A432" s="462"/>
      <c r="B432" s="463"/>
      <c r="C432" s="464" t="s">
        <v>1317</v>
      </c>
      <c r="D432" s="465">
        <v>390000</v>
      </c>
      <c r="E432" s="465">
        <v>390000</v>
      </c>
      <c r="F432" s="466">
        <f t="shared" si="24"/>
        <v>100</v>
      </c>
      <c r="G432" s="467"/>
    </row>
    <row r="433" spans="1:7" s="161" customFormat="1" ht="18.75" customHeight="1">
      <c r="A433" s="1369" t="s">
        <v>930</v>
      </c>
      <c r="B433" s="1370"/>
      <c r="C433" s="1371"/>
      <c r="D433" s="443">
        <f>SUM(D434,D443,D450,D465,D481,D498,D544,D562,D602,D626,D665)</f>
        <v>69900486</v>
      </c>
      <c r="E433" s="443">
        <f>SUM(E434,E443,E450,E465,E481,E498,E544,E562,E602,E626,E665)</f>
        <v>30268150.880000003</v>
      </c>
      <c r="F433" s="444">
        <f t="shared" si="24"/>
        <v>43.301774582797606</v>
      </c>
      <c r="G433" s="166"/>
    </row>
    <row r="434" spans="1:7" s="161" customFormat="1" ht="18.75" customHeight="1">
      <c r="A434" s="410" t="s">
        <v>902</v>
      </c>
      <c r="B434" s="411"/>
      <c r="C434" s="431" t="s">
        <v>903</v>
      </c>
      <c r="D434" s="413">
        <f>SUM(D435)</f>
        <v>37023383</v>
      </c>
      <c r="E434" s="413">
        <f>SUM(E435)</f>
        <v>14291630.25</v>
      </c>
      <c r="F434" s="414">
        <f t="shared" si="24"/>
        <v>38.60163251424107</v>
      </c>
      <c r="G434" s="166"/>
    </row>
    <row r="435" spans="1:6" ht="39" customHeight="1">
      <c r="A435" s="415"/>
      <c r="B435" s="416" t="s">
        <v>904</v>
      </c>
      <c r="C435" s="417" t="s">
        <v>90</v>
      </c>
      <c r="D435" s="259">
        <f>SUM(D436,D441)</f>
        <v>37023383</v>
      </c>
      <c r="E435" s="259">
        <f>SUM(E436,E441)</f>
        <v>14291630.25</v>
      </c>
      <c r="F435" s="418">
        <f t="shared" si="24"/>
        <v>38.60163251424107</v>
      </c>
    </row>
    <row r="436" spans="1:7" s="429" customFormat="1" ht="18.75" customHeight="1">
      <c r="A436" s="424"/>
      <c r="B436" s="425"/>
      <c r="C436" s="426" t="s">
        <v>1186</v>
      </c>
      <c r="D436" s="427">
        <f>SUM(D437,D440)</f>
        <v>26660383</v>
      </c>
      <c r="E436" s="427">
        <f>SUM(E437,E440)</f>
        <v>12906456.61</v>
      </c>
      <c r="F436" s="428">
        <f t="shared" si="24"/>
        <v>48.41061964488657</v>
      </c>
      <c r="G436" s="433"/>
    </row>
    <row r="437" spans="1:7" s="423" customFormat="1" ht="18" customHeight="1">
      <c r="A437" s="419"/>
      <c r="B437" s="420"/>
      <c r="C437" s="262" t="s">
        <v>1288</v>
      </c>
      <c r="D437" s="263">
        <f>SUM(D438,D439)</f>
        <v>26099833</v>
      </c>
      <c r="E437" s="263">
        <f>SUM(E438,E439)</f>
        <v>12606780.74</v>
      </c>
      <c r="F437" s="421">
        <f t="shared" si="24"/>
        <v>48.30215097544877</v>
      </c>
      <c r="G437" s="422"/>
    </row>
    <row r="438" spans="1:7" s="1205" customFormat="1" ht="18.75" customHeight="1">
      <c r="A438" s="1200"/>
      <c r="B438" s="1201"/>
      <c r="C438" s="1202" t="s">
        <v>1289</v>
      </c>
      <c r="D438" s="1203">
        <v>14477313</v>
      </c>
      <c r="E438" s="1203">
        <v>6996283.29</v>
      </c>
      <c r="F438" s="1204">
        <f t="shared" si="24"/>
        <v>48.32584119718901</v>
      </c>
      <c r="G438" s="422"/>
    </row>
    <row r="439" spans="1:7" s="1205" customFormat="1" ht="18.75" customHeight="1">
      <c r="A439" s="1200"/>
      <c r="B439" s="1201"/>
      <c r="C439" s="1202" t="s">
        <v>334</v>
      </c>
      <c r="D439" s="1203">
        <v>11622520</v>
      </c>
      <c r="E439" s="1203">
        <v>5610497.45</v>
      </c>
      <c r="F439" s="1204">
        <f t="shared" si="24"/>
        <v>48.27264181950214</v>
      </c>
      <c r="G439" s="422"/>
    </row>
    <row r="440" spans="1:7" s="423" customFormat="1" ht="18.75" customHeight="1">
      <c r="A440" s="437"/>
      <c r="B440" s="420"/>
      <c r="C440" s="442" t="s">
        <v>1312</v>
      </c>
      <c r="D440" s="263">
        <v>560550</v>
      </c>
      <c r="E440" s="263">
        <v>299675.87</v>
      </c>
      <c r="F440" s="421">
        <f t="shared" si="24"/>
        <v>53.46104183391313</v>
      </c>
      <c r="G440" s="422"/>
    </row>
    <row r="441" spans="1:7" s="429" customFormat="1" ht="18.75" customHeight="1">
      <c r="A441" s="424"/>
      <c r="B441" s="425"/>
      <c r="C441" s="426" t="s">
        <v>1291</v>
      </c>
      <c r="D441" s="427">
        <f>SUM(D442)</f>
        <v>10363000</v>
      </c>
      <c r="E441" s="427">
        <f>SUM(E442)</f>
        <v>1385173.64</v>
      </c>
      <c r="F441" s="428">
        <f t="shared" si="24"/>
        <v>13.366531313326254</v>
      </c>
      <c r="G441" s="433"/>
    </row>
    <row r="442" spans="1:7" s="423" customFormat="1" ht="18.75" customHeight="1">
      <c r="A442" s="419"/>
      <c r="B442" s="420"/>
      <c r="C442" s="262" t="s">
        <v>1293</v>
      </c>
      <c r="D442" s="263">
        <v>10363000</v>
      </c>
      <c r="E442" s="263">
        <v>1385173.64</v>
      </c>
      <c r="F442" s="421">
        <f t="shared" si="24"/>
        <v>13.366531313326254</v>
      </c>
      <c r="G442" s="1206"/>
    </row>
    <row r="443" spans="1:7" s="161" customFormat="1" ht="18" customHeight="1">
      <c r="A443" s="410" t="s">
        <v>909</v>
      </c>
      <c r="B443" s="411"/>
      <c r="C443" s="431" t="s">
        <v>910</v>
      </c>
      <c r="D443" s="413">
        <f>SUM(D444)</f>
        <v>74000</v>
      </c>
      <c r="E443" s="413">
        <f>SUM(E444)</f>
        <v>14497.39</v>
      </c>
      <c r="F443" s="414">
        <f t="shared" si="24"/>
        <v>19.591067567567567</v>
      </c>
      <c r="G443" s="166"/>
    </row>
    <row r="444" spans="1:6" ht="17.25" customHeight="1">
      <c r="A444" s="415"/>
      <c r="B444" s="416" t="s">
        <v>911</v>
      </c>
      <c r="C444" s="417" t="s">
        <v>912</v>
      </c>
      <c r="D444" s="259">
        <f>SUM(D445,D448)</f>
        <v>74000</v>
      </c>
      <c r="E444" s="259">
        <f>SUM(E445,E448)</f>
        <v>14497.39</v>
      </c>
      <c r="F444" s="418">
        <f t="shared" si="24"/>
        <v>19.591067567567567</v>
      </c>
    </row>
    <row r="445" spans="1:7" s="429" customFormat="1" ht="18.75" customHeight="1">
      <c r="A445" s="424"/>
      <c r="B445" s="425"/>
      <c r="C445" s="426" t="s">
        <v>1186</v>
      </c>
      <c r="D445" s="427">
        <f>SUM(D446)</f>
        <v>63878</v>
      </c>
      <c r="E445" s="427">
        <f>SUM(E446)</f>
        <v>14375.39</v>
      </c>
      <c r="F445" s="428">
        <f t="shared" si="24"/>
        <v>22.50444597514011</v>
      </c>
      <c r="G445" s="433"/>
    </row>
    <row r="446" spans="1:7" s="423" customFormat="1" ht="18" customHeight="1">
      <c r="A446" s="419"/>
      <c r="B446" s="420"/>
      <c r="C446" s="262" t="s">
        <v>1288</v>
      </c>
      <c r="D446" s="263">
        <f>SUM(D447)</f>
        <v>63878</v>
      </c>
      <c r="E446" s="263">
        <f>SUM(E447)</f>
        <v>14375.39</v>
      </c>
      <c r="F446" s="421">
        <f t="shared" si="24"/>
        <v>22.50444597514011</v>
      </c>
      <c r="G446" s="422"/>
    </row>
    <row r="447" spans="1:7" s="1205" customFormat="1" ht="18.75" customHeight="1">
      <c r="A447" s="1200"/>
      <c r="B447" s="1201"/>
      <c r="C447" s="1202" t="s">
        <v>1289</v>
      </c>
      <c r="D447" s="1203">
        <v>63878</v>
      </c>
      <c r="E447" s="1203">
        <v>14375.39</v>
      </c>
      <c r="F447" s="1204">
        <f t="shared" si="24"/>
        <v>22.50444597514011</v>
      </c>
      <c r="G447" s="422"/>
    </row>
    <row r="448" spans="1:7" s="429" customFormat="1" ht="18.75" customHeight="1">
      <c r="A448" s="424"/>
      <c r="B448" s="425"/>
      <c r="C448" s="426" t="s">
        <v>1291</v>
      </c>
      <c r="D448" s="427">
        <f>SUM(D449)</f>
        <v>10122</v>
      </c>
      <c r="E448" s="427">
        <f>SUM(E449)</f>
        <v>122</v>
      </c>
      <c r="F448" s="428">
        <f t="shared" si="24"/>
        <v>1.2052953961667656</v>
      </c>
      <c r="G448" s="433"/>
    </row>
    <row r="449" spans="1:7" s="423" customFormat="1" ht="18.75" customHeight="1">
      <c r="A449" s="419"/>
      <c r="B449" s="420"/>
      <c r="C449" s="262" t="s">
        <v>1292</v>
      </c>
      <c r="D449" s="263">
        <v>10122</v>
      </c>
      <c r="E449" s="263">
        <v>122</v>
      </c>
      <c r="F449" s="421">
        <f t="shared" si="24"/>
        <v>1.2052953961667656</v>
      </c>
      <c r="G449" s="1206"/>
    </row>
    <row r="450" spans="1:7" s="161" customFormat="1" ht="18.75" customHeight="1">
      <c r="A450" s="410" t="s">
        <v>913</v>
      </c>
      <c r="B450" s="411"/>
      <c r="C450" s="412" t="s">
        <v>914</v>
      </c>
      <c r="D450" s="413">
        <f>SUM(D451,D455,D459)</f>
        <v>443083</v>
      </c>
      <c r="E450" s="413">
        <f>SUM(E451,E455,E459)</f>
        <v>179189.77000000002</v>
      </c>
      <c r="F450" s="414">
        <f t="shared" si="24"/>
        <v>40.44158092276165</v>
      </c>
      <c r="G450" s="166"/>
    </row>
    <row r="451" spans="1:6" ht="18.75" customHeight="1">
      <c r="A451" s="415"/>
      <c r="B451" s="416" t="s">
        <v>915</v>
      </c>
      <c r="C451" s="258" t="s">
        <v>1213</v>
      </c>
      <c r="D451" s="259">
        <f>D452</f>
        <v>46000</v>
      </c>
      <c r="E451" s="259">
        <f>E452</f>
        <v>0</v>
      </c>
      <c r="F451" s="418">
        <f t="shared" si="24"/>
        <v>0</v>
      </c>
    </row>
    <row r="452" spans="1:7" s="429" customFormat="1" ht="18.75" customHeight="1">
      <c r="A452" s="424"/>
      <c r="B452" s="425"/>
      <c r="C452" s="426" t="s">
        <v>1186</v>
      </c>
      <c r="D452" s="427">
        <f>SUM(D453)</f>
        <v>46000</v>
      </c>
      <c r="E452" s="427">
        <f>SUM(E453)</f>
        <v>0</v>
      </c>
      <c r="F452" s="428">
        <f aca="true" t="shared" si="25" ref="F452:F480">E452/D452*100</f>
        <v>0</v>
      </c>
      <c r="G452" s="433"/>
    </row>
    <row r="453" spans="1:7" s="423" customFormat="1" ht="18" customHeight="1">
      <c r="A453" s="419"/>
      <c r="B453" s="420"/>
      <c r="C453" s="262" t="s">
        <v>1288</v>
      </c>
      <c r="D453" s="263">
        <f>SUM(D454)</f>
        <v>46000</v>
      </c>
      <c r="E453" s="263">
        <f>SUM(E454)</f>
        <v>0</v>
      </c>
      <c r="F453" s="421">
        <f t="shared" si="25"/>
        <v>0</v>
      </c>
      <c r="G453" s="422"/>
    </row>
    <row r="454" spans="1:7" s="1205" customFormat="1" ht="18.75" customHeight="1">
      <c r="A454" s="1200"/>
      <c r="B454" s="1201"/>
      <c r="C454" s="1202" t="s">
        <v>1289</v>
      </c>
      <c r="D454" s="1203">
        <v>46000</v>
      </c>
      <c r="E454" s="1203">
        <v>0</v>
      </c>
      <c r="F454" s="1204">
        <f t="shared" si="25"/>
        <v>0</v>
      </c>
      <c r="G454" s="422"/>
    </row>
    <row r="455" spans="1:6" ht="18.75" customHeight="1">
      <c r="A455" s="415"/>
      <c r="B455" s="416" t="s">
        <v>916</v>
      </c>
      <c r="C455" s="417" t="s">
        <v>917</v>
      </c>
      <c r="D455" s="259">
        <f>D458</f>
        <v>31000</v>
      </c>
      <c r="E455" s="259">
        <f>E458</f>
        <v>0</v>
      </c>
      <c r="F455" s="418">
        <f t="shared" si="25"/>
        <v>0</v>
      </c>
    </row>
    <row r="456" spans="1:7" s="429" customFormat="1" ht="18.75" customHeight="1">
      <c r="A456" s="424"/>
      <c r="B456" s="425"/>
      <c r="C456" s="426" t="s">
        <v>1186</v>
      </c>
      <c r="D456" s="427">
        <f>SUM(D457)</f>
        <v>31000</v>
      </c>
      <c r="E456" s="427">
        <f>SUM(E457)</f>
        <v>0</v>
      </c>
      <c r="F456" s="428">
        <f t="shared" si="25"/>
        <v>0</v>
      </c>
      <c r="G456" s="433"/>
    </row>
    <row r="457" spans="1:7" s="423" customFormat="1" ht="18" customHeight="1">
      <c r="A457" s="419"/>
      <c r="B457" s="420"/>
      <c r="C457" s="262" t="s">
        <v>1288</v>
      </c>
      <c r="D457" s="263">
        <f>SUM(D458)</f>
        <v>31000</v>
      </c>
      <c r="E457" s="263">
        <f>SUM(E458)</f>
        <v>0</v>
      </c>
      <c r="F457" s="421">
        <f t="shared" si="25"/>
        <v>0</v>
      </c>
      <c r="G457" s="422"/>
    </row>
    <row r="458" spans="1:7" s="1205" customFormat="1" ht="18.75" customHeight="1">
      <c r="A458" s="1200"/>
      <c r="B458" s="1201"/>
      <c r="C458" s="1202" t="s">
        <v>1289</v>
      </c>
      <c r="D458" s="1203">
        <v>31000</v>
      </c>
      <c r="E458" s="1203">
        <v>0</v>
      </c>
      <c r="F458" s="1204">
        <f t="shared" si="25"/>
        <v>0</v>
      </c>
      <c r="G458" s="422"/>
    </row>
    <row r="459" spans="1:6" ht="18.75" customHeight="1">
      <c r="A459" s="435"/>
      <c r="B459" s="416" t="s">
        <v>918</v>
      </c>
      <c r="C459" s="258" t="s">
        <v>922</v>
      </c>
      <c r="D459" s="259">
        <f>SUM(D460)</f>
        <v>366083</v>
      </c>
      <c r="E459" s="259">
        <f>SUM(E460)</f>
        <v>179189.77000000002</v>
      </c>
      <c r="F459" s="418">
        <f t="shared" si="25"/>
        <v>48.94785335565979</v>
      </c>
    </row>
    <row r="460" spans="1:7" s="429" customFormat="1" ht="18.75" customHeight="1">
      <c r="A460" s="424"/>
      <c r="B460" s="425"/>
      <c r="C460" s="426" t="s">
        <v>1186</v>
      </c>
      <c r="D460" s="427">
        <f>SUM(D461,D464)</f>
        <v>366083</v>
      </c>
      <c r="E460" s="427">
        <f>SUM(E461,E464)</f>
        <v>179189.77000000002</v>
      </c>
      <c r="F460" s="428">
        <f t="shared" si="25"/>
        <v>48.94785335565979</v>
      </c>
      <c r="G460" s="433"/>
    </row>
    <row r="461" spans="1:7" s="423" customFormat="1" ht="18" customHeight="1">
      <c r="A461" s="419"/>
      <c r="B461" s="420"/>
      <c r="C461" s="262" t="s">
        <v>1288</v>
      </c>
      <c r="D461" s="263">
        <f>SUM(D462,D463)</f>
        <v>365183</v>
      </c>
      <c r="E461" s="263">
        <f>SUM(E462,E463)</f>
        <v>178565.38</v>
      </c>
      <c r="F461" s="421">
        <f t="shared" si="25"/>
        <v>48.89750618183212</v>
      </c>
      <c r="G461" s="422"/>
    </row>
    <row r="462" spans="1:7" s="1205" customFormat="1" ht="18.75" customHeight="1">
      <c r="A462" s="1200"/>
      <c r="B462" s="1201"/>
      <c r="C462" s="1202" t="s">
        <v>1289</v>
      </c>
      <c r="D462" s="1203">
        <v>41500</v>
      </c>
      <c r="E462" s="1203">
        <v>20183.45</v>
      </c>
      <c r="F462" s="1204">
        <f t="shared" si="25"/>
        <v>48.634819277108434</v>
      </c>
      <c r="G462" s="422"/>
    </row>
    <row r="463" spans="1:7" s="1205" customFormat="1" ht="18.75" customHeight="1">
      <c r="A463" s="1200"/>
      <c r="B463" s="1201"/>
      <c r="C463" s="1202" t="s">
        <v>334</v>
      </c>
      <c r="D463" s="1203">
        <v>323683</v>
      </c>
      <c r="E463" s="1203">
        <v>158381.93</v>
      </c>
      <c r="F463" s="1204">
        <f t="shared" si="25"/>
        <v>48.93118575890609</v>
      </c>
      <c r="G463" s="422"/>
    </row>
    <row r="464" spans="1:7" s="423" customFormat="1" ht="18.75" customHeight="1">
      <c r="A464" s="437"/>
      <c r="B464" s="420"/>
      <c r="C464" s="442" t="s">
        <v>1312</v>
      </c>
      <c r="D464" s="263">
        <v>900</v>
      </c>
      <c r="E464" s="263">
        <v>624.39</v>
      </c>
      <c r="F464" s="421">
        <f t="shared" si="25"/>
        <v>69.37666666666667</v>
      </c>
      <c r="G464" s="422"/>
    </row>
    <row r="465" spans="1:7" s="161" customFormat="1" ht="18.75" customHeight="1">
      <c r="A465" s="436" t="s">
        <v>925</v>
      </c>
      <c r="B465" s="411"/>
      <c r="C465" s="431" t="s">
        <v>926</v>
      </c>
      <c r="D465" s="413">
        <f>SUM(D466,D471,D476)</f>
        <v>2020060</v>
      </c>
      <c r="E465" s="413">
        <f>SUM(E466,E471,E476)</f>
        <v>902912.21</v>
      </c>
      <c r="F465" s="414">
        <f t="shared" si="25"/>
        <v>44.69729661495203</v>
      </c>
      <c r="G465" s="166"/>
    </row>
    <row r="466" spans="1:6" ht="18.75" customHeight="1">
      <c r="A466" s="435"/>
      <c r="B466" s="416" t="s">
        <v>927</v>
      </c>
      <c r="C466" s="258" t="s">
        <v>933</v>
      </c>
      <c r="D466" s="259">
        <f>D467</f>
        <v>82100</v>
      </c>
      <c r="E466" s="259">
        <f>E467</f>
        <v>34335</v>
      </c>
      <c r="F466" s="418">
        <f t="shared" si="25"/>
        <v>41.82095006090134</v>
      </c>
    </row>
    <row r="467" spans="1:7" s="429" customFormat="1" ht="18.75" customHeight="1">
      <c r="A467" s="424"/>
      <c r="B467" s="425"/>
      <c r="C467" s="426" t="s">
        <v>1186</v>
      </c>
      <c r="D467" s="427">
        <f>SUM(D468)</f>
        <v>82100</v>
      </c>
      <c r="E467" s="427">
        <f>SUM(E468)</f>
        <v>34335</v>
      </c>
      <c r="F467" s="428">
        <f t="shared" si="25"/>
        <v>41.82095006090134</v>
      </c>
      <c r="G467" s="433"/>
    </row>
    <row r="468" spans="1:7" s="423" customFormat="1" ht="18" customHeight="1">
      <c r="A468" s="419"/>
      <c r="B468" s="420"/>
      <c r="C468" s="262" t="s">
        <v>1288</v>
      </c>
      <c r="D468" s="263">
        <f>SUM(D469,D470)</f>
        <v>82100</v>
      </c>
      <c r="E468" s="263">
        <f>SUM(E469,E470)</f>
        <v>34335</v>
      </c>
      <c r="F468" s="421">
        <f t="shared" si="25"/>
        <v>41.82095006090134</v>
      </c>
      <c r="G468" s="422"/>
    </row>
    <row r="469" spans="1:7" s="1205" customFormat="1" ht="18.75" customHeight="1">
      <c r="A469" s="1200"/>
      <c r="B469" s="1201"/>
      <c r="C469" s="1202" t="s">
        <v>1289</v>
      </c>
      <c r="D469" s="1203">
        <v>1860</v>
      </c>
      <c r="E469" s="1203">
        <v>1860</v>
      </c>
      <c r="F469" s="1204">
        <f t="shared" si="25"/>
        <v>100</v>
      </c>
      <c r="G469" s="422"/>
    </row>
    <row r="470" spans="1:7" s="1205" customFormat="1" ht="18.75" customHeight="1">
      <c r="A470" s="1200"/>
      <c r="B470" s="1201"/>
      <c r="C470" s="1202" t="s">
        <v>334</v>
      </c>
      <c r="D470" s="1203">
        <v>80240</v>
      </c>
      <c r="E470" s="1203">
        <v>32475</v>
      </c>
      <c r="F470" s="1204">
        <f t="shared" si="25"/>
        <v>40.472333000997004</v>
      </c>
      <c r="G470" s="422"/>
    </row>
    <row r="471" spans="1:6" ht="18.75" customHeight="1">
      <c r="A471" s="435"/>
      <c r="B471" s="416" t="s">
        <v>934</v>
      </c>
      <c r="C471" s="432" t="s">
        <v>935</v>
      </c>
      <c r="D471" s="259">
        <f>D472</f>
        <v>1915960</v>
      </c>
      <c r="E471" s="259">
        <f>E472</f>
        <v>847829.47</v>
      </c>
      <c r="F471" s="418">
        <f t="shared" si="25"/>
        <v>44.25089615649596</v>
      </c>
    </row>
    <row r="472" spans="1:7" s="429" customFormat="1" ht="18.75" customHeight="1">
      <c r="A472" s="424"/>
      <c r="B472" s="425"/>
      <c r="C472" s="426" t="s">
        <v>1186</v>
      </c>
      <c r="D472" s="427">
        <f>SUM(D473)</f>
        <v>1915960</v>
      </c>
      <c r="E472" s="427">
        <f>SUM(E473)</f>
        <v>847829.47</v>
      </c>
      <c r="F472" s="428">
        <f t="shared" si="25"/>
        <v>44.25089615649596</v>
      </c>
      <c r="G472" s="433"/>
    </row>
    <row r="473" spans="1:7" s="423" customFormat="1" ht="18" customHeight="1">
      <c r="A473" s="419"/>
      <c r="B473" s="420"/>
      <c r="C473" s="262" t="s">
        <v>1288</v>
      </c>
      <c r="D473" s="263">
        <f>SUM(D474,D475)</f>
        <v>1915960</v>
      </c>
      <c r="E473" s="263">
        <f>SUM(E474,E475)</f>
        <v>847829.47</v>
      </c>
      <c r="F473" s="421">
        <f t="shared" si="25"/>
        <v>44.25089615649596</v>
      </c>
      <c r="G473" s="422"/>
    </row>
    <row r="474" spans="1:7" s="1205" customFormat="1" ht="18.75" customHeight="1">
      <c r="A474" s="1200"/>
      <c r="B474" s="1201"/>
      <c r="C474" s="1202" t="s">
        <v>1289</v>
      </c>
      <c r="D474" s="1203">
        <v>382920</v>
      </c>
      <c r="E474" s="1203">
        <v>188365.06</v>
      </c>
      <c r="F474" s="1204">
        <f t="shared" si="25"/>
        <v>49.19175284654758</v>
      </c>
      <c r="G474" s="422"/>
    </row>
    <row r="475" spans="1:7" s="1205" customFormat="1" ht="18.75" customHeight="1">
      <c r="A475" s="1200"/>
      <c r="B475" s="1201"/>
      <c r="C475" s="1202" t="s">
        <v>334</v>
      </c>
      <c r="D475" s="1203">
        <v>1533040</v>
      </c>
      <c r="E475" s="1203">
        <v>659464.41</v>
      </c>
      <c r="F475" s="1204">
        <f t="shared" si="25"/>
        <v>43.016777774878676</v>
      </c>
      <c r="G475" s="422"/>
    </row>
    <row r="476" spans="1:6" ht="18.75" customHeight="1">
      <c r="A476" s="435"/>
      <c r="B476" s="416" t="s">
        <v>937</v>
      </c>
      <c r="C476" s="258" t="s">
        <v>376</v>
      </c>
      <c r="D476" s="259">
        <f>D477</f>
        <v>22000</v>
      </c>
      <c r="E476" s="259">
        <f>E477</f>
        <v>20747.739999999998</v>
      </c>
      <c r="F476" s="418">
        <f t="shared" si="25"/>
        <v>94.30790909090908</v>
      </c>
    </row>
    <row r="477" spans="1:7" s="429" customFormat="1" ht="18.75" customHeight="1">
      <c r="A477" s="424"/>
      <c r="B477" s="425"/>
      <c r="C477" s="426" t="s">
        <v>1186</v>
      </c>
      <c r="D477" s="427">
        <f>SUM(D478)</f>
        <v>22000</v>
      </c>
      <c r="E477" s="427">
        <f>SUM(E478)</f>
        <v>20747.739999999998</v>
      </c>
      <c r="F477" s="428">
        <f t="shared" si="25"/>
        <v>94.30790909090908</v>
      </c>
      <c r="G477" s="433"/>
    </row>
    <row r="478" spans="1:7" s="423" customFormat="1" ht="18" customHeight="1">
      <c r="A478" s="419"/>
      <c r="B478" s="420"/>
      <c r="C478" s="262" t="s">
        <v>1288</v>
      </c>
      <c r="D478" s="263">
        <f>SUM(D479,D480)</f>
        <v>22000</v>
      </c>
      <c r="E478" s="263">
        <f>SUM(E479,E480)</f>
        <v>20747.739999999998</v>
      </c>
      <c r="F478" s="421">
        <f t="shared" si="25"/>
        <v>94.30790909090908</v>
      </c>
      <c r="G478" s="422"/>
    </row>
    <row r="479" spans="1:7" s="1205" customFormat="1" ht="18.75" customHeight="1">
      <c r="A479" s="1200"/>
      <c r="B479" s="1201"/>
      <c r="C479" s="1202" t="s">
        <v>1289</v>
      </c>
      <c r="D479" s="1203">
        <v>13415</v>
      </c>
      <c r="E479" s="1203">
        <v>12163.58</v>
      </c>
      <c r="F479" s="1204">
        <f t="shared" si="25"/>
        <v>90.67148714125979</v>
      </c>
      <c r="G479" s="422"/>
    </row>
    <row r="480" spans="1:7" s="1205" customFormat="1" ht="18.75" customHeight="1">
      <c r="A480" s="1200"/>
      <c r="B480" s="1201"/>
      <c r="C480" s="1202" t="s">
        <v>334</v>
      </c>
      <c r="D480" s="1203">
        <v>8585</v>
      </c>
      <c r="E480" s="1203">
        <v>8584.16</v>
      </c>
      <c r="F480" s="1204">
        <f t="shared" si="25"/>
        <v>99.99021549213745</v>
      </c>
      <c r="G480" s="422"/>
    </row>
    <row r="481" spans="1:8" s="438" customFormat="1" ht="27.75" customHeight="1">
      <c r="A481" s="440" t="s">
        <v>940</v>
      </c>
      <c r="B481" s="411"/>
      <c r="C481" s="412" t="s">
        <v>1254</v>
      </c>
      <c r="D481" s="413">
        <f>SUM(D482,D487,D490)</f>
        <v>4002084</v>
      </c>
      <c r="E481" s="413">
        <f>SUM(E482,E487,E490)</f>
        <v>2128462.19</v>
      </c>
      <c r="F481" s="414">
        <f aca="true" t="shared" si="26" ref="F481:F491">E481/D481*100</f>
        <v>53.18384596625159</v>
      </c>
      <c r="G481" s="422"/>
      <c r="H481" s="423"/>
    </row>
    <row r="482" spans="1:8" s="438" customFormat="1" ht="18.75" customHeight="1">
      <c r="A482" s="435"/>
      <c r="B482" s="416" t="s">
        <v>349</v>
      </c>
      <c r="C482" s="432" t="s">
        <v>350</v>
      </c>
      <c r="D482" s="259">
        <f>SUM(D483,D486)</f>
        <v>137000</v>
      </c>
      <c r="E482" s="259">
        <f>SUM(E483,E486)</f>
        <v>137000</v>
      </c>
      <c r="F482" s="418">
        <f t="shared" si="26"/>
        <v>100</v>
      </c>
      <c r="G482" s="422"/>
      <c r="H482" s="423"/>
    </row>
    <row r="483" spans="1:7" s="429" customFormat="1" ht="18.75" customHeight="1">
      <c r="A483" s="424"/>
      <c r="B483" s="425"/>
      <c r="C483" s="426" t="s">
        <v>1186</v>
      </c>
      <c r="D483" s="427">
        <f>SUM(D484)</f>
        <v>112000</v>
      </c>
      <c r="E483" s="427">
        <f>SUM(E484)</f>
        <v>112000</v>
      </c>
      <c r="F483" s="428">
        <f t="shared" si="26"/>
        <v>100</v>
      </c>
      <c r="G483" s="433"/>
    </row>
    <row r="484" spans="1:7" s="423" customFormat="1" ht="18.75" customHeight="1">
      <c r="A484" s="437"/>
      <c r="B484" s="420"/>
      <c r="C484" s="262" t="s">
        <v>1290</v>
      </c>
      <c r="D484" s="263">
        <v>112000</v>
      </c>
      <c r="E484" s="263">
        <v>112000</v>
      </c>
      <c r="F484" s="421">
        <f>E484/D484*100</f>
        <v>100</v>
      </c>
      <c r="G484" s="1206"/>
    </row>
    <row r="485" spans="1:7" s="429" customFormat="1" ht="18.75" customHeight="1">
      <c r="A485" s="424"/>
      <c r="B485" s="425"/>
      <c r="C485" s="426" t="s">
        <v>1291</v>
      </c>
      <c r="D485" s="427">
        <f>SUM(D486)</f>
        <v>25000</v>
      </c>
      <c r="E485" s="427">
        <f>SUM(E486)</f>
        <v>25000</v>
      </c>
      <c r="F485" s="428">
        <f>E485/D485*100</f>
        <v>100</v>
      </c>
      <c r="G485" s="433"/>
    </row>
    <row r="486" spans="1:7" s="423" customFormat="1" ht="18.75" customHeight="1">
      <c r="A486" s="419"/>
      <c r="B486" s="420"/>
      <c r="C486" s="262" t="s">
        <v>1317</v>
      </c>
      <c r="D486" s="263">
        <v>25000</v>
      </c>
      <c r="E486" s="263">
        <v>25000</v>
      </c>
      <c r="F486" s="421">
        <f>E486/D486*100</f>
        <v>100</v>
      </c>
      <c r="G486" s="1206"/>
    </row>
    <row r="487" spans="1:8" s="446" customFormat="1" ht="18.75" customHeight="1">
      <c r="A487" s="435"/>
      <c r="B487" s="416" t="s">
        <v>809</v>
      </c>
      <c r="C487" s="417" t="s">
        <v>810</v>
      </c>
      <c r="D487" s="259">
        <f>SUM(D488)</f>
        <v>10000</v>
      </c>
      <c r="E487" s="259">
        <f>SUM(E488)</f>
        <v>10000</v>
      </c>
      <c r="F487" s="418">
        <f t="shared" si="26"/>
        <v>100</v>
      </c>
      <c r="G487" s="166"/>
      <c r="H487" s="445"/>
    </row>
    <row r="488" spans="1:7" s="429" customFormat="1" ht="18.75" customHeight="1">
      <c r="A488" s="424"/>
      <c r="B488" s="425"/>
      <c r="C488" s="426" t="s">
        <v>1186</v>
      </c>
      <c r="D488" s="427">
        <f>SUM(D489)</f>
        <v>10000</v>
      </c>
      <c r="E488" s="427">
        <f>SUM(E489)</f>
        <v>10000</v>
      </c>
      <c r="F488" s="428">
        <f>E488/D488*100</f>
        <v>100</v>
      </c>
      <c r="G488" s="433"/>
    </row>
    <row r="489" spans="1:7" s="423" customFormat="1" ht="18.75" customHeight="1">
      <c r="A489" s="437"/>
      <c r="B489" s="420"/>
      <c r="C489" s="262" t="s">
        <v>1290</v>
      </c>
      <c r="D489" s="263">
        <v>10000</v>
      </c>
      <c r="E489" s="263">
        <v>10000</v>
      </c>
      <c r="F489" s="421">
        <f>E489/D489*100</f>
        <v>100</v>
      </c>
      <c r="G489" s="1206"/>
    </row>
    <row r="490" spans="1:8" s="438" customFormat="1" ht="18.75" customHeight="1">
      <c r="A490" s="435"/>
      <c r="B490" s="416" t="s">
        <v>941</v>
      </c>
      <c r="C490" s="417" t="s">
        <v>1225</v>
      </c>
      <c r="D490" s="259">
        <f>SUM(D491,D497)</f>
        <v>3855084</v>
      </c>
      <c r="E490" s="259">
        <f>SUM(E491,E497)</f>
        <v>1981462.19</v>
      </c>
      <c r="F490" s="418">
        <f t="shared" si="26"/>
        <v>51.39867743478482</v>
      </c>
      <c r="G490" s="422"/>
      <c r="H490" s="423"/>
    </row>
    <row r="491" spans="1:7" s="429" customFormat="1" ht="18.75" customHeight="1">
      <c r="A491" s="424"/>
      <c r="B491" s="425"/>
      <c r="C491" s="426" t="s">
        <v>1186</v>
      </c>
      <c r="D491" s="427">
        <f>SUM(D492,D495)</f>
        <v>3795084</v>
      </c>
      <c r="E491" s="427">
        <f>SUM(E492,E495)</f>
        <v>1981462.19</v>
      </c>
      <c r="F491" s="428">
        <f t="shared" si="26"/>
        <v>52.211286759397154</v>
      </c>
      <c r="G491" s="433"/>
    </row>
    <row r="492" spans="1:7" s="423" customFormat="1" ht="18" customHeight="1">
      <c r="A492" s="419"/>
      <c r="B492" s="420"/>
      <c r="C492" s="262" t="s">
        <v>1288</v>
      </c>
      <c r="D492" s="263">
        <f>SUM(D493,D494)</f>
        <v>3615084</v>
      </c>
      <c r="E492" s="263">
        <f>SUM(E493,E494)</f>
        <v>1866503.94</v>
      </c>
      <c r="F492" s="421">
        <f aca="true" t="shared" si="27" ref="F492:F534">E492/D492*100</f>
        <v>51.63099778594356</v>
      </c>
      <c r="G492" s="422"/>
    </row>
    <row r="493" spans="1:7" s="1205" customFormat="1" ht="18.75" customHeight="1">
      <c r="A493" s="1200"/>
      <c r="B493" s="1201"/>
      <c r="C493" s="1202" t="s">
        <v>334</v>
      </c>
      <c r="D493" s="1203">
        <v>3178675</v>
      </c>
      <c r="E493" s="1203">
        <v>1549717.07</v>
      </c>
      <c r="F493" s="1204">
        <f t="shared" si="27"/>
        <v>48.75355517629201</v>
      </c>
      <c r="G493" s="422"/>
    </row>
    <row r="494" spans="1:7" s="1205" customFormat="1" ht="18.75" customHeight="1">
      <c r="A494" s="1200"/>
      <c r="B494" s="1201"/>
      <c r="C494" s="1202" t="s">
        <v>1289</v>
      </c>
      <c r="D494" s="1203">
        <v>436409</v>
      </c>
      <c r="E494" s="1203">
        <v>316786.87</v>
      </c>
      <c r="F494" s="1204">
        <f t="shared" si="27"/>
        <v>72.58944476397141</v>
      </c>
      <c r="G494" s="422"/>
    </row>
    <row r="495" spans="1:7" s="423" customFormat="1" ht="18.75" customHeight="1">
      <c r="A495" s="437"/>
      <c r="B495" s="420"/>
      <c r="C495" s="442" t="s">
        <v>1312</v>
      </c>
      <c r="D495" s="263">
        <v>180000</v>
      </c>
      <c r="E495" s="263">
        <v>114958.25</v>
      </c>
      <c r="F495" s="421">
        <f t="shared" si="27"/>
        <v>63.86569444444444</v>
      </c>
      <c r="G495" s="422"/>
    </row>
    <row r="496" spans="1:7" s="429" customFormat="1" ht="18.75" customHeight="1">
      <c r="A496" s="424"/>
      <c r="B496" s="425"/>
      <c r="C496" s="426" t="s">
        <v>1291</v>
      </c>
      <c r="D496" s="427">
        <f>SUM(D497)</f>
        <v>60000</v>
      </c>
      <c r="E496" s="427">
        <f>SUM(E497)</f>
        <v>0</v>
      </c>
      <c r="F496" s="428">
        <f t="shared" si="27"/>
        <v>0</v>
      </c>
      <c r="G496" s="433"/>
    </row>
    <row r="497" spans="1:7" s="423" customFormat="1" ht="18.75" customHeight="1">
      <c r="A497" s="419"/>
      <c r="B497" s="420"/>
      <c r="C497" s="262" t="s">
        <v>1292</v>
      </c>
      <c r="D497" s="263">
        <v>60000</v>
      </c>
      <c r="E497" s="263">
        <v>0</v>
      </c>
      <c r="F497" s="421">
        <f t="shared" si="27"/>
        <v>0</v>
      </c>
      <c r="G497" s="1206"/>
    </row>
    <row r="498" spans="1:7" s="159" customFormat="1" ht="18.75" customHeight="1">
      <c r="A498" s="436" t="s">
        <v>947</v>
      </c>
      <c r="B498" s="411"/>
      <c r="C498" s="431" t="s">
        <v>948</v>
      </c>
      <c r="D498" s="413">
        <f>SUM(D499,D504,D509,D516,D524,D529,D535,D539)</f>
        <v>14722402</v>
      </c>
      <c r="E498" s="413">
        <f>SUM(E499,E504,E509,E516,E524,E529,E535,E539)</f>
        <v>7439383.359999999</v>
      </c>
      <c r="F498" s="414">
        <f t="shared" si="27"/>
        <v>50.531043507710216</v>
      </c>
      <c r="G498" s="166"/>
    </row>
    <row r="499" spans="1:8" s="438" customFormat="1" ht="18.75" customHeight="1">
      <c r="A499" s="435"/>
      <c r="B499" s="416" t="s">
        <v>374</v>
      </c>
      <c r="C499" s="432" t="s">
        <v>375</v>
      </c>
      <c r="D499" s="259">
        <f>SUM(D500)</f>
        <v>813883</v>
      </c>
      <c r="E499" s="259">
        <f>E500</f>
        <v>486311.82</v>
      </c>
      <c r="F499" s="418">
        <f t="shared" si="27"/>
        <v>59.7520552708436</v>
      </c>
      <c r="G499" s="422"/>
      <c r="H499" s="423"/>
    </row>
    <row r="500" spans="1:7" s="429" customFormat="1" ht="18.75" customHeight="1">
      <c r="A500" s="424"/>
      <c r="B500" s="425"/>
      <c r="C500" s="426" t="s">
        <v>1186</v>
      </c>
      <c r="D500" s="427">
        <f>SUM(D501)</f>
        <v>813883</v>
      </c>
      <c r="E500" s="427">
        <f>SUM(E501)</f>
        <v>486311.82</v>
      </c>
      <c r="F500" s="428">
        <f t="shared" si="27"/>
        <v>59.7520552708436</v>
      </c>
      <c r="G500" s="433"/>
    </row>
    <row r="501" spans="1:7" s="423" customFormat="1" ht="18" customHeight="1">
      <c r="A501" s="419"/>
      <c r="B501" s="420"/>
      <c r="C501" s="262" t="s">
        <v>1288</v>
      </c>
      <c r="D501" s="263">
        <f>SUM(D502,D503)</f>
        <v>813883</v>
      </c>
      <c r="E501" s="263">
        <f>SUM(E502,E503)</f>
        <v>486311.82</v>
      </c>
      <c r="F501" s="421">
        <f t="shared" si="27"/>
        <v>59.7520552708436</v>
      </c>
      <c r="G501" s="422"/>
    </row>
    <row r="502" spans="1:7" s="1205" customFormat="1" ht="18.75" customHeight="1">
      <c r="A502" s="1200"/>
      <c r="B502" s="1201"/>
      <c r="C502" s="1202" t="s">
        <v>334</v>
      </c>
      <c r="D502" s="1203">
        <v>681687</v>
      </c>
      <c r="E502" s="1203">
        <v>397083.57</v>
      </c>
      <c r="F502" s="1204">
        <f t="shared" si="27"/>
        <v>58.25013092519</v>
      </c>
      <c r="G502" s="422"/>
    </row>
    <row r="503" spans="1:7" s="1205" customFormat="1" ht="18.75" customHeight="1">
      <c r="A503" s="1200"/>
      <c r="B503" s="1201"/>
      <c r="C503" s="1202" t="s">
        <v>1289</v>
      </c>
      <c r="D503" s="1203">
        <v>132196</v>
      </c>
      <c r="E503" s="1203">
        <v>89228.25</v>
      </c>
      <c r="F503" s="1204">
        <f t="shared" si="27"/>
        <v>67.49693636721233</v>
      </c>
      <c r="G503" s="422"/>
    </row>
    <row r="504" spans="1:8" s="438" customFormat="1" ht="18.75" customHeight="1">
      <c r="A504" s="435"/>
      <c r="B504" s="416" t="s">
        <v>389</v>
      </c>
      <c r="C504" s="432" t="s">
        <v>390</v>
      </c>
      <c r="D504" s="259">
        <f>D505</f>
        <v>556539</v>
      </c>
      <c r="E504" s="259">
        <f>E505</f>
        <v>281113.79</v>
      </c>
      <c r="F504" s="418">
        <f t="shared" si="27"/>
        <v>50.51106750829681</v>
      </c>
      <c r="G504" s="422"/>
      <c r="H504" s="423"/>
    </row>
    <row r="505" spans="1:7" s="429" customFormat="1" ht="18.75" customHeight="1">
      <c r="A505" s="424"/>
      <c r="B505" s="425"/>
      <c r="C505" s="426" t="s">
        <v>1186</v>
      </c>
      <c r="D505" s="427">
        <f>SUM(D506)</f>
        <v>556539</v>
      </c>
      <c r="E505" s="427">
        <f>SUM(E506)</f>
        <v>281113.79</v>
      </c>
      <c r="F505" s="428">
        <f t="shared" si="27"/>
        <v>50.51106750829681</v>
      </c>
      <c r="G505" s="433"/>
    </row>
    <row r="506" spans="1:7" s="423" customFormat="1" ht="18" customHeight="1">
      <c r="A506" s="419"/>
      <c r="B506" s="420"/>
      <c r="C506" s="262" t="s">
        <v>1288</v>
      </c>
      <c r="D506" s="263">
        <f>SUM(D507,D508)</f>
        <v>556539</v>
      </c>
      <c r="E506" s="263">
        <f>SUM(E507,E508)</f>
        <v>281113.79</v>
      </c>
      <c r="F506" s="421">
        <f t="shared" si="27"/>
        <v>50.51106750829681</v>
      </c>
      <c r="G506" s="422"/>
    </row>
    <row r="507" spans="1:7" s="1205" customFormat="1" ht="18.75" customHeight="1">
      <c r="A507" s="1200"/>
      <c r="B507" s="1201"/>
      <c r="C507" s="1202" t="s">
        <v>334</v>
      </c>
      <c r="D507" s="1203">
        <v>494300</v>
      </c>
      <c r="E507" s="1203">
        <v>242685.62</v>
      </c>
      <c r="F507" s="1204">
        <f t="shared" si="27"/>
        <v>49.09682783734574</v>
      </c>
      <c r="G507" s="422"/>
    </row>
    <row r="508" spans="1:7" s="1205" customFormat="1" ht="18.75" customHeight="1">
      <c r="A508" s="1200"/>
      <c r="B508" s="1201"/>
      <c r="C508" s="1202" t="s">
        <v>1289</v>
      </c>
      <c r="D508" s="1203">
        <v>62239</v>
      </c>
      <c r="E508" s="1203">
        <v>38428.17</v>
      </c>
      <c r="F508" s="1204">
        <f t="shared" si="27"/>
        <v>61.74291039380453</v>
      </c>
      <c r="G508" s="422"/>
    </row>
    <row r="509" spans="1:8" s="438" customFormat="1" ht="18.75" customHeight="1">
      <c r="A509" s="435"/>
      <c r="B509" s="416" t="s">
        <v>953</v>
      </c>
      <c r="C509" s="432" t="s">
        <v>392</v>
      </c>
      <c r="D509" s="259">
        <f>SUM(D510)</f>
        <v>4385673</v>
      </c>
      <c r="E509" s="259">
        <f>SUM(E510)</f>
        <v>2333271.58</v>
      </c>
      <c r="F509" s="418">
        <f t="shared" si="27"/>
        <v>53.202132945160294</v>
      </c>
      <c r="G509" s="422"/>
      <c r="H509" s="423"/>
    </row>
    <row r="510" spans="1:7" s="429" customFormat="1" ht="18.75" customHeight="1">
      <c r="A510" s="424"/>
      <c r="B510" s="425"/>
      <c r="C510" s="426" t="s">
        <v>1186</v>
      </c>
      <c r="D510" s="427">
        <f>SUM(D511,D514,D515)</f>
        <v>4385673</v>
      </c>
      <c r="E510" s="427">
        <f>SUM(E511,E514,E515)</f>
        <v>2333271.58</v>
      </c>
      <c r="F510" s="428">
        <f t="shared" si="27"/>
        <v>53.202132945160294</v>
      </c>
      <c r="G510" s="433"/>
    </row>
    <row r="511" spans="1:7" s="423" customFormat="1" ht="18" customHeight="1">
      <c r="A511" s="419"/>
      <c r="B511" s="420"/>
      <c r="C511" s="262" t="s">
        <v>1288</v>
      </c>
      <c r="D511" s="263">
        <f>SUM(D512,D513)</f>
        <v>3275493</v>
      </c>
      <c r="E511" s="263">
        <f>SUM(E512,E513)</f>
        <v>1875331.43</v>
      </c>
      <c r="F511" s="421">
        <f t="shared" si="27"/>
        <v>57.25340979205268</v>
      </c>
      <c r="G511" s="422"/>
    </row>
    <row r="512" spans="1:7" s="1205" customFormat="1" ht="18.75" customHeight="1">
      <c r="A512" s="1200"/>
      <c r="B512" s="1201"/>
      <c r="C512" s="1202" t="s">
        <v>334</v>
      </c>
      <c r="D512" s="1203">
        <v>2667847</v>
      </c>
      <c r="E512" s="1203">
        <v>1525170.72</v>
      </c>
      <c r="F512" s="1204">
        <f t="shared" si="27"/>
        <v>57.16859774942116</v>
      </c>
      <c r="G512" s="422"/>
    </row>
    <row r="513" spans="1:7" s="1205" customFormat="1" ht="18.75" customHeight="1">
      <c r="A513" s="1200"/>
      <c r="B513" s="1201"/>
      <c r="C513" s="1202" t="s">
        <v>1289</v>
      </c>
      <c r="D513" s="1203">
        <v>607646</v>
      </c>
      <c r="E513" s="1203">
        <v>350160.71</v>
      </c>
      <c r="F513" s="1204">
        <f t="shared" si="27"/>
        <v>57.625773888086165</v>
      </c>
      <c r="G513" s="422"/>
    </row>
    <row r="514" spans="1:7" s="423" customFormat="1" ht="18.75" customHeight="1">
      <c r="A514" s="437"/>
      <c r="B514" s="420"/>
      <c r="C514" s="262" t="s">
        <v>1290</v>
      </c>
      <c r="D514" s="263">
        <v>1099680</v>
      </c>
      <c r="E514" s="263">
        <v>454285.74</v>
      </c>
      <c r="F514" s="421">
        <f t="shared" si="27"/>
        <v>41.31072130074203</v>
      </c>
      <c r="G514" s="1206"/>
    </row>
    <row r="515" spans="1:7" s="423" customFormat="1" ht="18.75" customHeight="1">
      <c r="A515" s="437"/>
      <c r="B515" s="420"/>
      <c r="C515" s="442" t="s">
        <v>1312</v>
      </c>
      <c r="D515" s="263">
        <v>10500</v>
      </c>
      <c r="E515" s="263">
        <v>3654.41</v>
      </c>
      <c r="F515" s="421">
        <f t="shared" si="27"/>
        <v>34.80390476190476</v>
      </c>
      <c r="G515" s="422"/>
    </row>
    <row r="516" spans="1:8" s="438" customFormat="1" ht="18.75" customHeight="1">
      <c r="A516" s="435"/>
      <c r="B516" s="416" t="s">
        <v>954</v>
      </c>
      <c r="C516" s="432" t="s">
        <v>955</v>
      </c>
      <c r="D516" s="259">
        <f>SUM(D517)</f>
        <v>7730489</v>
      </c>
      <c r="E516" s="259">
        <f>SUM(E517)</f>
        <v>3702582.01</v>
      </c>
      <c r="F516" s="418">
        <f t="shared" si="27"/>
        <v>47.89583181607269</v>
      </c>
      <c r="G516" s="422"/>
      <c r="H516" s="423"/>
    </row>
    <row r="517" spans="1:7" s="429" customFormat="1" ht="18.75" customHeight="1">
      <c r="A517" s="424"/>
      <c r="B517" s="425"/>
      <c r="C517" s="426" t="s">
        <v>1186</v>
      </c>
      <c r="D517" s="427">
        <f>SUM(D518,D521,D522,D523)</f>
        <v>7730489</v>
      </c>
      <c r="E517" s="427">
        <f>SUM(E518,E521,E522,E523)</f>
        <v>3702582.01</v>
      </c>
      <c r="F517" s="428">
        <f t="shared" si="27"/>
        <v>47.89583181607269</v>
      </c>
      <c r="G517" s="433"/>
    </row>
    <row r="518" spans="1:7" s="423" customFormat="1" ht="18" customHeight="1">
      <c r="A518" s="419"/>
      <c r="B518" s="420"/>
      <c r="C518" s="262" t="s">
        <v>1288</v>
      </c>
      <c r="D518" s="263">
        <f>SUM(D519,D520)</f>
        <v>5097781</v>
      </c>
      <c r="E518" s="263">
        <f>SUM(E519,E520)</f>
        <v>2855325.67</v>
      </c>
      <c r="F518" s="421">
        <f t="shared" si="27"/>
        <v>56.011148183886284</v>
      </c>
      <c r="G518" s="422"/>
    </row>
    <row r="519" spans="1:7" s="1205" customFormat="1" ht="18.75" customHeight="1">
      <c r="A519" s="1200"/>
      <c r="B519" s="1201"/>
      <c r="C519" s="1202" t="s">
        <v>334</v>
      </c>
      <c r="D519" s="1203">
        <v>4106523</v>
      </c>
      <c r="E519" s="1203">
        <v>2310725.07</v>
      </c>
      <c r="F519" s="1204">
        <f t="shared" si="27"/>
        <v>56.26962444871245</v>
      </c>
      <c r="G519" s="422"/>
    </row>
    <row r="520" spans="1:7" s="1205" customFormat="1" ht="18.75" customHeight="1">
      <c r="A520" s="1200"/>
      <c r="B520" s="1201"/>
      <c r="C520" s="1202" t="s">
        <v>1289</v>
      </c>
      <c r="D520" s="1203">
        <v>991258</v>
      </c>
      <c r="E520" s="1203">
        <v>544600.6</v>
      </c>
      <c r="F520" s="1204">
        <f t="shared" si="27"/>
        <v>54.94034852682147</v>
      </c>
      <c r="G520" s="422"/>
    </row>
    <row r="521" spans="1:7" s="423" customFormat="1" ht="18.75" customHeight="1">
      <c r="A521" s="437"/>
      <c r="B521" s="420"/>
      <c r="C521" s="262" t="s">
        <v>1290</v>
      </c>
      <c r="D521" s="263">
        <v>900080</v>
      </c>
      <c r="E521" s="263">
        <v>368450.66</v>
      </c>
      <c r="F521" s="421">
        <f t="shared" si="27"/>
        <v>40.93532352679762</v>
      </c>
      <c r="G521" s="1206"/>
    </row>
    <row r="522" spans="1:7" s="423" customFormat="1" ht="18.75" customHeight="1">
      <c r="A522" s="437"/>
      <c r="B522" s="420"/>
      <c r="C522" s="442" t="s">
        <v>1312</v>
      </c>
      <c r="D522" s="263">
        <v>2642</v>
      </c>
      <c r="E522" s="263">
        <v>743.67</v>
      </c>
      <c r="F522" s="421">
        <f t="shared" si="27"/>
        <v>28.14799394398183</v>
      </c>
      <c r="G522" s="422"/>
    </row>
    <row r="523" spans="1:7" s="423" customFormat="1" ht="18.75" customHeight="1">
      <c r="A523" s="437"/>
      <c r="B523" s="420"/>
      <c r="C523" s="442" t="s">
        <v>1320</v>
      </c>
      <c r="D523" s="263">
        <v>1729986</v>
      </c>
      <c r="E523" s="263">
        <v>478062.01</v>
      </c>
      <c r="F523" s="421">
        <f>E523/D523*100</f>
        <v>27.633865823191634</v>
      </c>
      <c r="G523" s="422"/>
    </row>
    <row r="524" spans="1:8" s="438" customFormat="1" ht="18.75" customHeight="1">
      <c r="A524" s="435"/>
      <c r="B524" s="416" t="s">
        <v>393</v>
      </c>
      <c r="C524" s="432" t="s">
        <v>394</v>
      </c>
      <c r="D524" s="259">
        <f>SUM(D525)</f>
        <v>853341</v>
      </c>
      <c r="E524" s="259">
        <f>SUM(E525)</f>
        <v>435501.73</v>
      </c>
      <c r="F524" s="418">
        <f t="shared" si="27"/>
        <v>51.034900467691116</v>
      </c>
      <c r="G524" s="422"/>
      <c r="H524" s="423"/>
    </row>
    <row r="525" spans="1:7" s="429" customFormat="1" ht="18.75" customHeight="1">
      <c r="A525" s="424"/>
      <c r="B525" s="425"/>
      <c r="C525" s="426" t="s">
        <v>1186</v>
      </c>
      <c r="D525" s="427">
        <f>SUM(D526)</f>
        <v>853341</v>
      </c>
      <c r="E525" s="427">
        <f>SUM(E526)</f>
        <v>435501.73</v>
      </c>
      <c r="F525" s="428">
        <f t="shared" si="27"/>
        <v>51.034900467691116</v>
      </c>
      <c r="G525" s="433"/>
    </row>
    <row r="526" spans="1:7" s="423" customFormat="1" ht="18" customHeight="1">
      <c r="A526" s="419"/>
      <c r="B526" s="420"/>
      <c r="C526" s="262" t="s">
        <v>1288</v>
      </c>
      <c r="D526" s="263">
        <f>SUM(D527,D528)</f>
        <v>853341</v>
      </c>
      <c r="E526" s="263">
        <f>SUM(E527,E528)</f>
        <v>435501.73</v>
      </c>
      <c r="F526" s="421">
        <f t="shared" si="27"/>
        <v>51.034900467691116</v>
      </c>
      <c r="G526" s="422"/>
    </row>
    <row r="527" spans="1:7" s="1205" customFormat="1" ht="18.75" customHeight="1">
      <c r="A527" s="1200"/>
      <c r="B527" s="1201"/>
      <c r="C527" s="1202" t="s">
        <v>334</v>
      </c>
      <c r="D527" s="1203">
        <v>771192</v>
      </c>
      <c r="E527" s="1203">
        <v>391527.12</v>
      </c>
      <c r="F527" s="1204">
        <f t="shared" si="27"/>
        <v>50.769084741542954</v>
      </c>
      <c r="G527" s="422"/>
    </row>
    <row r="528" spans="1:7" s="1205" customFormat="1" ht="18.75" customHeight="1">
      <c r="A528" s="1200"/>
      <c r="B528" s="1201"/>
      <c r="C528" s="1202" t="s">
        <v>1289</v>
      </c>
      <c r="D528" s="1203">
        <v>82149</v>
      </c>
      <c r="E528" s="1203">
        <v>43974.61</v>
      </c>
      <c r="F528" s="1204">
        <f t="shared" si="27"/>
        <v>53.53030469025795</v>
      </c>
      <c r="G528" s="422"/>
    </row>
    <row r="529" spans="1:8" s="438" customFormat="1" ht="28.5" customHeight="1">
      <c r="A529" s="435"/>
      <c r="B529" s="439" t="s">
        <v>395</v>
      </c>
      <c r="C529" s="417" t="s">
        <v>396</v>
      </c>
      <c r="D529" s="259">
        <f>D530</f>
        <v>298809</v>
      </c>
      <c r="E529" s="259">
        <f>E530</f>
        <v>175120.02</v>
      </c>
      <c r="F529" s="418">
        <f t="shared" si="27"/>
        <v>58.606005843197494</v>
      </c>
      <c r="G529" s="422"/>
      <c r="H529" s="423"/>
    </row>
    <row r="530" spans="1:7" s="429" customFormat="1" ht="18.75" customHeight="1">
      <c r="A530" s="424"/>
      <c r="B530" s="425"/>
      <c r="C530" s="426" t="s">
        <v>1186</v>
      </c>
      <c r="D530" s="427">
        <f>SUM(D531,D534)</f>
        <v>298809</v>
      </c>
      <c r="E530" s="427">
        <f>SUM(E531,E534)</f>
        <v>175120.02</v>
      </c>
      <c r="F530" s="428">
        <f t="shared" si="27"/>
        <v>58.606005843197494</v>
      </c>
      <c r="G530" s="433"/>
    </row>
    <row r="531" spans="1:7" s="423" customFormat="1" ht="18" customHeight="1">
      <c r="A531" s="419"/>
      <c r="B531" s="420"/>
      <c r="C531" s="262" t="s">
        <v>1288</v>
      </c>
      <c r="D531" s="263">
        <f>SUM(D532,D533)</f>
        <v>296967</v>
      </c>
      <c r="E531" s="263">
        <f>SUM(E532,E533)</f>
        <v>174977.16999999998</v>
      </c>
      <c r="F531" s="421">
        <f t="shared" si="27"/>
        <v>58.921418878191844</v>
      </c>
      <c r="G531" s="422"/>
    </row>
    <row r="532" spans="1:7" s="1205" customFormat="1" ht="18.75" customHeight="1">
      <c r="A532" s="1200"/>
      <c r="B532" s="1201"/>
      <c r="C532" s="1202" t="s">
        <v>334</v>
      </c>
      <c r="D532" s="1203">
        <v>153425</v>
      </c>
      <c r="E532" s="1203">
        <v>86268.47</v>
      </c>
      <c r="F532" s="1204">
        <f t="shared" si="27"/>
        <v>56.22843082939547</v>
      </c>
      <c r="G532" s="422"/>
    </row>
    <row r="533" spans="1:7" s="1205" customFormat="1" ht="18.75" customHeight="1">
      <c r="A533" s="1200"/>
      <c r="B533" s="1201"/>
      <c r="C533" s="1202" t="s">
        <v>1289</v>
      </c>
      <c r="D533" s="1203">
        <v>143542</v>
      </c>
      <c r="E533" s="1203">
        <v>88708.7</v>
      </c>
      <c r="F533" s="1204">
        <f t="shared" si="27"/>
        <v>61.799821654986</v>
      </c>
      <c r="G533" s="422"/>
    </row>
    <row r="534" spans="1:7" s="423" customFormat="1" ht="18.75" customHeight="1">
      <c r="A534" s="437"/>
      <c r="B534" s="420"/>
      <c r="C534" s="442" t="s">
        <v>1312</v>
      </c>
      <c r="D534" s="263">
        <v>1842</v>
      </c>
      <c r="E534" s="263">
        <v>142.85</v>
      </c>
      <c r="F534" s="421">
        <f t="shared" si="27"/>
        <v>7.755157437567862</v>
      </c>
      <c r="G534" s="422"/>
    </row>
    <row r="535" spans="1:7" s="159" customFormat="1" ht="18.75" customHeight="1">
      <c r="A535" s="435"/>
      <c r="B535" s="416" t="s">
        <v>397</v>
      </c>
      <c r="C535" s="432" t="s">
        <v>398</v>
      </c>
      <c r="D535" s="259">
        <f>D538</f>
        <v>60518</v>
      </c>
      <c r="E535" s="259">
        <f>E538</f>
        <v>19699</v>
      </c>
      <c r="F535" s="418">
        <f aca="true" t="shared" si="28" ref="F535:F546">E535/D535*100</f>
        <v>32.550646088766975</v>
      </c>
      <c r="G535" s="166"/>
    </row>
    <row r="536" spans="1:7" s="429" customFormat="1" ht="18.75" customHeight="1">
      <c r="A536" s="424"/>
      <c r="B536" s="425"/>
      <c r="C536" s="426" t="s">
        <v>1186</v>
      </c>
      <c r="D536" s="427">
        <f>SUM(D537)</f>
        <v>60518</v>
      </c>
      <c r="E536" s="427">
        <f>SUM(E537)</f>
        <v>19699</v>
      </c>
      <c r="F536" s="428">
        <f t="shared" si="28"/>
        <v>32.550646088766975</v>
      </c>
      <c r="G536" s="433"/>
    </row>
    <row r="537" spans="1:7" s="423" customFormat="1" ht="18" customHeight="1">
      <c r="A537" s="419"/>
      <c r="B537" s="420"/>
      <c r="C537" s="262" t="s">
        <v>1288</v>
      </c>
      <c r="D537" s="263">
        <f>SUM(D538)</f>
        <v>60518</v>
      </c>
      <c r="E537" s="263">
        <f>SUM(E538)</f>
        <v>19699</v>
      </c>
      <c r="F537" s="421">
        <f>E537/D537*100</f>
        <v>32.550646088766975</v>
      </c>
      <c r="G537" s="422"/>
    </row>
    <row r="538" spans="1:7" s="1205" customFormat="1" ht="18.75" customHeight="1">
      <c r="A538" s="1200"/>
      <c r="B538" s="1201"/>
      <c r="C538" s="1202" t="s">
        <v>1289</v>
      </c>
      <c r="D538" s="1203">
        <v>60518</v>
      </c>
      <c r="E538" s="1203">
        <v>19699</v>
      </c>
      <c r="F538" s="1204">
        <f>E538/D538*100</f>
        <v>32.550646088766975</v>
      </c>
      <c r="G538" s="422"/>
    </row>
    <row r="539" spans="1:8" s="438" customFormat="1" ht="18.75" customHeight="1">
      <c r="A539" s="435"/>
      <c r="B539" s="416" t="s">
        <v>399</v>
      </c>
      <c r="C539" s="432" t="s">
        <v>825</v>
      </c>
      <c r="D539" s="259">
        <f>SUM(D540)</f>
        <v>23150</v>
      </c>
      <c r="E539" s="259">
        <f>SUM(E540)</f>
        <v>5783.41</v>
      </c>
      <c r="F539" s="418">
        <f t="shared" si="28"/>
        <v>24.982332613390927</v>
      </c>
      <c r="G539" s="422"/>
      <c r="H539" s="423"/>
    </row>
    <row r="540" spans="1:7" s="429" customFormat="1" ht="18.75" customHeight="1">
      <c r="A540" s="424"/>
      <c r="B540" s="425"/>
      <c r="C540" s="426" t="s">
        <v>1186</v>
      </c>
      <c r="D540" s="427">
        <f>SUM(D541,D543)</f>
        <v>23150</v>
      </c>
      <c r="E540" s="427">
        <f>SUM(E541,E543)</f>
        <v>5783.41</v>
      </c>
      <c r="F540" s="428">
        <f t="shared" si="28"/>
        <v>24.982332613390927</v>
      </c>
      <c r="G540" s="433"/>
    </row>
    <row r="541" spans="1:7" s="423" customFormat="1" ht="18" customHeight="1">
      <c r="A541" s="419"/>
      <c r="B541" s="420"/>
      <c r="C541" s="262" t="s">
        <v>1288</v>
      </c>
      <c r="D541" s="263">
        <f>SUM(D542)</f>
        <v>4996</v>
      </c>
      <c r="E541" s="263">
        <f>SUM(E542)</f>
        <v>1789.4</v>
      </c>
      <c r="F541" s="421">
        <f>E541/D541*100</f>
        <v>35.81665332265813</v>
      </c>
      <c r="G541" s="422"/>
    </row>
    <row r="542" spans="1:7" s="1205" customFormat="1" ht="18.75" customHeight="1">
      <c r="A542" s="1200"/>
      <c r="B542" s="1201"/>
      <c r="C542" s="1202" t="s">
        <v>1289</v>
      </c>
      <c r="D542" s="1203">
        <v>4996</v>
      </c>
      <c r="E542" s="1203">
        <v>1789.4</v>
      </c>
      <c r="F542" s="1204">
        <f>E542/D542*100</f>
        <v>35.81665332265813</v>
      </c>
      <c r="G542" s="422"/>
    </row>
    <row r="543" spans="1:7" s="423" customFormat="1" ht="18.75" customHeight="1">
      <c r="A543" s="437"/>
      <c r="B543" s="420"/>
      <c r="C543" s="442" t="s">
        <v>1312</v>
      </c>
      <c r="D543" s="263">
        <v>18154</v>
      </c>
      <c r="E543" s="263">
        <v>3994.01</v>
      </c>
      <c r="F543" s="421">
        <f>E543/D543*100</f>
        <v>22.00071609562631</v>
      </c>
      <c r="G543" s="422"/>
    </row>
    <row r="544" spans="1:7" s="159" customFormat="1" ht="18.75" customHeight="1">
      <c r="A544" s="436" t="s">
        <v>956</v>
      </c>
      <c r="B544" s="411"/>
      <c r="C544" s="431" t="s">
        <v>957</v>
      </c>
      <c r="D544" s="413">
        <f>SUM(D545,D550,D558)</f>
        <v>1362000</v>
      </c>
      <c r="E544" s="413">
        <f>SUM(E545,E550,E558)</f>
        <v>741959.49</v>
      </c>
      <c r="F544" s="414">
        <f t="shared" si="28"/>
        <v>54.47573348017622</v>
      </c>
      <c r="G544" s="166"/>
    </row>
    <row r="545" spans="1:7" s="423" customFormat="1" ht="18.75" customHeight="1">
      <c r="A545" s="435"/>
      <c r="B545" s="416" t="s">
        <v>400</v>
      </c>
      <c r="C545" s="432" t="s">
        <v>401</v>
      </c>
      <c r="D545" s="259">
        <f>SUM(D546,D549)</f>
        <v>330425</v>
      </c>
      <c r="E545" s="259">
        <f>SUM(E546,E549)</f>
        <v>284907.6</v>
      </c>
      <c r="F545" s="418">
        <f t="shared" si="28"/>
        <v>86.22458954376938</v>
      </c>
      <c r="G545" s="422"/>
    </row>
    <row r="546" spans="1:7" s="429" customFormat="1" ht="18.75" customHeight="1">
      <c r="A546" s="424"/>
      <c r="B546" s="425"/>
      <c r="C546" s="426" t="s">
        <v>1186</v>
      </c>
      <c r="D546" s="427">
        <f>SUM(D547)</f>
        <v>35000</v>
      </c>
      <c r="E546" s="427">
        <f>SUM(E547)</f>
        <v>18850</v>
      </c>
      <c r="F546" s="428">
        <f t="shared" si="28"/>
        <v>53.85714285714286</v>
      </c>
      <c r="G546" s="433"/>
    </row>
    <row r="547" spans="1:7" s="423" customFormat="1" ht="18.75" customHeight="1">
      <c r="A547" s="437"/>
      <c r="B547" s="420"/>
      <c r="C547" s="262" t="s">
        <v>1290</v>
      </c>
      <c r="D547" s="263">
        <v>35000</v>
      </c>
      <c r="E547" s="263">
        <v>18850</v>
      </c>
      <c r="F547" s="421">
        <f aca="true" t="shared" si="29" ref="F547:F555">E547/D547*100</f>
        <v>53.85714285714286</v>
      </c>
      <c r="G547" s="1206"/>
    </row>
    <row r="548" spans="1:7" s="429" customFormat="1" ht="18.75" customHeight="1">
      <c r="A548" s="424"/>
      <c r="B548" s="425"/>
      <c r="C548" s="426" t="s">
        <v>1291</v>
      </c>
      <c r="D548" s="427">
        <f>SUM(D549)</f>
        <v>295425</v>
      </c>
      <c r="E548" s="427">
        <f>SUM(E549)</f>
        <v>266057.6</v>
      </c>
      <c r="F548" s="428">
        <f t="shared" si="29"/>
        <v>90.05927054243885</v>
      </c>
      <c r="G548" s="433"/>
    </row>
    <row r="549" spans="1:7" s="423" customFormat="1" ht="18.75" customHeight="1">
      <c r="A549" s="419"/>
      <c r="B549" s="420"/>
      <c r="C549" s="262" t="s">
        <v>1317</v>
      </c>
      <c r="D549" s="263">
        <v>295425</v>
      </c>
      <c r="E549" s="263">
        <v>266057.6</v>
      </c>
      <c r="F549" s="421">
        <f t="shared" si="29"/>
        <v>90.05927054243885</v>
      </c>
      <c r="G549" s="1206"/>
    </row>
    <row r="550" spans="1:7" s="159" customFormat="1" ht="27" customHeight="1">
      <c r="A550" s="435"/>
      <c r="B550" s="416" t="s">
        <v>402</v>
      </c>
      <c r="C550" s="417" t="s">
        <v>404</v>
      </c>
      <c r="D550" s="259">
        <f>SUM(D551,D555)</f>
        <v>204575</v>
      </c>
      <c r="E550" s="259">
        <f>SUM(E551,E555)</f>
        <v>1999.2</v>
      </c>
      <c r="F550" s="418">
        <f t="shared" si="29"/>
        <v>0.9772455089820359</v>
      </c>
      <c r="G550" s="166"/>
    </row>
    <row r="551" spans="1:7" s="429" customFormat="1" ht="18.75" customHeight="1">
      <c r="A551" s="424"/>
      <c r="B551" s="425"/>
      <c r="C551" s="426" t="s">
        <v>1186</v>
      </c>
      <c r="D551" s="427">
        <f>SUM(D552,D554)</f>
        <v>79675</v>
      </c>
      <c r="E551" s="427">
        <f>SUM(E552,E554)</f>
        <v>1999.2</v>
      </c>
      <c r="F551" s="428">
        <f t="shared" si="29"/>
        <v>2.509193598995921</v>
      </c>
      <c r="G551" s="433"/>
    </row>
    <row r="552" spans="1:7" s="423" customFormat="1" ht="18" customHeight="1">
      <c r="A552" s="419"/>
      <c r="B552" s="420"/>
      <c r="C552" s="262" t="s">
        <v>1288</v>
      </c>
      <c r="D552" s="263">
        <f>SUM(D553)</f>
        <v>4900</v>
      </c>
      <c r="E552" s="263">
        <f>SUM(E553)</f>
        <v>1649.2</v>
      </c>
      <c r="F552" s="421">
        <f t="shared" si="29"/>
        <v>33.65714285714286</v>
      </c>
      <c r="G552" s="422"/>
    </row>
    <row r="553" spans="1:7" s="1205" customFormat="1" ht="18.75" customHeight="1">
      <c r="A553" s="1200"/>
      <c r="B553" s="1201"/>
      <c r="C553" s="1202" t="s">
        <v>334</v>
      </c>
      <c r="D553" s="1203">
        <v>4900</v>
      </c>
      <c r="E553" s="1203">
        <v>1649.2</v>
      </c>
      <c r="F553" s="1204">
        <f t="shared" si="29"/>
        <v>33.65714285714286</v>
      </c>
      <c r="G553" s="422"/>
    </row>
    <row r="554" spans="1:7" s="423" customFormat="1" ht="18.75" customHeight="1">
      <c r="A554" s="437"/>
      <c r="B554" s="420"/>
      <c r="C554" s="262" t="s">
        <v>1290</v>
      </c>
      <c r="D554" s="263">
        <v>74775</v>
      </c>
      <c r="E554" s="263">
        <v>350</v>
      </c>
      <c r="F554" s="421">
        <f t="shared" si="29"/>
        <v>0.4680708793045804</v>
      </c>
      <c r="G554" s="1206"/>
    </row>
    <row r="555" spans="1:7" s="429" customFormat="1" ht="18.75" customHeight="1">
      <c r="A555" s="424"/>
      <c r="B555" s="425"/>
      <c r="C555" s="426" t="s">
        <v>1291</v>
      </c>
      <c r="D555" s="427">
        <f>SUM(D556,D557)</f>
        <v>124900</v>
      </c>
      <c r="E555" s="427">
        <f>SUM(E556,E557)</f>
        <v>0</v>
      </c>
      <c r="F555" s="428">
        <f t="shared" si="29"/>
        <v>0</v>
      </c>
      <c r="G555" s="433"/>
    </row>
    <row r="556" spans="1:7" s="423" customFormat="1" ht="18.75" customHeight="1">
      <c r="A556" s="419"/>
      <c r="B556" s="420"/>
      <c r="C556" s="262" t="s">
        <v>1293</v>
      </c>
      <c r="D556" s="263">
        <v>96000</v>
      </c>
      <c r="E556" s="263">
        <v>0</v>
      </c>
      <c r="F556" s="421">
        <f>E556/D556*100</f>
        <v>0</v>
      </c>
      <c r="G556" s="1206"/>
    </row>
    <row r="557" spans="1:7" s="423" customFormat="1" ht="18.75" customHeight="1">
      <c r="A557" s="419"/>
      <c r="B557" s="420"/>
      <c r="C557" s="262" t="s">
        <v>1317</v>
      </c>
      <c r="D557" s="263">
        <v>28900</v>
      </c>
      <c r="E557" s="263">
        <v>0</v>
      </c>
      <c r="F557" s="421">
        <f>E557/D557*100</f>
        <v>0</v>
      </c>
      <c r="G557" s="1206"/>
    </row>
    <row r="558" spans="1:8" s="438" customFormat="1" ht="40.5" customHeight="1">
      <c r="A558" s="435"/>
      <c r="B558" s="439" t="s">
        <v>1153</v>
      </c>
      <c r="C558" s="434" t="s">
        <v>312</v>
      </c>
      <c r="D558" s="259">
        <f>D559</f>
        <v>827000</v>
      </c>
      <c r="E558" s="259">
        <f>E559</f>
        <v>455052.69</v>
      </c>
      <c r="F558" s="418">
        <f aca="true" t="shared" si="30" ref="F558:F564">E558/D558*100</f>
        <v>55.02450906892382</v>
      </c>
      <c r="G558" s="422"/>
      <c r="H558" s="423"/>
    </row>
    <row r="559" spans="1:7" s="429" customFormat="1" ht="18.75" customHeight="1">
      <c r="A559" s="424"/>
      <c r="B559" s="425"/>
      <c r="C559" s="426" t="s">
        <v>1186</v>
      </c>
      <c r="D559" s="427">
        <f>SUM(D560)</f>
        <v>827000</v>
      </c>
      <c r="E559" s="427">
        <f>SUM(E560)</f>
        <v>455052.69</v>
      </c>
      <c r="F559" s="428">
        <f t="shared" si="30"/>
        <v>55.02450906892382</v>
      </c>
      <c r="G559" s="433"/>
    </row>
    <row r="560" spans="1:7" s="423" customFormat="1" ht="18" customHeight="1">
      <c r="A560" s="419"/>
      <c r="B560" s="420"/>
      <c r="C560" s="262" t="s">
        <v>1288</v>
      </c>
      <c r="D560" s="263">
        <f>SUM(D561)</f>
        <v>827000</v>
      </c>
      <c r="E560" s="263">
        <f>SUM(E561)</f>
        <v>455052.69</v>
      </c>
      <c r="F560" s="421">
        <f>E560/D560*100</f>
        <v>55.02450906892382</v>
      </c>
      <c r="G560" s="422"/>
    </row>
    <row r="561" spans="1:7" s="1205" customFormat="1" ht="18.75" customHeight="1">
      <c r="A561" s="1200"/>
      <c r="B561" s="1201"/>
      <c r="C561" s="1202" t="s">
        <v>334</v>
      </c>
      <c r="D561" s="1203">
        <v>827000</v>
      </c>
      <c r="E561" s="1203">
        <v>455052.69</v>
      </c>
      <c r="F561" s="1204">
        <f>E561/D561*100</f>
        <v>55.02450906892382</v>
      </c>
      <c r="G561" s="422"/>
    </row>
    <row r="562" spans="1:8" s="438" customFormat="1" ht="18.75" customHeight="1">
      <c r="A562" s="436" t="s">
        <v>110</v>
      </c>
      <c r="B562" s="411"/>
      <c r="C562" s="431" t="s">
        <v>412</v>
      </c>
      <c r="D562" s="413">
        <f>SUM(D563,D570,D574,D581,D586,D591,D596)</f>
        <v>3471487</v>
      </c>
      <c r="E562" s="413">
        <f>SUM(E563,E570,E574,E581,E586,E591,E596)</f>
        <v>1330505.28</v>
      </c>
      <c r="F562" s="414">
        <f t="shared" si="30"/>
        <v>38.326667505884366</v>
      </c>
      <c r="G562" s="422"/>
      <c r="H562" s="423"/>
    </row>
    <row r="563" spans="1:7" s="159" customFormat="1" ht="18.75" customHeight="1">
      <c r="A563" s="435"/>
      <c r="B563" s="416" t="s">
        <v>111</v>
      </c>
      <c r="C563" s="432" t="s">
        <v>413</v>
      </c>
      <c r="D563" s="259">
        <f>SUM(D564)</f>
        <v>1128000</v>
      </c>
      <c r="E563" s="259">
        <f>SUM(E564)</f>
        <v>464513.38</v>
      </c>
      <c r="F563" s="418">
        <f t="shared" si="30"/>
        <v>41.18026418439717</v>
      </c>
      <c r="G563" s="166"/>
    </row>
    <row r="564" spans="1:7" s="429" customFormat="1" ht="18.75" customHeight="1">
      <c r="A564" s="424"/>
      <c r="B564" s="425"/>
      <c r="C564" s="426" t="s">
        <v>1186</v>
      </c>
      <c r="D564" s="427">
        <f>SUM(D565,D568,D569)</f>
        <v>1128000</v>
      </c>
      <c r="E564" s="427">
        <f>SUM(E565,E568,E569)</f>
        <v>464513.38</v>
      </c>
      <c r="F564" s="428">
        <f t="shared" si="30"/>
        <v>41.18026418439717</v>
      </c>
      <c r="G564" s="433"/>
    </row>
    <row r="565" spans="1:7" s="423" customFormat="1" ht="18" customHeight="1">
      <c r="A565" s="419"/>
      <c r="B565" s="420"/>
      <c r="C565" s="262" t="s">
        <v>1288</v>
      </c>
      <c r="D565" s="263">
        <f>SUM(D566,D567)</f>
        <v>143281</v>
      </c>
      <c r="E565" s="263">
        <f>SUM(E566,E567)</f>
        <v>0</v>
      </c>
      <c r="F565" s="421">
        <f aca="true" t="shared" si="31" ref="F565:F595">E565/D565*100</f>
        <v>0</v>
      </c>
      <c r="G565" s="422"/>
    </row>
    <row r="566" spans="1:7" s="1205" customFormat="1" ht="18.75" customHeight="1">
      <c r="A566" s="1200"/>
      <c r="B566" s="1201"/>
      <c r="C566" s="1202" t="s">
        <v>334</v>
      </c>
      <c r="D566" s="1203">
        <v>140561</v>
      </c>
      <c r="E566" s="1203">
        <v>0</v>
      </c>
      <c r="F566" s="1204">
        <f t="shared" si="31"/>
        <v>0</v>
      </c>
      <c r="G566" s="422"/>
    </row>
    <row r="567" spans="1:7" s="1205" customFormat="1" ht="18.75" customHeight="1">
      <c r="A567" s="1200"/>
      <c r="B567" s="1201"/>
      <c r="C567" s="1202" t="s">
        <v>1289</v>
      </c>
      <c r="D567" s="1203">
        <v>2720</v>
      </c>
      <c r="E567" s="1203">
        <v>0</v>
      </c>
      <c r="F567" s="1204">
        <f t="shared" si="31"/>
        <v>0</v>
      </c>
      <c r="G567" s="422"/>
    </row>
    <row r="568" spans="1:7" s="423" customFormat="1" ht="18.75" customHeight="1">
      <c r="A568" s="437"/>
      <c r="B568" s="420"/>
      <c r="C568" s="262" t="s">
        <v>1290</v>
      </c>
      <c r="D568" s="263">
        <v>798390</v>
      </c>
      <c r="E568" s="263">
        <v>426685.51</v>
      </c>
      <c r="F568" s="421">
        <f t="shared" si="31"/>
        <v>53.443243277095156</v>
      </c>
      <c r="G568" s="1206"/>
    </row>
    <row r="569" spans="1:7" s="423" customFormat="1" ht="18.75" customHeight="1">
      <c r="A569" s="437"/>
      <c r="B569" s="420"/>
      <c r="C569" s="442" t="s">
        <v>1312</v>
      </c>
      <c r="D569" s="263">
        <v>186329</v>
      </c>
      <c r="E569" s="263">
        <v>37827.87</v>
      </c>
      <c r="F569" s="421">
        <f t="shared" si="31"/>
        <v>20.30165460019643</v>
      </c>
      <c r="G569" s="422"/>
    </row>
    <row r="570" spans="1:7" s="423" customFormat="1" ht="18.75" customHeight="1">
      <c r="A570" s="435"/>
      <c r="B570" s="416" t="s">
        <v>122</v>
      </c>
      <c r="C570" s="432" t="s">
        <v>1227</v>
      </c>
      <c r="D570" s="259">
        <f aca="true" t="shared" si="32" ref="D570:E572">SUM(D571)</f>
        <v>160000</v>
      </c>
      <c r="E570" s="259">
        <f t="shared" si="32"/>
        <v>3538</v>
      </c>
      <c r="F570" s="418">
        <f t="shared" si="31"/>
        <v>2.21125</v>
      </c>
      <c r="G570" s="422"/>
    </row>
    <row r="571" spans="1:7" s="429" customFormat="1" ht="18.75" customHeight="1">
      <c r="A571" s="424"/>
      <c r="B571" s="425"/>
      <c r="C571" s="426" t="s">
        <v>1186</v>
      </c>
      <c r="D571" s="427">
        <f t="shared" si="32"/>
        <v>160000</v>
      </c>
      <c r="E571" s="427">
        <f t="shared" si="32"/>
        <v>3538</v>
      </c>
      <c r="F571" s="428">
        <f t="shared" si="31"/>
        <v>2.21125</v>
      </c>
      <c r="G571" s="433"/>
    </row>
    <row r="572" spans="1:7" s="423" customFormat="1" ht="18" customHeight="1">
      <c r="A572" s="419"/>
      <c r="B572" s="420"/>
      <c r="C572" s="262" t="s">
        <v>1288</v>
      </c>
      <c r="D572" s="263">
        <f t="shared" si="32"/>
        <v>160000</v>
      </c>
      <c r="E572" s="263">
        <f t="shared" si="32"/>
        <v>3538</v>
      </c>
      <c r="F572" s="421">
        <f t="shared" si="31"/>
        <v>2.21125</v>
      </c>
      <c r="G572" s="422"/>
    </row>
    <row r="573" spans="1:7" s="1205" customFormat="1" ht="18.75" customHeight="1">
      <c r="A573" s="1200"/>
      <c r="B573" s="1201"/>
      <c r="C573" s="1202" t="s">
        <v>1289</v>
      </c>
      <c r="D573" s="1203">
        <v>160000</v>
      </c>
      <c r="E573" s="1203">
        <v>3538</v>
      </c>
      <c r="F573" s="1204">
        <f t="shared" si="31"/>
        <v>2.21125</v>
      </c>
      <c r="G573" s="422"/>
    </row>
    <row r="574" spans="1:8" s="438" customFormat="1" ht="18.75" customHeight="1">
      <c r="A574" s="435"/>
      <c r="B574" s="416" t="s">
        <v>416</v>
      </c>
      <c r="C574" s="432" t="s">
        <v>417</v>
      </c>
      <c r="D574" s="259">
        <f>D575</f>
        <v>1512987</v>
      </c>
      <c r="E574" s="259">
        <f>E575</f>
        <v>605235.54</v>
      </c>
      <c r="F574" s="418">
        <f t="shared" si="31"/>
        <v>40.0026926867184</v>
      </c>
      <c r="G574" s="422"/>
      <c r="H574" s="423"/>
    </row>
    <row r="575" spans="1:7" s="429" customFormat="1" ht="18.75" customHeight="1">
      <c r="A575" s="424"/>
      <c r="B575" s="425"/>
      <c r="C575" s="426" t="s">
        <v>1186</v>
      </c>
      <c r="D575" s="427">
        <f>SUM(D576,D578,D579,D580)</f>
        <v>1512987</v>
      </c>
      <c r="E575" s="427">
        <f>SUM(E576,E578,E579,E580)</f>
        <v>605235.54</v>
      </c>
      <c r="F575" s="428">
        <f t="shared" si="31"/>
        <v>40.0026926867184</v>
      </c>
      <c r="G575" s="433"/>
    </row>
    <row r="576" spans="1:7" s="423" customFormat="1" ht="18" customHeight="1">
      <c r="A576" s="419"/>
      <c r="B576" s="420"/>
      <c r="C576" s="262" t="s">
        <v>1288</v>
      </c>
      <c r="D576" s="263">
        <f>SUM(D577)</f>
        <v>183546</v>
      </c>
      <c r="E576" s="263">
        <f>SUM(E577)</f>
        <v>51483.77</v>
      </c>
      <c r="F576" s="421">
        <f t="shared" si="31"/>
        <v>28.049518921687206</v>
      </c>
      <c r="G576" s="422"/>
    </row>
    <row r="577" spans="1:7" s="1205" customFormat="1" ht="18.75" customHeight="1">
      <c r="A577" s="1200"/>
      <c r="B577" s="1201"/>
      <c r="C577" s="1202" t="s">
        <v>334</v>
      </c>
      <c r="D577" s="1203">
        <v>183546</v>
      </c>
      <c r="E577" s="1203">
        <v>51483.77</v>
      </c>
      <c r="F577" s="1204">
        <f t="shared" si="31"/>
        <v>28.049518921687206</v>
      </c>
      <c r="G577" s="422"/>
    </row>
    <row r="578" spans="1:7" s="423" customFormat="1" ht="18.75" customHeight="1">
      <c r="A578" s="437"/>
      <c r="B578" s="420"/>
      <c r="C578" s="262" t="s">
        <v>1290</v>
      </c>
      <c r="D578" s="263">
        <v>87530</v>
      </c>
      <c r="E578" s="263">
        <v>40304.4</v>
      </c>
      <c r="F578" s="421">
        <f t="shared" si="31"/>
        <v>46.04638409688107</v>
      </c>
      <c r="G578" s="1206"/>
    </row>
    <row r="579" spans="1:7" s="423" customFormat="1" ht="18.75" customHeight="1">
      <c r="A579" s="437"/>
      <c r="B579" s="420"/>
      <c r="C579" s="442" t="s">
        <v>1312</v>
      </c>
      <c r="D579" s="263">
        <v>1215382</v>
      </c>
      <c r="E579" s="263">
        <v>513447.37</v>
      </c>
      <c r="F579" s="421">
        <f t="shared" si="31"/>
        <v>42.24576059214304</v>
      </c>
      <c r="G579" s="422"/>
    </row>
    <row r="580" spans="1:7" s="423" customFormat="1" ht="18.75" customHeight="1">
      <c r="A580" s="437"/>
      <c r="B580" s="420"/>
      <c r="C580" s="442" t="s">
        <v>1320</v>
      </c>
      <c r="D580" s="263">
        <v>26529</v>
      </c>
      <c r="E580" s="263">
        <v>0</v>
      </c>
      <c r="F580" s="421">
        <f>E580/D580*100</f>
        <v>0</v>
      </c>
      <c r="G580" s="422"/>
    </row>
    <row r="581" spans="1:6" ht="28.5" customHeight="1">
      <c r="A581" s="435"/>
      <c r="B581" s="416" t="s">
        <v>83</v>
      </c>
      <c r="C581" s="417" t="s">
        <v>1318</v>
      </c>
      <c r="D581" s="259">
        <f>SUM(D582)</f>
        <v>333000</v>
      </c>
      <c r="E581" s="259">
        <f>SUM(E582)</f>
        <v>150126.22</v>
      </c>
      <c r="F581" s="418">
        <f t="shared" si="31"/>
        <v>45.082948948948946</v>
      </c>
    </row>
    <row r="582" spans="1:7" s="429" customFormat="1" ht="18.75" customHeight="1">
      <c r="A582" s="424"/>
      <c r="B582" s="425"/>
      <c r="C582" s="426" t="s">
        <v>1186</v>
      </c>
      <c r="D582" s="427">
        <f>SUM(D583)</f>
        <v>333000</v>
      </c>
      <c r="E582" s="427">
        <f>SUM(E583)</f>
        <v>150126.22</v>
      </c>
      <c r="F582" s="428">
        <f t="shared" si="31"/>
        <v>45.082948948948946</v>
      </c>
      <c r="G582" s="433"/>
    </row>
    <row r="583" spans="1:7" s="423" customFormat="1" ht="18" customHeight="1">
      <c r="A583" s="419"/>
      <c r="B583" s="420"/>
      <c r="C583" s="262" t="s">
        <v>1288</v>
      </c>
      <c r="D583" s="263">
        <f>SUM(D584,D585)</f>
        <v>333000</v>
      </c>
      <c r="E583" s="263">
        <f>SUM(E584,E585)</f>
        <v>150126.22</v>
      </c>
      <c r="F583" s="421">
        <f t="shared" si="31"/>
        <v>45.082948948948946</v>
      </c>
      <c r="G583" s="422"/>
    </row>
    <row r="584" spans="1:7" s="1205" customFormat="1" ht="18.75" customHeight="1">
      <c r="A584" s="1200"/>
      <c r="B584" s="1201"/>
      <c r="C584" s="1202" t="s">
        <v>334</v>
      </c>
      <c r="D584" s="1203">
        <v>229087</v>
      </c>
      <c r="E584" s="1203">
        <v>106397.84</v>
      </c>
      <c r="F584" s="1204">
        <f t="shared" si="31"/>
        <v>46.444294089145174</v>
      </c>
      <c r="G584" s="422"/>
    </row>
    <row r="585" spans="1:7" s="1205" customFormat="1" ht="18.75" customHeight="1">
      <c r="A585" s="1200"/>
      <c r="B585" s="1201"/>
      <c r="C585" s="1202" t="s">
        <v>1289</v>
      </c>
      <c r="D585" s="1203">
        <v>103913</v>
      </c>
      <c r="E585" s="1203">
        <v>43728.38</v>
      </c>
      <c r="F585" s="1204">
        <f t="shared" si="31"/>
        <v>42.08172220992561</v>
      </c>
      <c r="G585" s="422"/>
    </row>
    <row r="586" spans="1:7" s="423" customFormat="1" ht="18.75" customHeight="1">
      <c r="A586" s="435"/>
      <c r="B586" s="416" t="s">
        <v>418</v>
      </c>
      <c r="C586" s="258" t="s">
        <v>419</v>
      </c>
      <c r="D586" s="259">
        <f>D587</f>
        <v>232940</v>
      </c>
      <c r="E586" s="259">
        <f>E587</f>
        <v>101327.1</v>
      </c>
      <c r="F586" s="418">
        <f t="shared" si="31"/>
        <v>43.49922726882459</v>
      </c>
      <c r="G586" s="422"/>
    </row>
    <row r="587" spans="1:7" s="429" customFormat="1" ht="18.75" customHeight="1">
      <c r="A587" s="424"/>
      <c r="B587" s="425"/>
      <c r="C587" s="426" t="s">
        <v>1186</v>
      </c>
      <c r="D587" s="427">
        <f>SUM(D588)</f>
        <v>232940</v>
      </c>
      <c r="E587" s="427">
        <f>SUM(E588)</f>
        <v>101327.1</v>
      </c>
      <c r="F587" s="428">
        <f t="shared" si="31"/>
        <v>43.49922726882459</v>
      </c>
      <c r="G587" s="433"/>
    </row>
    <row r="588" spans="1:7" s="423" customFormat="1" ht="18" customHeight="1">
      <c r="A588" s="419"/>
      <c r="B588" s="420"/>
      <c r="C588" s="262" t="s">
        <v>1288</v>
      </c>
      <c r="D588" s="263">
        <f>SUM(D589,D590)</f>
        <v>232940</v>
      </c>
      <c r="E588" s="263">
        <f>SUM(E589,E590)</f>
        <v>101327.1</v>
      </c>
      <c r="F588" s="421">
        <f t="shared" si="31"/>
        <v>43.49922726882459</v>
      </c>
      <c r="G588" s="422"/>
    </row>
    <row r="589" spans="1:7" s="1205" customFormat="1" ht="18.75" customHeight="1">
      <c r="A589" s="1200"/>
      <c r="B589" s="1201"/>
      <c r="C589" s="1202" t="s">
        <v>334</v>
      </c>
      <c r="D589" s="1203">
        <v>216285</v>
      </c>
      <c r="E589" s="1203">
        <v>92629.16</v>
      </c>
      <c r="F589" s="1204">
        <f t="shared" si="31"/>
        <v>42.82736204544929</v>
      </c>
      <c r="G589" s="422"/>
    </row>
    <row r="590" spans="1:7" s="1205" customFormat="1" ht="18.75" customHeight="1">
      <c r="A590" s="1200"/>
      <c r="B590" s="1201"/>
      <c r="C590" s="1202" t="s">
        <v>1289</v>
      </c>
      <c r="D590" s="1203">
        <v>16655</v>
      </c>
      <c r="E590" s="1203">
        <v>8697.94</v>
      </c>
      <c r="F590" s="1204">
        <f t="shared" si="31"/>
        <v>52.224196937856505</v>
      </c>
      <c r="G590" s="422"/>
    </row>
    <row r="591" spans="1:7" s="423" customFormat="1" ht="31.5" customHeight="1">
      <c r="A591" s="435"/>
      <c r="B591" s="416" t="s">
        <v>590</v>
      </c>
      <c r="C591" s="434" t="s">
        <v>591</v>
      </c>
      <c r="D591" s="259">
        <f>SUM(D592)</f>
        <v>48560</v>
      </c>
      <c r="E591" s="259">
        <f>SUM(E592)</f>
        <v>0</v>
      </c>
      <c r="F591" s="418">
        <f t="shared" si="31"/>
        <v>0</v>
      </c>
      <c r="G591" s="422"/>
    </row>
    <row r="592" spans="1:7" s="429" customFormat="1" ht="18.75" customHeight="1">
      <c r="A592" s="424"/>
      <c r="B592" s="425"/>
      <c r="C592" s="426" t="s">
        <v>1186</v>
      </c>
      <c r="D592" s="427">
        <f>SUM(D593)</f>
        <v>48560</v>
      </c>
      <c r="E592" s="427">
        <f>SUM(E593)</f>
        <v>0</v>
      </c>
      <c r="F592" s="428">
        <f t="shared" si="31"/>
        <v>0</v>
      </c>
      <c r="G592" s="433"/>
    </row>
    <row r="593" spans="1:7" s="423" customFormat="1" ht="18" customHeight="1">
      <c r="A593" s="419"/>
      <c r="B593" s="420"/>
      <c r="C593" s="262" t="s">
        <v>1288</v>
      </c>
      <c r="D593" s="263">
        <f>SUM(D594,D595)</f>
        <v>48560</v>
      </c>
      <c r="E593" s="263">
        <f>SUM(E594,E595)</f>
        <v>0</v>
      </c>
      <c r="F593" s="421">
        <f t="shared" si="31"/>
        <v>0</v>
      </c>
      <c r="G593" s="422"/>
    </row>
    <row r="594" spans="1:7" s="1205" customFormat="1" ht="18.75" customHeight="1">
      <c r="A594" s="1200"/>
      <c r="B594" s="1201"/>
      <c r="C594" s="1202" t="s">
        <v>334</v>
      </c>
      <c r="D594" s="1203">
        <v>4245</v>
      </c>
      <c r="E594" s="1203">
        <v>0</v>
      </c>
      <c r="F594" s="1204">
        <f t="shared" si="31"/>
        <v>0</v>
      </c>
      <c r="G594" s="422"/>
    </row>
    <row r="595" spans="1:7" s="1205" customFormat="1" ht="18.75" customHeight="1">
      <c r="A595" s="1200"/>
      <c r="B595" s="1201"/>
      <c r="C595" s="1202" t="s">
        <v>1289</v>
      </c>
      <c r="D595" s="1203">
        <v>44315</v>
      </c>
      <c r="E595" s="1203">
        <v>0</v>
      </c>
      <c r="F595" s="1204">
        <f t="shared" si="31"/>
        <v>0</v>
      </c>
      <c r="G595" s="422"/>
    </row>
    <row r="596" spans="1:7" s="423" customFormat="1" ht="18.75" customHeight="1">
      <c r="A596" s="435"/>
      <c r="B596" s="416" t="s">
        <v>120</v>
      </c>
      <c r="C596" s="432" t="s">
        <v>825</v>
      </c>
      <c r="D596" s="259">
        <f>SUM(D597)</f>
        <v>56000</v>
      </c>
      <c r="E596" s="259">
        <f>SUM(E597)</f>
        <v>5765.04</v>
      </c>
      <c r="F596" s="418">
        <f aca="true" t="shared" si="33" ref="F596:F603">E596/D596*100</f>
        <v>10.294714285714287</v>
      </c>
      <c r="G596" s="422"/>
    </row>
    <row r="597" spans="1:7" s="429" customFormat="1" ht="18.75" customHeight="1">
      <c r="A597" s="424"/>
      <c r="B597" s="425"/>
      <c r="C597" s="426" t="s">
        <v>1186</v>
      </c>
      <c r="D597" s="427">
        <f>SUM(D598,D601)</f>
        <v>56000</v>
      </c>
      <c r="E597" s="427">
        <f>SUM(E598,E601)</f>
        <v>5765.04</v>
      </c>
      <c r="F597" s="428">
        <f t="shared" si="33"/>
        <v>10.294714285714287</v>
      </c>
      <c r="G597" s="433"/>
    </row>
    <row r="598" spans="1:7" s="423" customFormat="1" ht="18" customHeight="1">
      <c r="A598" s="419"/>
      <c r="B598" s="420"/>
      <c r="C598" s="262" t="s">
        <v>1288</v>
      </c>
      <c r="D598" s="263">
        <f>SUM(D599,D600)</f>
        <v>36400</v>
      </c>
      <c r="E598" s="263">
        <f>SUM(E599,E600)</f>
        <v>0</v>
      </c>
      <c r="F598" s="421">
        <f>E598/D598*100</f>
        <v>0</v>
      </c>
      <c r="G598" s="422"/>
    </row>
    <row r="599" spans="1:7" s="1205" customFormat="1" ht="18.75" customHeight="1">
      <c r="A599" s="1200"/>
      <c r="B599" s="1201"/>
      <c r="C599" s="1202" t="s">
        <v>334</v>
      </c>
      <c r="D599" s="1203">
        <v>6000</v>
      </c>
      <c r="E599" s="1203">
        <v>0</v>
      </c>
      <c r="F599" s="1204">
        <f>E599/D599*100</f>
        <v>0</v>
      </c>
      <c r="G599" s="422"/>
    </row>
    <row r="600" spans="1:7" s="1205" customFormat="1" ht="18.75" customHeight="1">
      <c r="A600" s="1200"/>
      <c r="B600" s="1201"/>
      <c r="C600" s="1202" t="s">
        <v>1289</v>
      </c>
      <c r="D600" s="1203">
        <v>30400</v>
      </c>
      <c r="E600" s="1203">
        <v>0</v>
      </c>
      <c r="F600" s="1204">
        <f>E600/D600*100</f>
        <v>0</v>
      </c>
      <c r="G600" s="422"/>
    </row>
    <row r="601" spans="1:7" s="423" customFormat="1" ht="18.75" customHeight="1">
      <c r="A601" s="437"/>
      <c r="B601" s="420"/>
      <c r="C601" s="442" t="s">
        <v>1312</v>
      </c>
      <c r="D601" s="263">
        <v>19600</v>
      </c>
      <c r="E601" s="263">
        <v>5765.04</v>
      </c>
      <c r="F601" s="421">
        <f>E601/D601*100</f>
        <v>29.413469387755104</v>
      </c>
      <c r="G601" s="422"/>
    </row>
    <row r="602" spans="1:7" s="423" customFormat="1" ht="27" customHeight="1">
      <c r="A602" s="436" t="s">
        <v>960</v>
      </c>
      <c r="B602" s="411"/>
      <c r="C602" s="412" t="s">
        <v>420</v>
      </c>
      <c r="D602" s="413">
        <f>SUM(D603,D606,D609,D614,D620)</f>
        <v>1278992</v>
      </c>
      <c r="E602" s="413">
        <f>SUM(E603,E606,E609,E614,E620)</f>
        <v>612959.0499999999</v>
      </c>
      <c r="F602" s="414">
        <f t="shared" si="33"/>
        <v>47.925166850144485</v>
      </c>
      <c r="G602" s="422"/>
    </row>
    <row r="603" spans="1:7" s="423" customFormat="1" ht="30.75" customHeight="1">
      <c r="A603" s="435"/>
      <c r="B603" s="416" t="s">
        <v>804</v>
      </c>
      <c r="C603" s="417" t="s">
        <v>807</v>
      </c>
      <c r="D603" s="259">
        <f>SUM(D604)</f>
        <v>41100</v>
      </c>
      <c r="E603" s="259">
        <f>SUM(E604)</f>
        <v>13700</v>
      </c>
      <c r="F603" s="418">
        <f t="shared" si="33"/>
        <v>33.33333333333333</v>
      </c>
      <c r="G603" s="422"/>
    </row>
    <row r="604" spans="1:7" s="429" customFormat="1" ht="18.75" customHeight="1">
      <c r="A604" s="424"/>
      <c r="B604" s="425"/>
      <c r="C604" s="426" t="s">
        <v>1186</v>
      </c>
      <c r="D604" s="427">
        <f>SUM(D605)</f>
        <v>41100</v>
      </c>
      <c r="E604" s="427">
        <f>SUM(E605)</f>
        <v>13700</v>
      </c>
      <c r="F604" s="428">
        <f aca="true" t="shared" si="34" ref="F604:F619">E604/D604*100</f>
        <v>33.33333333333333</v>
      </c>
      <c r="G604" s="433"/>
    </row>
    <row r="605" spans="1:7" s="423" customFormat="1" ht="18" customHeight="1">
      <c r="A605" s="419"/>
      <c r="B605" s="420"/>
      <c r="C605" s="262" t="s">
        <v>1290</v>
      </c>
      <c r="D605" s="263">
        <v>41100</v>
      </c>
      <c r="E605" s="263">
        <v>13700</v>
      </c>
      <c r="F605" s="421">
        <f t="shared" si="34"/>
        <v>33.33333333333333</v>
      </c>
      <c r="G605" s="422"/>
    </row>
    <row r="606" spans="1:7" s="423" customFormat="1" ht="18.75" customHeight="1">
      <c r="A606" s="435"/>
      <c r="B606" s="416" t="s">
        <v>968</v>
      </c>
      <c r="C606" s="447" t="s">
        <v>1233</v>
      </c>
      <c r="D606" s="441">
        <f>D607</f>
        <v>36000</v>
      </c>
      <c r="E606" s="441">
        <f>E607</f>
        <v>18000</v>
      </c>
      <c r="F606" s="418">
        <f t="shared" si="34"/>
        <v>50</v>
      </c>
      <c r="G606" s="422"/>
    </row>
    <row r="607" spans="1:7" s="429" customFormat="1" ht="18.75" customHeight="1">
      <c r="A607" s="424"/>
      <c r="B607" s="425"/>
      <c r="C607" s="426" t="s">
        <v>1186</v>
      </c>
      <c r="D607" s="427">
        <f>SUM(D608)</f>
        <v>36000</v>
      </c>
      <c r="E607" s="427">
        <f>SUM(E608)</f>
        <v>18000</v>
      </c>
      <c r="F607" s="428">
        <f t="shared" si="34"/>
        <v>50</v>
      </c>
      <c r="G607" s="433"/>
    </row>
    <row r="608" spans="1:7" s="423" customFormat="1" ht="18" customHeight="1">
      <c r="A608" s="419"/>
      <c r="B608" s="420"/>
      <c r="C608" s="262" t="s">
        <v>1290</v>
      </c>
      <c r="D608" s="263">
        <v>36000</v>
      </c>
      <c r="E608" s="263">
        <v>18000</v>
      </c>
      <c r="F608" s="421">
        <f t="shared" si="34"/>
        <v>50</v>
      </c>
      <c r="G608" s="422"/>
    </row>
    <row r="609" spans="1:7" s="423" customFormat="1" ht="25.5" customHeight="1">
      <c r="A609" s="435"/>
      <c r="B609" s="416" t="s">
        <v>799</v>
      </c>
      <c r="C609" s="417" t="s">
        <v>800</v>
      </c>
      <c r="D609" s="259">
        <f>SUM(D610)</f>
        <v>18038</v>
      </c>
      <c r="E609" s="259">
        <f>SUM(E610)</f>
        <v>7908.06</v>
      </c>
      <c r="F609" s="418">
        <f t="shared" si="34"/>
        <v>43.84111320545515</v>
      </c>
      <c r="G609" s="422"/>
    </row>
    <row r="610" spans="1:7" s="429" customFormat="1" ht="18.75" customHeight="1">
      <c r="A610" s="424"/>
      <c r="B610" s="425"/>
      <c r="C610" s="426" t="s">
        <v>1186</v>
      </c>
      <c r="D610" s="427">
        <f>SUM(D611)</f>
        <v>18038</v>
      </c>
      <c r="E610" s="427">
        <f>SUM(E611)</f>
        <v>7908.06</v>
      </c>
      <c r="F610" s="428">
        <f t="shared" si="34"/>
        <v>43.84111320545515</v>
      </c>
      <c r="G610" s="433"/>
    </row>
    <row r="611" spans="1:7" s="423" customFormat="1" ht="18" customHeight="1">
      <c r="A611" s="419"/>
      <c r="B611" s="420"/>
      <c r="C611" s="262" t="s">
        <v>1288</v>
      </c>
      <c r="D611" s="263">
        <f>SUM(D612,D613)</f>
        <v>18038</v>
      </c>
      <c r="E611" s="263">
        <f>SUM(E612,E613)</f>
        <v>7908.06</v>
      </c>
      <c r="F611" s="421">
        <f t="shared" si="34"/>
        <v>43.84111320545515</v>
      </c>
      <c r="G611" s="422"/>
    </row>
    <row r="612" spans="1:7" s="1205" customFormat="1" ht="18.75" customHeight="1">
      <c r="A612" s="1200"/>
      <c r="B612" s="1201"/>
      <c r="C612" s="1202" t="s">
        <v>334</v>
      </c>
      <c r="D612" s="1203">
        <v>16977</v>
      </c>
      <c r="E612" s="1203">
        <v>7189.52</v>
      </c>
      <c r="F612" s="1204">
        <f t="shared" si="34"/>
        <v>42.348589267832956</v>
      </c>
      <c r="G612" s="422"/>
    </row>
    <row r="613" spans="1:7" s="1205" customFormat="1" ht="18.75" customHeight="1">
      <c r="A613" s="1200"/>
      <c r="B613" s="1201"/>
      <c r="C613" s="1202" t="s">
        <v>1289</v>
      </c>
      <c r="D613" s="1203">
        <v>1061</v>
      </c>
      <c r="E613" s="1203">
        <v>718.54</v>
      </c>
      <c r="F613" s="1204">
        <f t="shared" si="34"/>
        <v>67.7229029217719</v>
      </c>
      <c r="G613" s="422"/>
    </row>
    <row r="614" spans="1:7" s="423" customFormat="1" ht="18.75" customHeight="1">
      <c r="A614" s="435"/>
      <c r="B614" s="416" t="s">
        <v>422</v>
      </c>
      <c r="C614" s="432" t="s">
        <v>423</v>
      </c>
      <c r="D614" s="259">
        <f>SUM(D615)</f>
        <v>900267</v>
      </c>
      <c r="E614" s="259">
        <f>SUM(E615)</f>
        <v>471949.97</v>
      </c>
      <c r="F614" s="418">
        <f t="shared" si="34"/>
        <v>52.42333330000988</v>
      </c>
      <c r="G614" s="422"/>
    </row>
    <row r="615" spans="1:7" s="429" customFormat="1" ht="18.75" customHeight="1">
      <c r="A615" s="424"/>
      <c r="B615" s="425"/>
      <c r="C615" s="426" t="s">
        <v>1186</v>
      </c>
      <c r="D615" s="427">
        <f>SUM(D616,D619)</f>
        <v>900267</v>
      </c>
      <c r="E615" s="427">
        <f>SUM(E616,E619)</f>
        <v>471949.97</v>
      </c>
      <c r="F615" s="428">
        <f t="shared" si="34"/>
        <v>52.42333330000988</v>
      </c>
      <c r="G615" s="433"/>
    </row>
    <row r="616" spans="1:7" s="423" customFormat="1" ht="18" customHeight="1">
      <c r="A616" s="419"/>
      <c r="B616" s="420"/>
      <c r="C616" s="262" t="s">
        <v>1288</v>
      </c>
      <c r="D616" s="263">
        <f>SUM(D617,D618)</f>
        <v>899007</v>
      </c>
      <c r="E616" s="263">
        <f>SUM(E617,E618)</f>
        <v>471723.70999999996</v>
      </c>
      <c r="F616" s="421">
        <f t="shared" si="34"/>
        <v>52.4716392642104</v>
      </c>
      <c r="G616" s="422"/>
    </row>
    <row r="617" spans="1:7" s="1205" customFormat="1" ht="18.75" customHeight="1">
      <c r="A617" s="1200"/>
      <c r="B617" s="1201"/>
      <c r="C617" s="1202" t="s">
        <v>334</v>
      </c>
      <c r="D617" s="1203">
        <v>775119</v>
      </c>
      <c r="E617" s="1203">
        <v>414620.68</v>
      </c>
      <c r="F617" s="1204">
        <f t="shared" si="34"/>
        <v>53.491229088694766</v>
      </c>
      <c r="G617" s="422"/>
    </row>
    <row r="618" spans="1:7" s="1205" customFormat="1" ht="18.75" customHeight="1">
      <c r="A618" s="1200"/>
      <c r="B618" s="1201"/>
      <c r="C618" s="1202" t="s">
        <v>1289</v>
      </c>
      <c r="D618" s="1203">
        <v>123888</v>
      </c>
      <c r="E618" s="1203">
        <v>57103.03</v>
      </c>
      <c r="F618" s="1204">
        <f t="shared" si="34"/>
        <v>46.09246254681648</v>
      </c>
      <c r="G618" s="422"/>
    </row>
    <row r="619" spans="1:7" s="423" customFormat="1" ht="18.75" customHeight="1">
      <c r="A619" s="437"/>
      <c r="B619" s="420"/>
      <c r="C619" s="442" t="s">
        <v>1312</v>
      </c>
      <c r="D619" s="263">
        <v>1260</v>
      </c>
      <c r="E619" s="263">
        <v>226.26</v>
      </c>
      <c r="F619" s="421">
        <f t="shared" si="34"/>
        <v>17.95714285714286</v>
      </c>
      <c r="G619" s="422"/>
    </row>
    <row r="620" spans="1:7" s="423" customFormat="1" ht="18" customHeight="1">
      <c r="A620" s="435"/>
      <c r="B620" s="416" t="s">
        <v>424</v>
      </c>
      <c r="C620" s="417" t="s">
        <v>825</v>
      </c>
      <c r="D620" s="259">
        <f>SUM(D621)</f>
        <v>283587</v>
      </c>
      <c r="E620" s="259">
        <f>SUM(E621)</f>
        <v>101401.02</v>
      </c>
      <c r="F620" s="418">
        <f aca="true" t="shared" si="35" ref="F620:F627">E620/D620*100</f>
        <v>35.75658263601646</v>
      </c>
      <c r="G620" s="422"/>
    </row>
    <row r="621" spans="1:7" s="429" customFormat="1" ht="18.75" customHeight="1">
      <c r="A621" s="424"/>
      <c r="B621" s="425"/>
      <c r="C621" s="426" t="s">
        <v>1186</v>
      </c>
      <c r="D621" s="427">
        <f>SUM(D622,D625)</f>
        <v>283587</v>
      </c>
      <c r="E621" s="427">
        <f>SUM(E622,E625)</f>
        <v>101401.02</v>
      </c>
      <c r="F621" s="428">
        <f t="shared" si="35"/>
        <v>35.75658263601646</v>
      </c>
      <c r="G621" s="433"/>
    </row>
    <row r="622" spans="1:7" s="423" customFormat="1" ht="18" customHeight="1">
      <c r="A622" s="419"/>
      <c r="B622" s="420"/>
      <c r="C622" s="262" t="s">
        <v>1288</v>
      </c>
      <c r="D622" s="263">
        <f>SUM(D623,D624)</f>
        <v>196800</v>
      </c>
      <c r="E622" s="263">
        <f>SUM(E623,E624)</f>
        <v>65362.54</v>
      </c>
      <c r="F622" s="421">
        <f>E622/D622*100</f>
        <v>33.21267276422764</v>
      </c>
      <c r="G622" s="422"/>
    </row>
    <row r="623" spans="1:7" s="1205" customFormat="1" ht="18.75" customHeight="1">
      <c r="A623" s="1200"/>
      <c r="B623" s="1201"/>
      <c r="C623" s="1202" t="s">
        <v>334</v>
      </c>
      <c r="D623" s="1203">
        <v>4800</v>
      </c>
      <c r="E623" s="1203">
        <v>0</v>
      </c>
      <c r="F623" s="1204">
        <f>E623/D623*100</f>
        <v>0</v>
      </c>
      <c r="G623" s="422"/>
    </row>
    <row r="624" spans="1:7" s="1205" customFormat="1" ht="18.75" customHeight="1">
      <c r="A624" s="1200"/>
      <c r="B624" s="1201"/>
      <c r="C624" s="1202" t="s">
        <v>1289</v>
      </c>
      <c r="D624" s="1203">
        <v>192000</v>
      </c>
      <c r="E624" s="1203">
        <v>65362.54</v>
      </c>
      <c r="F624" s="1204">
        <f>E624/D624*100</f>
        <v>34.04298958333333</v>
      </c>
      <c r="G624" s="422"/>
    </row>
    <row r="625" spans="1:7" s="423" customFormat="1" ht="18.75" customHeight="1">
      <c r="A625" s="437"/>
      <c r="B625" s="420"/>
      <c r="C625" s="442" t="s">
        <v>1320</v>
      </c>
      <c r="D625" s="263">
        <v>86787</v>
      </c>
      <c r="E625" s="263">
        <v>36038.48</v>
      </c>
      <c r="F625" s="421">
        <f>E625/D625*100</f>
        <v>41.525205387903725</v>
      </c>
      <c r="G625" s="422"/>
    </row>
    <row r="626" spans="1:7" s="423" customFormat="1" ht="18.75" customHeight="1">
      <c r="A626" s="436" t="s">
        <v>970</v>
      </c>
      <c r="B626" s="411"/>
      <c r="C626" s="412" t="s">
        <v>974</v>
      </c>
      <c r="D626" s="413">
        <f>SUM(D627,D632,D637,D643,D648,D653,D656,D660)</f>
        <v>4284968</v>
      </c>
      <c r="E626" s="413">
        <f>SUM(E627,E632,E637,E643,E648,E653,E656,E660)</f>
        <v>2218252.52</v>
      </c>
      <c r="F626" s="414">
        <f t="shared" si="35"/>
        <v>51.76824004286613</v>
      </c>
      <c r="G626" s="422"/>
    </row>
    <row r="627" spans="1:8" s="438" customFormat="1" ht="18.75" customHeight="1">
      <c r="A627" s="435"/>
      <c r="B627" s="416" t="s">
        <v>975</v>
      </c>
      <c r="C627" s="417" t="s">
        <v>1055</v>
      </c>
      <c r="D627" s="259">
        <f>SUM(D628)</f>
        <v>2009060</v>
      </c>
      <c r="E627" s="259">
        <f>SUM(E628)</f>
        <v>1043242.53</v>
      </c>
      <c r="F627" s="418">
        <f t="shared" si="35"/>
        <v>51.92689765362907</v>
      </c>
      <c r="G627" s="422"/>
      <c r="H627" s="423"/>
    </row>
    <row r="628" spans="1:7" s="429" customFormat="1" ht="18.75" customHeight="1">
      <c r="A628" s="424"/>
      <c r="B628" s="425"/>
      <c r="C628" s="426" t="s">
        <v>1186</v>
      </c>
      <c r="D628" s="427">
        <f>SUM(D629)</f>
        <v>2009060</v>
      </c>
      <c r="E628" s="427">
        <f>SUM(E629)</f>
        <v>1043242.53</v>
      </c>
      <c r="F628" s="428">
        <f aca="true" t="shared" si="36" ref="F628:F659">E628/D628*100</f>
        <v>51.92689765362907</v>
      </c>
      <c r="G628" s="433"/>
    </row>
    <row r="629" spans="1:7" s="423" customFormat="1" ht="18" customHeight="1">
      <c r="A629" s="419"/>
      <c r="B629" s="420"/>
      <c r="C629" s="262" t="s">
        <v>1288</v>
      </c>
      <c r="D629" s="263">
        <f>SUM(D630,D631)</f>
        <v>2009060</v>
      </c>
      <c r="E629" s="263">
        <f>SUM(E630,E631)</f>
        <v>1043242.53</v>
      </c>
      <c r="F629" s="421">
        <f t="shared" si="36"/>
        <v>51.92689765362907</v>
      </c>
      <c r="G629" s="422"/>
    </row>
    <row r="630" spans="1:7" s="1205" customFormat="1" ht="18.75" customHeight="1">
      <c r="A630" s="1200"/>
      <c r="B630" s="1201"/>
      <c r="C630" s="1202" t="s">
        <v>334</v>
      </c>
      <c r="D630" s="1203">
        <v>1619728</v>
      </c>
      <c r="E630" s="1203">
        <v>816941.11</v>
      </c>
      <c r="F630" s="1204">
        <f t="shared" si="36"/>
        <v>50.436932003398105</v>
      </c>
      <c r="G630" s="422"/>
    </row>
    <row r="631" spans="1:7" s="1205" customFormat="1" ht="18.75" customHeight="1">
      <c r="A631" s="1200"/>
      <c r="B631" s="1201"/>
      <c r="C631" s="1202" t="s">
        <v>1289</v>
      </c>
      <c r="D631" s="1203">
        <v>389332</v>
      </c>
      <c r="E631" s="1203">
        <v>226301.42</v>
      </c>
      <c r="F631" s="1204">
        <f t="shared" si="36"/>
        <v>58.125563786177345</v>
      </c>
      <c r="G631" s="422"/>
    </row>
    <row r="632" spans="1:8" s="438" customFormat="1" ht="20.25" customHeight="1">
      <c r="A632" s="435"/>
      <c r="B632" s="439" t="s">
        <v>1337</v>
      </c>
      <c r="C632" s="417" t="s">
        <v>1338</v>
      </c>
      <c r="D632" s="259">
        <f>D633</f>
        <v>81110</v>
      </c>
      <c r="E632" s="259">
        <f>E633</f>
        <v>67709.26</v>
      </c>
      <c r="F632" s="418">
        <f t="shared" si="36"/>
        <v>83.47831340155344</v>
      </c>
      <c r="G632" s="422"/>
      <c r="H632" s="423"/>
    </row>
    <row r="633" spans="1:7" s="429" customFormat="1" ht="18.75" customHeight="1">
      <c r="A633" s="424"/>
      <c r="B633" s="425"/>
      <c r="C633" s="426" t="s">
        <v>1186</v>
      </c>
      <c r="D633" s="427">
        <f>SUM(D634)</f>
        <v>81110</v>
      </c>
      <c r="E633" s="427">
        <f>SUM(E634)</f>
        <v>67709.26</v>
      </c>
      <c r="F633" s="428">
        <f t="shared" si="36"/>
        <v>83.47831340155344</v>
      </c>
      <c r="G633" s="433"/>
    </row>
    <row r="634" spans="1:7" s="423" customFormat="1" ht="18" customHeight="1">
      <c r="A634" s="419"/>
      <c r="B634" s="420"/>
      <c r="C634" s="262" t="s">
        <v>1288</v>
      </c>
      <c r="D634" s="263">
        <f>SUM(D635,D636)</f>
        <v>81110</v>
      </c>
      <c r="E634" s="263">
        <f>SUM(E635,E636)</f>
        <v>67709.26</v>
      </c>
      <c r="F634" s="421">
        <f t="shared" si="36"/>
        <v>83.47831340155344</v>
      </c>
      <c r="G634" s="422"/>
    </row>
    <row r="635" spans="1:7" s="1205" customFormat="1" ht="18.75" customHeight="1">
      <c r="A635" s="1200"/>
      <c r="B635" s="1201"/>
      <c r="C635" s="1202" t="s">
        <v>334</v>
      </c>
      <c r="D635" s="1203">
        <v>71215</v>
      </c>
      <c r="E635" s="1203">
        <v>59986.84</v>
      </c>
      <c r="F635" s="1204">
        <f t="shared" si="36"/>
        <v>84.23343396756302</v>
      </c>
      <c r="G635" s="422"/>
    </row>
    <row r="636" spans="1:7" s="1205" customFormat="1" ht="18.75" customHeight="1">
      <c r="A636" s="1200"/>
      <c r="B636" s="1201"/>
      <c r="C636" s="1202" t="s">
        <v>1289</v>
      </c>
      <c r="D636" s="1203">
        <v>9895</v>
      </c>
      <c r="E636" s="1203">
        <v>7722.42</v>
      </c>
      <c r="F636" s="1204">
        <f t="shared" si="36"/>
        <v>78.04365841334007</v>
      </c>
      <c r="G636" s="422"/>
    </row>
    <row r="637" spans="1:8" s="438" customFormat="1" ht="27" customHeight="1">
      <c r="A637" s="435"/>
      <c r="B637" s="439" t="s">
        <v>976</v>
      </c>
      <c r="C637" s="417" t="s">
        <v>427</v>
      </c>
      <c r="D637" s="259">
        <f>SUM(D638)</f>
        <v>875063</v>
      </c>
      <c r="E637" s="259">
        <f>SUM(E638)</f>
        <v>491373.63</v>
      </c>
      <c r="F637" s="418">
        <f t="shared" si="36"/>
        <v>56.15294327379857</v>
      </c>
      <c r="G637" s="422"/>
      <c r="H637" s="423"/>
    </row>
    <row r="638" spans="1:7" s="429" customFormat="1" ht="18.75" customHeight="1">
      <c r="A638" s="424"/>
      <c r="B638" s="425"/>
      <c r="C638" s="426" t="s">
        <v>1186</v>
      </c>
      <c r="D638" s="427">
        <f>SUM(D639,D642)</f>
        <v>875063</v>
      </c>
      <c r="E638" s="427">
        <f>SUM(E639,E642)</f>
        <v>491373.63</v>
      </c>
      <c r="F638" s="428">
        <f t="shared" si="36"/>
        <v>56.15294327379857</v>
      </c>
      <c r="G638" s="433"/>
    </row>
    <row r="639" spans="1:7" s="423" customFormat="1" ht="18" customHeight="1">
      <c r="A639" s="419"/>
      <c r="B639" s="420"/>
      <c r="C639" s="262" t="s">
        <v>1288</v>
      </c>
      <c r="D639" s="263">
        <f>SUM(D640,D641)</f>
        <v>874033</v>
      </c>
      <c r="E639" s="263">
        <f>SUM(E640,E641)</f>
        <v>491373.63</v>
      </c>
      <c r="F639" s="421">
        <f t="shared" si="36"/>
        <v>56.21911644068359</v>
      </c>
      <c r="G639" s="422"/>
    </row>
    <row r="640" spans="1:7" s="1205" customFormat="1" ht="18.75" customHeight="1">
      <c r="A640" s="1200"/>
      <c r="B640" s="1201"/>
      <c r="C640" s="1202" t="s">
        <v>334</v>
      </c>
      <c r="D640" s="1203">
        <v>804833</v>
      </c>
      <c r="E640" s="1203">
        <v>441900.38</v>
      </c>
      <c r="F640" s="1204">
        <f t="shared" si="36"/>
        <v>54.90584754849765</v>
      </c>
      <c r="G640" s="422"/>
    </row>
    <row r="641" spans="1:7" s="1205" customFormat="1" ht="18.75" customHeight="1">
      <c r="A641" s="1200"/>
      <c r="B641" s="1201"/>
      <c r="C641" s="1202" t="s">
        <v>1289</v>
      </c>
      <c r="D641" s="1203">
        <v>69200</v>
      </c>
      <c r="E641" s="1203">
        <v>49473.25</v>
      </c>
      <c r="F641" s="1204">
        <f t="shared" si="36"/>
        <v>71.4931358381503</v>
      </c>
      <c r="G641" s="422"/>
    </row>
    <row r="642" spans="1:7" s="423" customFormat="1" ht="18.75" customHeight="1">
      <c r="A642" s="437"/>
      <c r="B642" s="420"/>
      <c r="C642" s="442" t="s">
        <v>1312</v>
      </c>
      <c r="D642" s="263">
        <v>1030</v>
      </c>
      <c r="E642" s="263">
        <v>0</v>
      </c>
      <c r="F642" s="421">
        <f t="shared" si="36"/>
        <v>0</v>
      </c>
      <c r="G642" s="422"/>
    </row>
    <row r="643" spans="1:8" s="438" customFormat="1" ht="18.75" customHeight="1">
      <c r="A643" s="435"/>
      <c r="B643" s="416" t="s">
        <v>1045</v>
      </c>
      <c r="C643" s="432" t="s">
        <v>429</v>
      </c>
      <c r="D643" s="259">
        <f>SUM(D644)</f>
        <v>477024</v>
      </c>
      <c r="E643" s="259">
        <f>SUM(E644)</f>
        <v>269631.99</v>
      </c>
      <c r="F643" s="418">
        <f t="shared" si="36"/>
        <v>56.52377867780237</v>
      </c>
      <c r="G643" s="422"/>
      <c r="H643" s="423"/>
    </row>
    <row r="644" spans="1:7" s="429" customFormat="1" ht="18.75" customHeight="1">
      <c r="A644" s="424"/>
      <c r="B644" s="425"/>
      <c r="C644" s="426" t="s">
        <v>1186</v>
      </c>
      <c r="D644" s="427">
        <f>SUM(D645)</f>
        <v>477024</v>
      </c>
      <c r="E644" s="427">
        <f>SUM(E645)</f>
        <v>269631.99</v>
      </c>
      <c r="F644" s="428">
        <f t="shared" si="36"/>
        <v>56.52377867780237</v>
      </c>
      <c r="G644" s="433"/>
    </row>
    <row r="645" spans="1:7" s="423" customFormat="1" ht="18" customHeight="1">
      <c r="A645" s="419"/>
      <c r="B645" s="420"/>
      <c r="C645" s="262" t="s">
        <v>1288</v>
      </c>
      <c r="D645" s="263">
        <f>SUM(D646,D647)</f>
        <v>477024</v>
      </c>
      <c r="E645" s="263">
        <f>SUM(E646,E647)</f>
        <v>269631.99</v>
      </c>
      <c r="F645" s="421">
        <f t="shared" si="36"/>
        <v>56.52377867780237</v>
      </c>
      <c r="G645" s="422"/>
    </row>
    <row r="646" spans="1:7" s="1205" customFormat="1" ht="18.75" customHeight="1">
      <c r="A646" s="1200"/>
      <c r="B646" s="1201"/>
      <c r="C646" s="1202" t="s">
        <v>334</v>
      </c>
      <c r="D646" s="1203">
        <v>455420</v>
      </c>
      <c r="E646" s="1203">
        <v>253736.99</v>
      </c>
      <c r="F646" s="1204">
        <f t="shared" si="36"/>
        <v>55.714942251108866</v>
      </c>
      <c r="G646" s="422"/>
    </row>
    <row r="647" spans="1:7" s="1205" customFormat="1" ht="18.75" customHeight="1">
      <c r="A647" s="1200"/>
      <c r="B647" s="1201"/>
      <c r="C647" s="1202" t="s">
        <v>1289</v>
      </c>
      <c r="D647" s="1203">
        <v>21604</v>
      </c>
      <c r="E647" s="1203">
        <v>15895</v>
      </c>
      <c r="F647" s="1204">
        <f t="shared" si="36"/>
        <v>73.57433808553971</v>
      </c>
      <c r="G647" s="422"/>
    </row>
    <row r="648" spans="1:7" s="423" customFormat="1" ht="18.75" customHeight="1">
      <c r="A648" s="435"/>
      <c r="B648" s="416" t="s">
        <v>1048</v>
      </c>
      <c r="C648" s="432" t="s">
        <v>430</v>
      </c>
      <c r="D648" s="259">
        <f>D649</f>
        <v>212500</v>
      </c>
      <c r="E648" s="259">
        <f>E649</f>
        <v>101009.85</v>
      </c>
      <c r="F648" s="418">
        <f t="shared" si="36"/>
        <v>47.53404705882353</v>
      </c>
      <c r="G648" s="422"/>
    </row>
    <row r="649" spans="1:7" s="429" customFormat="1" ht="18.75" customHeight="1">
      <c r="A649" s="424"/>
      <c r="B649" s="425"/>
      <c r="C649" s="426" t="s">
        <v>1186</v>
      </c>
      <c r="D649" s="427">
        <f>SUM(D650)</f>
        <v>212500</v>
      </c>
      <c r="E649" s="427">
        <f>SUM(E650)</f>
        <v>101009.85</v>
      </c>
      <c r="F649" s="428">
        <f t="shared" si="36"/>
        <v>47.53404705882353</v>
      </c>
      <c r="G649" s="433"/>
    </row>
    <row r="650" spans="1:7" s="423" customFormat="1" ht="18" customHeight="1">
      <c r="A650" s="419"/>
      <c r="B650" s="420"/>
      <c r="C650" s="262" t="s">
        <v>1288</v>
      </c>
      <c r="D650" s="263">
        <f>SUM(D651,D652)</f>
        <v>212500</v>
      </c>
      <c r="E650" s="263">
        <f>SUM(E651,E652)</f>
        <v>101009.85</v>
      </c>
      <c r="F650" s="421">
        <f t="shared" si="36"/>
        <v>47.53404705882353</v>
      </c>
      <c r="G650" s="422"/>
    </row>
    <row r="651" spans="1:7" s="1205" customFormat="1" ht="18.75" customHeight="1">
      <c r="A651" s="1200"/>
      <c r="B651" s="1201"/>
      <c r="C651" s="1202" t="s">
        <v>334</v>
      </c>
      <c r="D651" s="1203">
        <v>204800</v>
      </c>
      <c r="E651" s="1203">
        <v>94009.85</v>
      </c>
      <c r="F651" s="1204">
        <f t="shared" si="36"/>
        <v>45.9032470703125</v>
      </c>
      <c r="G651" s="422"/>
    </row>
    <row r="652" spans="1:7" s="1205" customFormat="1" ht="18.75" customHeight="1">
      <c r="A652" s="1200"/>
      <c r="B652" s="1201"/>
      <c r="C652" s="1202" t="s">
        <v>1289</v>
      </c>
      <c r="D652" s="1203">
        <v>7700</v>
      </c>
      <c r="E652" s="1203">
        <v>7000</v>
      </c>
      <c r="F652" s="1204">
        <f t="shared" si="36"/>
        <v>90.9090909090909</v>
      </c>
      <c r="G652" s="422"/>
    </row>
    <row r="653" spans="1:7" s="159" customFormat="1" ht="18.75" customHeight="1">
      <c r="A653" s="435"/>
      <c r="B653" s="416" t="s">
        <v>431</v>
      </c>
      <c r="C653" s="417" t="s">
        <v>313</v>
      </c>
      <c r="D653" s="259">
        <f>SUM(D654)</f>
        <v>608960</v>
      </c>
      <c r="E653" s="259">
        <f>SUM(E654)</f>
        <v>242505.36</v>
      </c>
      <c r="F653" s="421">
        <f t="shared" si="36"/>
        <v>39.82287178139779</v>
      </c>
      <c r="G653" s="166"/>
    </row>
    <row r="654" spans="1:7" s="429" customFormat="1" ht="18.75" customHeight="1">
      <c r="A654" s="424"/>
      <c r="B654" s="425"/>
      <c r="C654" s="426" t="s">
        <v>1186</v>
      </c>
      <c r="D654" s="427">
        <f>SUM(D655)</f>
        <v>608960</v>
      </c>
      <c r="E654" s="427">
        <f>SUM(E655)</f>
        <v>242505.36</v>
      </c>
      <c r="F654" s="428">
        <f t="shared" si="36"/>
        <v>39.82287178139779</v>
      </c>
      <c r="G654" s="433"/>
    </row>
    <row r="655" spans="1:7" s="423" customFormat="1" ht="18" customHeight="1">
      <c r="A655" s="419"/>
      <c r="B655" s="420"/>
      <c r="C655" s="262" t="s">
        <v>1290</v>
      </c>
      <c r="D655" s="263">
        <v>608960</v>
      </c>
      <c r="E655" s="263">
        <v>242505.36</v>
      </c>
      <c r="F655" s="421">
        <f t="shared" si="36"/>
        <v>39.82287178139779</v>
      </c>
      <c r="G655" s="422"/>
    </row>
    <row r="656" spans="1:8" s="438" customFormat="1" ht="18.75" customHeight="1">
      <c r="A656" s="435"/>
      <c r="B656" s="416" t="s">
        <v>432</v>
      </c>
      <c r="C656" s="432" t="s">
        <v>398</v>
      </c>
      <c r="D656" s="259">
        <f>D659</f>
        <v>16160</v>
      </c>
      <c r="E656" s="259">
        <f>E659</f>
        <v>1839.9</v>
      </c>
      <c r="F656" s="418">
        <f t="shared" si="36"/>
        <v>11.385519801980198</v>
      </c>
      <c r="G656" s="422"/>
      <c r="H656" s="423"/>
    </row>
    <row r="657" spans="1:7" s="429" customFormat="1" ht="18.75" customHeight="1">
      <c r="A657" s="424"/>
      <c r="B657" s="425"/>
      <c r="C657" s="426" t="s">
        <v>1186</v>
      </c>
      <c r="D657" s="427">
        <f>SUM(D658)</f>
        <v>16160</v>
      </c>
      <c r="E657" s="427">
        <f>SUM(E658)</f>
        <v>1839.9</v>
      </c>
      <c r="F657" s="428">
        <f t="shared" si="36"/>
        <v>11.385519801980198</v>
      </c>
      <c r="G657" s="433"/>
    </row>
    <row r="658" spans="1:7" s="423" customFormat="1" ht="18" customHeight="1">
      <c r="A658" s="419"/>
      <c r="B658" s="420"/>
      <c r="C658" s="262" t="s">
        <v>1288</v>
      </c>
      <c r="D658" s="263">
        <f>SUM(D659)</f>
        <v>16160</v>
      </c>
      <c r="E658" s="263">
        <f>SUM(E659)</f>
        <v>1839.9</v>
      </c>
      <c r="F658" s="421">
        <f t="shared" si="36"/>
        <v>11.385519801980198</v>
      </c>
      <c r="G658" s="422"/>
    </row>
    <row r="659" spans="1:7" s="1205" customFormat="1" ht="18.75" customHeight="1">
      <c r="A659" s="1200"/>
      <c r="B659" s="1201"/>
      <c r="C659" s="1202" t="s">
        <v>1289</v>
      </c>
      <c r="D659" s="1203">
        <v>16160</v>
      </c>
      <c r="E659" s="1203">
        <v>1839.9</v>
      </c>
      <c r="F659" s="1204">
        <f t="shared" si="36"/>
        <v>11.385519801980198</v>
      </c>
      <c r="G659" s="422"/>
    </row>
    <row r="660" spans="1:8" s="438" customFormat="1" ht="18.75" customHeight="1">
      <c r="A660" s="435"/>
      <c r="B660" s="416" t="s">
        <v>433</v>
      </c>
      <c r="C660" s="432" t="s">
        <v>825</v>
      </c>
      <c r="D660" s="259">
        <f>SUM(D661)</f>
        <v>5091</v>
      </c>
      <c r="E660" s="259">
        <f>SUM(E661)</f>
        <v>940</v>
      </c>
      <c r="F660" s="418">
        <f aca="true" t="shared" si="37" ref="F660:F677">E660/D660*100</f>
        <v>18.4639560007857</v>
      </c>
      <c r="G660" s="422"/>
      <c r="H660" s="423"/>
    </row>
    <row r="661" spans="1:7" s="429" customFormat="1" ht="18.75" customHeight="1">
      <c r="A661" s="424"/>
      <c r="B661" s="425"/>
      <c r="C661" s="426" t="s">
        <v>1186</v>
      </c>
      <c r="D661" s="427">
        <f>SUM(D662,D664)</f>
        <v>5091</v>
      </c>
      <c r="E661" s="427">
        <f>SUM(E662,E664)</f>
        <v>940</v>
      </c>
      <c r="F661" s="428">
        <f t="shared" si="37"/>
        <v>18.4639560007857</v>
      </c>
      <c r="G661" s="433"/>
    </row>
    <row r="662" spans="1:7" s="423" customFormat="1" ht="18" customHeight="1">
      <c r="A662" s="419"/>
      <c r="B662" s="420"/>
      <c r="C662" s="262" t="s">
        <v>1288</v>
      </c>
      <c r="D662" s="263">
        <f>SUM(D663)</f>
        <v>240</v>
      </c>
      <c r="E662" s="263">
        <f>SUM(E663)</f>
        <v>240</v>
      </c>
      <c r="F662" s="421">
        <f t="shared" si="37"/>
        <v>100</v>
      </c>
      <c r="G662" s="422"/>
    </row>
    <row r="663" spans="1:7" s="1205" customFormat="1" ht="18.75" customHeight="1">
      <c r="A663" s="1200"/>
      <c r="B663" s="1201"/>
      <c r="C663" s="1202" t="s">
        <v>1289</v>
      </c>
      <c r="D663" s="1203">
        <v>240</v>
      </c>
      <c r="E663" s="1203">
        <v>240</v>
      </c>
      <c r="F663" s="1204">
        <f t="shared" si="37"/>
        <v>100</v>
      </c>
      <c r="G663" s="422"/>
    </row>
    <row r="664" spans="1:7" s="423" customFormat="1" ht="18.75" customHeight="1">
      <c r="A664" s="437"/>
      <c r="B664" s="420"/>
      <c r="C664" s="442" t="s">
        <v>1312</v>
      </c>
      <c r="D664" s="263">
        <v>4851</v>
      </c>
      <c r="E664" s="263">
        <v>700</v>
      </c>
      <c r="F664" s="421">
        <f t="shared" si="37"/>
        <v>14.43001443001443</v>
      </c>
      <c r="G664" s="422"/>
    </row>
    <row r="665" spans="1:7" s="423" customFormat="1" ht="24.75" customHeight="1">
      <c r="A665" s="436" t="s">
        <v>1049</v>
      </c>
      <c r="B665" s="411"/>
      <c r="C665" s="412" t="s">
        <v>454</v>
      </c>
      <c r="D665" s="413">
        <f>SUM(D666,D670,D674)</f>
        <v>1218027</v>
      </c>
      <c r="E665" s="413">
        <f>SUM(E666,E670,E674)</f>
        <v>408399.37</v>
      </c>
      <c r="F665" s="414">
        <f t="shared" si="37"/>
        <v>33.529582677559695</v>
      </c>
      <c r="G665" s="422"/>
    </row>
    <row r="666" spans="1:7" s="423" customFormat="1" ht="18.75" customHeight="1">
      <c r="A666" s="435"/>
      <c r="B666" s="416" t="s">
        <v>1050</v>
      </c>
      <c r="C666" s="417" t="s">
        <v>1234</v>
      </c>
      <c r="D666" s="259">
        <f aca="true" t="shared" si="38" ref="D666:E668">SUM(D667)</f>
        <v>295638</v>
      </c>
      <c r="E666" s="259">
        <f t="shared" si="38"/>
        <v>0</v>
      </c>
      <c r="F666" s="421">
        <f t="shared" si="37"/>
        <v>0</v>
      </c>
      <c r="G666" s="422"/>
    </row>
    <row r="667" spans="1:7" s="429" customFormat="1" ht="18.75" customHeight="1">
      <c r="A667" s="424"/>
      <c r="B667" s="425"/>
      <c r="C667" s="426" t="s">
        <v>1186</v>
      </c>
      <c r="D667" s="427">
        <f t="shared" si="38"/>
        <v>295638</v>
      </c>
      <c r="E667" s="427">
        <f t="shared" si="38"/>
        <v>0</v>
      </c>
      <c r="F667" s="428">
        <f t="shared" si="37"/>
        <v>0</v>
      </c>
      <c r="G667" s="433"/>
    </row>
    <row r="668" spans="1:7" s="423" customFormat="1" ht="18" customHeight="1">
      <c r="A668" s="419"/>
      <c r="B668" s="420"/>
      <c r="C668" s="262" t="s">
        <v>1288</v>
      </c>
      <c r="D668" s="263">
        <f t="shared" si="38"/>
        <v>295638</v>
      </c>
      <c r="E668" s="263">
        <f t="shared" si="38"/>
        <v>0</v>
      </c>
      <c r="F668" s="421">
        <f t="shared" si="37"/>
        <v>0</v>
      </c>
      <c r="G668" s="422"/>
    </row>
    <row r="669" spans="1:7" s="1205" customFormat="1" ht="18.75" customHeight="1">
      <c r="A669" s="1200"/>
      <c r="B669" s="1201"/>
      <c r="C669" s="1202" t="s">
        <v>1289</v>
      </c>
      <c r="D669" s="1203">
        <v>295638</v>
      </c>
      <c r="E669" s="1203">
        <v>0</v>
      </c>
      <c r="F669" s="1204">
        <f t="shared" si="37"/>
        <v>0</v>
      </c>
      <c r="G669" s="422"/>
    </row>
    <row r="670" spans="1:7" s="423" customFormat="1" ht="18.75" customHeight="1">
      <c r="A670" s="435"/>
      <c r="B670" s="416" t="s">
        <v>457</v>
      </c>
      <c r="C670" s="417" t="s">
        <v>458</v>
      </c>
      <c r="D670" s="259">
        <f>SUM(D673)</f>
        <v>4389</v>
      </c>
      <c r="E670" s="259">
        <f>SUM(E673)</f>
        <v>0</v>
      </c>
      <c r="F670" s="421">
        <f t="shared" si="37"/>
        <v>0</v>
      </c>
      <c r="G670" s="422"/>
    </row>
    <row r="671" spans="1:7" s="429" customFormat="1" ht="18.75" customHeight="1">
      <c r="A671" s="424"/>
      <c r="B671" s="425"/>
      <c r="C671" s="426" t="s">
        <v>1186</v>
      </c>
      <c r="D671" s="427">
        <f>SUM(D672)</f>
        <v>4389</v>
      </c>
      <c r="E671" s="427">
        <f>SUM(E672)</f>
        <v>0</v>
      </c>
      <c r="F671" s="428">
        <f t="shared" si="37"/>
        <v>0</v>
      </c>
      <c r="G671" s="433"/>
    </row>
    <row r="672" spans="1:7" s="423" customFormat="1" ht="18" customHeight="1">
      <c r="A672" s="419"/>
      <c r="B672" s="420"/>
      <c r="C672" s="262" t="s">
        <v>1288</v>
      </c>
      <c r="D672" s="263">
        <f>SUM(D673)</f>
        <v>4389</v>
      </c>
      <c r="E672" s="263">
        <f>SUM(E673)</f>
        <v>0</v>
      </c>
      <c r="F672" s="421">
        <f t="shared" si="37"/>
        <v>0</v>
      </c>
      <c r="G672" s="422"/>
    </row>
    <row r="673" spans="1:7" s="1205" customFormat="1" ht="18.75" customHeight="1">
      <c r="A673" s="1200"/>
      <c r="B673" s="1201"/>
      <c r="C673" s="1202" t="s">
        <v>1289</v>
      </c>
      <c r="D673" s="1203">
        <v>4389</v>
      </c>
      <c r="E673" s="1203">
        <v>0</v>
      </c>
      <c r="F673" s="1204">
        <f t="shared" si="37"/>
        <v>0</v>
      </c>
      <c r="G673" s="422"/>
    </row>
    <row r="674" spans="1:8" s="438" customFormat="1" ht="18.75" customHeight="1">
      <c r="A674" s="435"/>
      <c r="B674" s="416" t="s">
        <v>1051</v>
      </c>
      <c r="C674" s="432" t="s">
        <v>1052</v>
      </c>
      <c r="D674" s="259">
        <f>SUM(D677)</f>
        <v>918000</v>
      </c>
      <c r="E674" s="259">
        <f>SUM(E677)</f>
        <v>408399.37</v>
      </c>
      <c r="F674" s="418">
        <f t="shared" si="37"/>
        <v>44.487948801742924</v>
      </c>
      <c r="G674" s="422"/>
      <c r="H674" s="423"/>
    </row>
    <row r="675" spans="1:7" s="429" customFormat="1" ht="15" customHeight="1">
      <c r="A675" s="424"/>
      <c r="B675" s="425"/>
      <c r="C675" s="426" t="s">
        <v>1186</v>
      </c>
      <c r="D675" s="427">
        <f>SUM(D676)</f>
        <v>918000</v>
      </c>
      <c r="E675" s="427">
        <f>SUM(E676)</f>
        <v>408399.37</v>
      </c>
      <c r="F675" s="428">
        <f t="shared" si="37"/>
        <v>44.487948801742924</v>
      </c>
      <c r="G675" s="433"/>
    </row>
    <row r="676" spans="1:7" s="423" customFormat="1" ht="16.5" customHeight="1">
      <c r="A676" s="419"/>
      <c r="B676" s="420"/>
      <c r="C676" s="262" t="s">
        <v>1288</v>
      </c>
      <c r="D676" s="263">
        <f>SUM(D677)</f>
        <v>918000</v>
      </c>
      <c r="E676" s="263">
        <f>SUM(E677)</f>
        <v>408399.37</v>
      </c>
      <c r="F676" s="421">
        <f t="shared" si="37"/>
        <v>44.487948801742924</v>
      </c>
      <c r="G676" s="422"/>
    </row>
    <row r="677" spans="1:7" s="1205" customFormat="1" ht="15.75" customHeight="1">
      <c r="A677" s="1207"/>
      <c r="B677" s="1208"/>
      <c r="C677" s="1209" t="s">
        <v>1289</v>
      </c>
      <c r="D677" s="1210">
        <v>918000</v>
      </c>
      <c r="E677" s="1210">
        <v>408399.37</v>
      </c>
      <c r="F677" s="1211">
        <f t="shared" si="37"/>
        <v>44.487948801742924</v>
      </c>
      <c r="G677" s="422"/>
    </row>
    <row r="678" spans="1:7" s="159" customFormat="1" ht="18.75" customHeight="1">
      <c r="A678" s="243"/>
      <c r="B678" s="244"/>
      <c r="C678" s="448" t="s">
        <v>929</v>
      </c>
      <c r="D678" s="231">
        <f>SUM(D679,D689)</f>
        <v>136626370.63</v>
      </c>
      <c r="E678" s="231">
        <f>SUM(E679,E689)</f>
        <v>52026994.54</v>
      </c>
      <c r="F678" s="444">
        <f aca="true" t="shared" si="39" ref="F678:F689">E678/D678*100</f>
        <v>38.079760371367186</v>
      </c>
      <c r="G678" s="166"/>
    </row>
    <row r="679" spans="1:7" s="461" customFormat="1" ht="18.75" customHeight="1">
      <c r="A679" s="455"/>
      <c r="B679" s="456"/>
      <c r="C679" s="457" t="s">
        <v>1186</v>
      </c>
      <c r="D679" s="458">
        <f>SUM(D680,D683,D685,D686,D687,D688)</f>
        <v>98324633.63</v>
      </c>
      <c r="E679" s="458">
        <f>SUM(E680,E683,E685,E686,E687,E688)</f>
        <v>48015341.18</v>
      </c>
      <c r="F679" s="459">
        <f t="shared" si="39"/>
        <v>48.83348089623591</v>
      </c>
      <c r="G679" s="460"/>
    </row>
    <row r="680" spans="1:7" s="468" customFormat="1" ht="18" customHeight="1">
      <c r="A680" s="462"/>
      <c r="B680" s="463"/>
      <c r="C680" s="464" t="s">
        <v>1288</v>
      </c>
      <c r="D680" s="465">
        <f>SUM(D681,D682)</f>
        <v>67762887.63</v>
      </c>
      <c r="E680" s="465">
        <f>SUM(E681,E682)</f>
        <v>31947926.18</v>
      </c>
      <c r="F680" s="466">
        <f t="shared" si="39"/>
        <v>47.14664220692981</v>
      </c>
      <c r="G680" s="467"/>
    </row>
    <row r="681" spans="1:7" s="1197" customFormat="1" ht="18.75" customHeight="1">
      <c r="A681" s="1192"/>
      <c r="B681" s="1193"/>
      <c r="C681" s="1194" t="s">
        <v>1289</v>
      </c>
      <c r="D681" s="1195">
        <f>SUM(D13,D20,D25,D30,D36,D41,D48,D55,D61,D75,D86,D90,D94,D102,D106,D114,D122,D127,D143,D150,D157,D162,D167,D173,D182,D188,D197,D203,D212,D218)+D222+D227+D233+D241+D247+D252+D260+D266+D270+D274+D280+D292+D306+D312+D318+D325+D332+D340+D345+D355+D360+D366+D370+D379+D385+D389+D409+D417+D428</f>
        <v>34838008.629999995</v>
      </c>
      <c r="E681" s="1195">
        <f>SUM(E13,E20,E25,E30,E36,E41,E48,E55,E61,E75,E86,E90,E94,E102,E106,E114,E122,E127,E143,E150,E157,E162,E167,E173,E182,E188,E197,E203,E212,E218)+E222+E227+E233+E241+E247+E252+E260+E266+E270+E274+E280+E292+E306+E312+E318+E325+E332+E340+E345+E355+E360+E366+E370+E379+E385+E389+E409+E417+E428</f>
        <v>15472285.089999996</v>
      </c>
      <c r="F681" s="1196">
        <f t="shared" si="39"/>
        <v>44.4120823733776</v>
      </c>
      <c r="G681" s="467"/>
    </row>
    <row r="682" spans="1:7" s="1197" customFormat="1" ht="18.75" customHeight="1">
      <c r="A682" s="1192"/>
      <c r="B682" s="1193"/>
      <c r="C682" s="1194" t="s">
        <v>334</v>
      </c>
      <c r="D682" s="1195">
        <f>SUM(D12,D35,D47,D54,D60,D85,D101,D113,D121,D126,D138,D142,D149,D161,D172,D187,D196,D202,D211,D226,D232,D240,D246,D251,D259,D279)+D286+D291+D305+D311+D317+D324+D331+D339+D344+D359+D416+D427</f>
        <v>32924879</v>
      </c>
      <c r="E682" s="1195">
        <f>SUM(E12,E35,E47,E54,E60,E85,E101,E113,E121,E126,E138,E142,E149,E161,E172,E187,E196,E202,E211,E226,E232,E240,E246,E251,E259,E279)+E286+E291+E305+E311+E317+E324+E331+E339+E344+E359+E416+E427</f>
        <v>16475641.090000004</v>
      </c>
      <c r="F682" s="1196">
        <f t="shared" si="39"/>
        <v>50.04009609268421</v>
      </c>
      <c r="G682" s="467"/>
    </row>
    <row r="683" spans="1:7" s="468" customFormat="1" ht="18.75" customHeight="1">
      <c r="A683" s="469"/>
      <c r="B683" s="470"/>
      <c r="C683" s="464" t="s">
        <v>1319</v>
      </c>
      <c r="D683" s="465">
        <f>SUM(D128)</f>
        <v>20280</v>
      </c>
      <c r="E683" s="465">
        <f>SUM(E128)</f>
        <v>6180.51</v>
      </c>
      <c r="F683" s="466">
        <f t="shared" si="39"/>
        <v>30.4758875739645</v>
      </c>
      <c r="G683" s="1160"/>
    </row>
    <row r="684" spans="1:7" s="1197" customFormat="1" ht="18.75" customHeight="1">
      <c r="A684" s="1192"/>
      <c r="B684" s="1193"/>
      <c r="C684" s="1194" t="s">
        <v>1062</v>
      </c>
      <c r="D684" s="1195">
        <v>20280</v>
      </c>
      <c r="E684" s="1195">
        <v>6180.51</v>
      </c>
      <c r="F684" s="1196">
        <f t="shared" si="39"/>
        <v>30.4758875739645</v>
      </c>
      <c r="G684" s="467"/>
    </row>
    <row r="685" spans="1:7" s="468" customFormat="1" ht="18.75" customHeight="1">
      <c r="A685" s="469"/>
      <c r="B685" s="470"/>
      <c r="C685" s="464" t="s">
        <v>1290</v>
      </c>
      <c r="D685" s="465">
        <f>SUM(D16,D69,D130,D190,D198,D204,D207,D214,D234,D242,D253,D261,D275,D281,D287,D293,D333,D375,D390,D397,D402,D405,D418,D429)</f>
        <v>13575116</v>
      </c>
      <c r="E685" s="465">
        <f>SUM(E16,E69,E130,E190,E198,E204,E207,E214,E234,E242,E253,E261,E275,E281,E287,E293,E333,E375,E390,E397,E402,E405,E418,E429)</f>
        <v>8281059.4</v>
      </c>
      <c r="F685" s="466">
        <f t="shared" si="39"/>
        <v>61.00175792236324</v>
      </c>
      <c r="G685" s="1160"/>
    </row>
    <row r="686" spans="1:7" s="468" customFormat="1" ht="18.75" customHeight="1">
      <c r="A686" s="469"/>
      <c r="B686" s="470"/>
      <c r="C686" s="471" t="s">
        <v>1312</v>
      </c>
      <c r="D686" s="465">
        <f>SUM(D107,D115,D144,D151,D163,D189,D213,D228,D235,D282,D294,D298,D301,D307,D313,D319,D346,D351,D361,D419,D430)</f>
        <v>10913268</v>
      </c>
      <c r="E686" s="465">
        <f>SUM(E107,E115,E144,E151,E163,E189,E213,E228,E235,E282,E294,E298,E301,E307,E313,E319,E346,E351,E361,E419,E430)</f>
        <v>5467986.040000001</v>
      </c>
      <c r="F686" s="466">
        <f t="shared" si="39"/>
        <v>50.10402053720298</v>
      </c>
      <c r="G686" s="467"/>
    </row>
    <row r="687" spans="1:7" s="468" customFormat="1" ht="18.75" customHeight="1">
      <c r="A687" s="1164"/>
      <c r="B687" s="1212"/>
      <c r="C687" s="471" t="s">
        <v>1320</v>
      </c>
      <c r="D687" s="465">
        <f>SUM(D62,D131,D295,D334)</f>
        <v>2328082</v>
      </c>
      <c r="E687" s="465">
        <f>SUM(E62,E131,E295,E334)</f>
        <v>922491.11</v>
      </c>
      <c r="F687" s="466">
        <f t="shared" si="39"/>
        <v>39.624511078218035</v>
      </c>
      <c r="G687" s="1160"/>
    </row>
    <row r="688" spans="1:7" s="468" customFormat="1" ht="21.75" customHeight="1">
      <c r="A688" s="1164"/>
      <c r="B688" s="1212"/>
      <c r="C688" s="471" t="s">
        <v>1314</v>
      </c>
      <c r="D688" s="465">
        <f>SUM(D177)</f>
        <v>3725000</v>
      </c>
      <c r="E688" s="465">
        <f>SUM(E177)</f>
        <v>1389697.94</v>
      </c>
      <c r="F688" s="466">
        <f t="shared" si="39"/>
        <v>37.307327248322146</v>
      </c>
      <c r="G688" s="1160"/>
    </row>
    <row r="689" spans="1:7" s="461" customFormat="1" ht="18.75" customHeight="1">
      <c r="A689" s="455"/>
      <c r="B689" s="456"/>
      <c r="C689" s="457" t="s">
        <v>1291</v>
      </c>
      <c r="D689" s="458">
        <f>SUM(D690,D691,D692)</f>
        <v>38301737</v>
      </c>
      <c r="E689" s="458">
        <f>SUM(E690,E691,E692)</f>
        <v>4011653.3600000003</v>
      </c>
      <c r="F689" s="459">
        <f t="shared" si="39"/>
        <v>10.473815743656745</v>
      </c>
      <c r="G689" s="460"/>
    </row>
    <row r="690" spans="1:7" s="468" customFormat="1" ht="18.75" customHeight="1">
      <c r="A690" s="462"/>
      <c r="B690" s="463"/>
      <c r="C690" s="464" t="s">
        <v>1293</v>
      </c>
      <c r="D690" s="465">
        <f>SUM(D50,D65,D80,D96,D133,D192,D255,D372,D381,D392,D412,D423)</f>
        <v>33486800</v>
      </c>
      <c r="E690" s="465">
        <f>SUM(E50,E65,E80,E96,E133,E192,E255,E372,E381,E392,E412,E423)</f>
        <v>2858568.72</v>
      </c>
      <c r="F690" s="466">
        <f>E690/D690*100</f>
        <v>8.536404553435982</v>
      </c>
      <c r="G690" s="1160"/>
    </row>
    <row r="691" spans="1:7" s="468" customFormat="1" ht="18" customHeight="1">
      <c r="A691" s="462"/>
      <c r="B691" s="463"/>
      <c r="C691" s="464" t="s">
        <v>1317</v>
      </c>
      <c r="D691" s="465">
        <f>SUM(D71,D399,D411,D432)</f>
        <v>1406000</v>
      </c>
      <c r="E691" s="465">
        <f>SUM(E71,E399,E411,E432)</f>
        <v>463246.75</v>
      </c>
      <c r="F691" s="466">
        <f>E691/D691*100</f>
        <v>32.94784850640114</v>
      </c>
      <c r="G691" s="1160"/>
    </row>
    <row r="692" spans="1:7" s="119" customFormat="1" ht="20.25" customHeight="1">
      <c r="A692" s="1213"/>
      <c r="B692" s="1214"/>
      <c r="C692" s="1215" t="s">
        <v>1292</v>
      </c>
      <c r="D692" s="1216">
        <f>SUM(D43,D77,D109,D117,D153,D327,D348,D393)</f>
        <v>3408937</v>
      </c>
      <c r="E692" s="1216">
        <f>SUM(E43,E77,E109,E117,E153,E327,E348,E393)</f>
        <v>689837.89</v>
      </c>
      <c r="F692" s="1217">
        <f>E692/D692*100</f>
        <v>20.23615836842981</v>
      </c>
      <c r="G692" s="1191"/>
    </row>
    <row r="693" spans="1:10" ht="18.75" customHeight="1">
      <c r="A693" s="243"/>
      <c r="B693" s="244"/>
      <c r="C693" s="448" t="s">
        <v>780</v>
      </c>
      <c r="D693" s="231">
        <f>SUM(D694,D703)</f>
        <v>69900486</v>
      </c>
      <c r="E693" s="231">
        <f>SUM(E694,E703)</f>
        <v>30268150.87999999</v>
      </c>
      <c r="F693" s="1218">
        <f>E693/D693*100</f>
        <v>43.3017745827976</v>
      </c>
      <c r="G693" s="453"/>
      <c r="H693" s="454"/>
      <c r="I693" s="452"/>
      <c r="J693" s="452"/>
    </row>
    <row r="694" spans="1:7" s="461" customFormat="1" ht="18.75" customHeight="1">
      <c r="A694" s="455"/>
      <c r="B694" s="456"/>
      <c r="C694" s="457" t="s">
        <v>1186</v>
      </c>
      <c r="D694" s="458">
        <f>SUM(D695,D698,D699,D700,D701,D702)</f>
        <v>59022039</v>
      </c>
      <c r="E694" s="458">
        <f>SUM(E695,E698,E699,E700,E701,E702)</f>
        <v>28591797.639999993</v>
      </c>
      <c r="F694" s="459">
        <f aca="true" t="shared" si="40" ref="F694:F703">E694/D694*100</f>
        <v>48.44257861033909</v>
      </c>
      <c r="G694" s="460"/>
    </row>
    <row r="695" spans="1:7" s="468" customFormat="1" ht="18" customHeight="1">
      <c r="A695" s="462"/>
      <c r="B695" s="463"/>
      <c r="C695" s="464" t="s">
        <v>1288</v>
      </c>
      <c r="D695" s="465">
        <f>SUM(D696,D697)</f>
        <v>51172182</v>
      </c>
      <c r="E695" s="465">
        <f>SUM(E696,E697)</f>
        <v>25390805.489999995</v>
      </c>
      <c r="F695" s="466">
        <f t="shared" si="40"/>
        <v>49.618375644016886</v>
      </c>
      <c r="G695" s="467"/>
    </row>
    <row r="696" spans="1:7" s="1197" customFormat="1" ht="18.75" customHeight="1">
      <c r="A696" s="1192"/>
      <c r="B696" s="1193"/>
      <c r="C696" s="1194" t="s">
        <v>1289</v>
      </c>
      <c r="D696" s="1195">
        <f>SUM(D438,D447,D454,D458,D462,D469,D474,D479,D494,D503,D508,D513,D520,D528,D533,D538,D542,D567,D573,D585,D590,D595,D600,D613,D618,D624)+D631+D636+D641+D647+D652+D659+D663+D669+D673+D677</f>
        <v>19985949</v>
      </c>
      <c r="E696" s="1195">
        <f>SUM(E438,E447,E454,E458,E462,E469,E474,E479,E494,E503,E508,E513,E520,E528,E533,E538,E542,E567,E573,E585,E590,E595,E600,E613,E618,E624)+E631+E636+E641+E647+E652+E659+E663+E669+E673+E677</f>
        <v>9622626.869999995</v>
      </c>
      <c r="F696" s="1196">
        <f t="shared" si="40"/>
        <v>48.14695999674569</v>
      </c>
      <c r="G696" s="467"/>
    </row>
    <row r="697" spans="1:7" s="1197" customFormat="1" ht="18.75" customHeight="1">
      <c r="A697" s="1192"/>
      <c r="B697" s="1193"/>
      <c r="C697" s="1194" t="s">
        <v>334</v>
      </c>
      <c r="D697" s="1195">
        <f>SUM(D439,D463,D470,D475,D480,D493,D502,D507,D512,D519,D527,D532,D553,D561,D566,D577,D584,D589,D594,D599,D612,D617,D623,D630,D635,D640,D646,D651)</f>
        <v>31186233</v>
      </c>
      <c r="E697" s="1195">
        <f>SUM(E439,E463,E470,E475,E480,E493,E502,E507,E512,E519,E527,E532,E553,E561,E566,E577,E584,E589,E594,E599,E612,E617,E623,E630,E635,E640,E646,E651)</f>
        <v>15768178.619999997</v>
      </c>
      <c r="F697" s="1196">
        <f t="shared" si="40"/>
        <v>50.56134423160372</v>
      </c>
      <c r="G697" s="467"/>
    </row>
    <row r="698" spans="1:7" s="468" customFormat="1" ht="18.75" customHeight="1" hidden="1">
      <c r="A698" s="469"/>
      <c r="B698" s="470"/>
      <c r="C698" s="464" t="s">
        <v>1319</v>
      </c>
      <c r="D698" s="465"/>
      <c r="E698" s="465"/>
      <c r="F698" s="466" t="e">
        <f t="shared" si="40"/>
        <v>#DIV/0!</v>
      </c>
      <c r="G698" s="1160"/>
    </row>
    <row r="699" spans="1:7" s="468" customFormat="1" ht="18.75" customHeight="1">
      <c r="A699" s="469"/>
      <c r="B699" s="470"/>
      <c r="C699" s="464" t="s">
        <v>1290</v>
      </c>
      <c r="D699" s="465">
        <f>SUM(D484,D489,D514,D521,D547,D554,D568,D578,D605,D608,D655)</f>
        <v>3803515</v>
      </c>
      <c r="E699" s="465">
        <f>SUM(E484,E489,E514,E521,E547,E554,E568,E578,E605,E608,E655)</f>
        <v>1705131.67</v>
      </c>
      <c r="F699" s="466">
        <f t="shared" si="40"/>
        <v>44.830417916059226</v>
      </c>
      <c r="G699" s="1160"/>
    </row>
    <row r="700" spans="1:7" s="468" customFormat="1" ht="18.75" customHeight="1">
      <c r="A700" s="469"/>
      <c r="B700" s="470"/>
      <c r="C700" s="471" t="s">
        <v>1312</v>
      </c>
      <c r="D700" s="465">
        <f>SUM(D440,D464,D495,D515,D522,D534,D543,D569,D579,D601,D619,D642,D664)</f>
        <v>2203040</v>
      </c>
      <c r="E700" s="465">
        <f>SUM(E440,E464,E495,E515,E522,E534,E543,E569,E579,E601,E619,E642,E664)</f>
        <v>981759.99</v>
      </c>
      <c r="F700" s="466">
        <f t="shared" si="40"/>
        <v>44.56387491829472</v>
      </c>
      <c r="G700" s="467"/>
    </row>
    <row r="701" spans="1:7" s="468" customFormat="1" ht="18.75" customHeight="1">
      <c r="A701" s="1164"/>
      <c r="B701" s="1212"/>
      <c r="C701" s="471" t="s">
        <v>1320</v>
      </c>
      <c r="D701" s="465">
        <f>SUM(D523,D580,D625)</f>
        <v>1843302</v>
      </c>
      <c r="E701" s="465">
        <f>SUM(E523,E580,E625)</f>
        <v>514100.49</v>
      </c>
      <c r="F701" s="466">
        <f t="shared" si="40"/>
        <v>27.89019325102452</v>
      </c>
      <c r="G701" s="1160"/>
    </row>
    <row r="702" spans="1:7" s="468" customFormat="1" ht="21.75" customHeight="1" hidden="1">
      <c r="A702" s="1164"/>
      <c r="B702" s="1212"/>
      <c r="C702" s="471" t="s">
        <v>1314</v>
      </c>
      <c r="D702" s="465"/>
      <c r="E702" s="465"/>
      <c r="F702" s="466" t="e">
        <f t="shared" si="40"/>
        <v>#DIV/0!</v>
      </c>
      <c r="G702" s="1160"/>
    </row>
    <row r="703" spans="1:7" s="461" customFormat="1" ht="17.25" customHeight="1">
      <c r="A703" s="455"/>
      <c r="B703" s="456"/>
      <c r="C703" s="457" t="s">
        <v>1291</v>
      </c>
      <c r="D703" s="458">
        <f>SUM(D704,D705,D706)</f>
        <v>10878447</v>
      </c>
      <c r="E703" s="458">
        <f>SUM(E704,E705,E706)</f>
        <v>1676353.2399999998</v>
      </c>
      <c r="F703" s="459">
        <f t="shared" si="40"/>
        <v>15.40985804315634</v>
      </c>
      <c r="G703" s="460"/>
    </row>
    <row r="704" spans="1:7" s="468" customFormat="1" ht="15.75" customHeight="1">
      <c r="A704" s="462"/>
      <c r="B704" s="463"/>
      <c r="C704" s="464" t="s">
        <v>1293</v>
      </c>
      <c r="D704" s="465">
        <f>SUM(D442,D556)</f>
        <v>10459000</v>
      </c>
      <c r="E704" s="465">
        <f>SUM(E442,E556)</f>
        <v>1385173.64</v>
      </c>
      <c r="F704" s="466">
        <f>E704/D704*100</f>
        <v>13.243843962137872</v>
      </c>
      <c r="G704" s="1160"/>
    </row>
    <row r="705" spans="1:7" s="468" customFormat="1" ht="18.75" customHeight="1">
      <c r="A705" s="462"/>
      <c r="B705" s="463"/>
      <c r="C705" s="464" t="s">
        <v>1317</v>
      </c>
      <c r="D705" s="465">
        <f>SUM(D486,D549,D557)</f>
        <v>349325</v>
      </c>
      <c r="E705" s="465">
        <f>SUM(E486,E549,E557)</f>
        <v>291057.6</v>
      </c>
      <c r="F705" s="466">
        <f>E705/D705*100</f>
        <v>83.3200028626637</v>
      </c>
      <c r="G705" s="1160"/>
    </row>
    <row r="706" spans="1:7" s="119" customFormat="1" ht="18.75" customHeight="1">
      <c r="A706" s="1213"/>
      <c r="B706" s="1214"/>
      <c r="C706" s="1215" t="s">
        <v>1292</v>
      </c>
      <c r="D706" s="1216">
        <f>SUM(D449,D497)</f>
        <v>70122</v>
      </c>
      <c r="E706" s="1216">
        <f>SUM(E449,E497)</f>
        <v>122</v>
      </c>
      <c r="F706" s="1217">
        <f>E706/D706*100</f>
        <v>0.1739824876643564</v>
      </c>
      <c r="G706" s="1191"/>
    </row>
    <row r="707" spans="1:7" s="1225" customFormat="1" ht="20.25" customHeight="1">
      <c r="A707" s="1219"/>
      <c r="B707" s="1220"/>
      <c r="C707" s="1221" t="s">
        <v>1011</v>
      </c>
      <c r="D707" s="1222">
        <f>SUM(D708,D718)</f>
        <v>206526856.63</v>
      </c>
      <c r="E707" s="1222">
        <f>SUM(E708,E718)</f>
        <v>82295145.41999999</v>
      </c>
      <c r="F707" s="1223">
        <f aca="true" t="shared" si="41" ref="F707:F718">E707/D707*100</f>
        <v>39.84718828478302</v>
      </c>
      <c r="G707" s="1224"/>
    </row>
    <row r="708" spans="1:7" s="639" customFormat="1" ht="14.25" customHeight="1">
      <c r="A708" s="633"/>
      <c r="B708" s="634"/>
      <c r="C708" s="635" t="s">
        <v>1186</v>
      </c>
      <c r="D708" s="636">
        <f>SUM(D709,D712,D714,D715,D716,D717)</f>
        <v>157346672.63</v>
      </c>
      <c r="E708" s="636">
        <f>SUM(E709,E712,E714,E715,E716,E717)</f>
        <v>76607138.82</v>
      </c>
      <c r="F708" s="637">
        <f t="shared" si="41"/>
        <v>48.686850213948496</v>
      </c>
      <c r="G708" s="638"/>
    </row>
    <row r="709" spans="1:7" s="646" customFormat="1" ht="18" customHeight="1">
      <c r="A709" s="640"/>
      <c r="B709" s="641"/>
      <c r="C709" s="642" t="s">
        <v>1288</v>
      </c>
      <c r="D709" s="643">
        <f>SUM(D710,D711)</f>
        <v>118935069.63</v>
      </c>
      <c r="E709" s="643">
        <f>SUM(E710,E711)</f>
        <v>57338731.669999994</v>
      </c>
      <c r="F709" s="644">
        <f t="shared" si="41"/>
        <v>48.21011317215134</v>
      </c>
      <c r="G709" s="645"/>
    </row>
    <row r="710" spans="1:7" s="1231" customFormat="1" ht="18.75" customHeight="1">
      <c r="A710" s="1226"/>
      <c r="B710" s="1227"/>
      <c r="C710" s="1228" t="s">
        <v>1289</v>
      </c>
      <c r="D710" s="1229">
        <f>SUM(D681,D696)</f>
        <v>54823957.629999995</v>
      </c>
      <c r="E710" s="1229">
        <f>SUM(E681,E696)</f>
        <v>25094911.959999993</v>
      </c>
      <c r="F710" s="1230">
        <f t="shared" si="41"/>
        <v>45.773623512119286</v>
      </c>
      <c r="G710" s="645"/>
    </row>
    <row r="711" spans="1:7" s="1231" customFormat="1" ht="18.75" customHeight="1">
      <c r="A711" s="1226"/>
      <c r="B711" s="1227"/>
      <c r="C711" s="1228" t="s">
        <v>334</v>
      </c>
      <c r="D711" s="1229">
        <f>SUM(D682,D697)</f>
        <v>64111112</v>
      </c>
      <c r="E711" s="1229">
        <f>SUM(E682,E697)</f>
        <v>32243819.71</v>
      </c>
      <c r="F711" s="1230">
        <f t="shared" si="41"/>
        <v>50.29365222989737</v>
      </c>
      <c r="G711" s="645"/>
    </row>
    <row r="712" spans="1:7" s="646" customFormat="1" ht="18.75" customHeight="1">
      <c r="A712" s="647"/>
      <c r="B712" s="648"/>
      <c r="C712" s="642" t="s">
        <v>1319</v>
      </c>
      <c r="D712" s="643">
        <f>SUM(D683)</f>
        <v>20280</v>
      </c>
      <c r="E712" s="643">
        <f>SUM(E683)</f>
        <v>6180.51</v>
      </c>
      <c r="F712" s="644">
        <f t="shared" si="41"/>
        <v>30.4758875739645</v>
      </c>
      <c r="G712" s="1232"/>
    </row>
    <row r="713" spans="1:7" s="1197" customFormat="1" ht="18.75" customHeight="1">
      <c r="A713" s="1226"/>
      <c r="B713" s="1227"/>
      <c r="C713" s="1228" t="s">
        <v>1062</v>
      </c>
      <c r="D713" s="1229">
        <v>20280</v>
      </c>
      <c r="E713" s="1229">
        <v>6180.51</v>
      </c>
      <c r="F713" s="1230">
        <f t="shared" si="41"/>
        <v>30.4758875739645</v>
      </c>
      <c r="G713" s="467"/>
    </row>
    <row r="714" spans="1:7" s="646" customFormat="1" ht="18.75" customHeight="1">
      <c r="A714" s="647"/>
      <c r="B714" s="648"/>
      <c r="C714" s="642" t="s">
        <v>1290</v>
      </c>
      <c r="D714" s="643">
        <f aca="true" t="shared" si="42" ref="D714:E716">SUM(D685,D699)</f>
        <v>17378631</v>
      </c>
      <c r="E714" s="643">
        <f t="shared" si="42"/>
        <v>9986191.07</v>
      </c>
      <c r="F714" s="644">
        <f t="shared" si="41"/>
        <v>57.46247256184909</v>
      </c>
      <c r="G714" s="1232"/>
    </row>
    <row r="715" spans="1:7" s="646" customFormat="1" ht="18.75" customHeight="1">
      <c r="A715" s="647"/>
      <c r="B715" s="648"/>
      <c r="C715" s="649" t="s">
        <v>1312</v>
      </c>
      <c r="D715" s="643">
        <f t="shared" si="42"/>
        <v>13116308</v>
      </c>
      <c r="E715" s="643">
        <f t="shared" si="42"/>
        <v>6449746.030000001</v>
      </c>
      <c r="F715" s="644">
        <f t="shared" si="41"/>
        <v>49.17348715812408</v>
      </c>
      <c r="G715" s="645"/>
    </row>
    <row r="716" spans="1:7" s="646" customFormat="1" ht="18" customHeight="1">
      <c r="A716" s="1233"/>
      <c r="B716" s="1234"/>
      <c r="C716" s="649" t="s">
        <v>1320</v>
      </c>
      <c r="D716" s="643">
        <f t="shared" si="42"/>
        <v>4171384</v>
      </c>
      <c r="E716" s="643">
        <f t="shared" si="42"/>
        <v>1436591.6</v>
      </c>
      <c r="F716" s="644">
        <f t="shared" si="41"/>
        <v>34.43920770660289</v>
      </c>
      <c r="G716" s="1232"/>
    </row>
    <row r="717" spans="1:7" s="646" customFormat="1" ht="18" customHeight="1">
      <c r="A717" s="1233"/>
      <c r="B717" s="1234"/>
      <c r="C717" s="649" t="s">
        <v>1314</v>
      </c>
      <c r="D717" s="643">
        <f>SUM(D688)</f>
        <v>3725000</v>
      </c>
      <c r="E717" s="643">
        <f>SUM(E688)</f>
        <v>1389697.94</v>
      </c>
      <c r="F717" s="644">
        <f t="shared" si="41"/>
        <v>37.307327248322146</v>
      </c>
      <c r="G717" s="1232"/>
    </row>
    <row r="718" spans="1:7" s="639" customFormat="1" ht="18.75" customHeight="1">
      <c r="A718" s="633"/>
      <c r="B718" s="634"/>
      <c r="C718" s="635" t="s">
        <v>1291</v>
      </c>
      <c r="D718" s="636">
        <f>SUM(D719,D720,D721)</f>
        <v>49180184</v>
      </c>
      <c r="E718" s="636">
        <f>SUM(E719,E720,E721)</f>
        <v>5688006.6</v>
      </c>
      <c r="F718" s="637">
        <f t="shared" si="41"/>
        <v>11.565647253373431</v>
      </c>
      <c r="G718" s="638"/>
    </row>
    <row r="719" spans="1:7" s="646" customFormat="1" ht="18.75" customHeight="1">
      <c r="A719" s="640"/>
      <c r="B719" s="641"/>
      <c r="C719" s="642" t="s">
        <v>1293</v>
      </c>
      <c r="D719" s="643">
        <f aca="true" t="shared" si="43" ref="D719:E721">SUM(D690,D704)</f>
        <v>43945800</v>
      </c>
      <c r="E719" s="643">
        <f t="shared" si="43"/>
        <v>4243742.36</v>
      </c>
      <c r="F719" s="644">
        <f>E719/D719*100</f>
        <v>9.656764377938279</v>
      </c>
      <c r="G719" s="1232"/>
    </row>
    <row r="720" spans="1:7" s="646" customFormat="1" ht="18.75" customHeight="1">
      <c r="A720" s="640"/>
      <c r="B720" s="641"/>
      <c r="C720" s="642" t="s">
        <v>1317</v>
      </c>
      <c r="D720" s="643">
        <f t="shared" si="43"/>
        <v>1755325</v>
      </c>
      <c r="E720" s="643">
        <f t="shared" si="43"/>
        <v>754304.35</v>
      </c>
      <c r="F720" s="644">
        <f>E720/D720*100</f>
        <v>42.97234700126757</v>
      </c>
      <c r="G720" s="1232"/>
    </row>
    <row r="721" spans="1:7" s="1241" customFormat="1" ht="20.25" customHeight="1" thickBot="1">
      <c r="A721" s="1235"/>
      <c r="B721" s="1236"/>
      <c r="C721" s="1237" t="s">
        <v>1292</v>
      </c>
      <c r="D721" s="1238">
        <f t="shared" si="43"/>
        <v>3479059</v>
      </c>
      <c r="E721" s="1238">
        <f t="shared" si="43"/>
        <v>689959.89</v>
      </c>
      <c r="F721" s="1239">
        <f>E721/D721*100</f>
        <v>19.831796183968137</v>
      </c>
      <c r="G721" s="1240"/>
    </row>
    <row r="722" spans="1:10" ht="18.75" customHeight="1">
      <c r="A722" s="1175"/>
      <c r="B722" s="1176"/>
      <c r="C722" s="1177" t="s">
        <v>1056</v>
      </c>
      <c r="D722" s="1178">
        <f>SUM(D678,D693)</f>
        <v>206526856.63</v>
      </c>
      <c r="E722" s="1178">
        <f>SUM(E678,E693)</f>
        <v>82295145.41999999</v>
      </c>
      <c r="F722" s="1242">
        <f>E722/D722*100</f>
        <v>39.84718828478302</v>
      </c>
      <c r="G722" s="450"/>
      <c r="H722" s="451"/>
      <c r="I722" s="452"/>
      <c r="J722" s="452"/>
    </row>
    <row r="723" spans="1:10" ht="18.75" customHeight="1" hidden="1">
      <c r="A723" s="1243"/>
      <c r="B723" s="1244"/>
      <c r="C723" s="1245"/>
      <c r="D723" s="263"/>
      <c r="E723" s="263"/>
      <c r="F723" s="421"/>
      <c r="G723" s="1246"/>
      <c r="H723" s="454"/>
      <c r="I723" s="452"/>
      <c r="J723" s="452"/>
    </row>
    <row r="724" spans="1:10" ht="12" customHeight="1" hidden="1">
      <c r="A724" s="1243"/>
      <c r="B724" s="1244"/>
      <c r="C724" s="1247"/>
      <c r="D724" s="1248"/>
      <c r="E724" s="1248"/>
      <c r="F724" s="1249"/>
      <c r="G724" s="450"/>
      <c r="H724" s="451"/>
      <c r="I724" s="452"/>
      <c r="J724" s="452"/>
    </row>
    <row r="725" spans="1:10" s="401" customFormat="1" ht="18.75" customHeight="1" hidden="1">
      <c r="A725" s="1250"/>
      <c r="B725" s="403"/>
      <c r="C725" s="1251"/>
      <c r="D725" s="1203"/>
      <c r="E725" s="1203"/>
      <c r="F725" s="1204"/>
      <c r="G725" s="1252"/>
      <c r="H725" s="1188"/>
      <c r="I725" s="1253"/>
      <c r="J725" s="1253"/>
    </row>
    <row r="726" spans="1:10" s="401" customFormat="1" ht="18.75" customHeight="1" hidden="1">
      <c r="A726" s="1250"/>
      <c r="B726" s="403"/>
      <c r="C726" s="1251"/>
      <c r="D726" s="1203"/>
      <c r="E726" s="1203"/>
      <c r="F726" s="1204"/>
      <c r="G726" s="1252"/>
      <c r="H726" s="1188"/>
      <c r="I726" s="1253"/>
      <c r="J726" s="1253"/>
    </row>
    <row r="727" spans="1:10" s="401" customFormat="1" ht="18.75" customHeight="1" hidden="1">
      <c r="A727" s="1250"/>
      <c r="B727" s="403"/>
      <c r="C727" s="1251"/>
      <c r="D727" s="1203"/>
      <c r="E727" s="1203"/>
      <c r="F727" s="1204"/>
      <c r="G727" s="1252"/>
      <c r="H727" s="1188"/>
      <c r="I727" s="1253"/>
      <c r="J727" s="1253"/>
    </row>
    <row r="728" spans="1:10" s="401" customFormat="1" ht="18.75" customHeight="1" hidden="1">
      <c r="A728" s="1250"/>
      <c r="B728" s="403"/>
      <c r="C728" s="1251"/>
      <c r="D728" s="1203"/>
      <c r="E728" s="1203"/>
      <c r="F728" s="1204"/>
      <c r="G728" s="1252"/>
      <c r="H728" s="1188"/>
      <c r="I728" s="1253"/>
      <c r="J728" s="1253"/>
    </row>
    <row r="729" spans="1:10" ht="18.75" customHeight="1" hidden="1">
      <c r="A729" s="1250"/>
      <c r="B729" s="403"/>
      <c r="C729" s="1254"/>
      <c r="D729" s="1255"/>
      <c r="E729" s="1255"/>
      <c r="F729" s="1256"/>
      <c r="G729" s="1257"/>
      <c r="H729" s="1258"/>
      <c r="I729" s="452"/>
      <c r="J729" s="452"/>
    </row>
    <row r="730" spans="1:10" ht="24.75" customHeight="1" hidden="1">
      <c r="A730" s="1250"/>
      <c r="B730" s="403"/>
      <c r="C730" s="1254"/>
      <c r="D730" s="1255"/>
      <c r="E730" s="1255"/>
      <c r="F730" s="1256"/>
      <c r="G730" s="1252"/>
      <c r="H730" s="1188"/>
      <c r="I730" s="452"/>
      <c r="J730" s="452"/>
    </row>
    <row r="731" spans="1:10" s="401" customFormat="1" ht="18.75" customHeight="1" hidden="1">
      <c r="A731" s="1250"/>
      <c r="B731" s="403"/>
      <c r="C731" s="1251"/>
      <c r="D731" s="1203"/>
      <c r="E731" s="1203"/>
      <c r="F731" s="1204"/>
      <c r="G731" s="1252"/>
      <c r="H731" s="1188"/>
      <c r="I731" s="1253"/>
      <c r="J731" s="1253"/>
    </row>
    <row r="732" spans="1:10" s="401" customFormat="1" ht="18.75" customHeight="1" hidden="1">
      <c r="A732" s="1250"/>
      <c r="B732" s="403"/>
      <c r="C732" s="1251"/>
      <c r="D732" s="1203"/>
      <c r="E732" s="1203"/>
      <c r="F732" s="1204"/>
      <c r="G732" s="1252"/>
      <c r="H732" s="1188"/>
      <c r="I732" s="1253"/>
      <c r="J732" s="1253"/>
    </row>
    <row r="733" spans="1:10" ht="18.75" customHeight="1" hidden="1">
      <c r="A733" s="1243"/>
      <c r="B733" s="1244"/>
      <c r="C733" s="1245"/>
      <c r="D733" s="263"/>
      <c r="E733" s="263"/>
      <c r="F733" s="421"/>
      <c r="G733" s="1252"/>
      <c r="H733" s="1188"/>
      <c r="I733" s="452"/>
      <c r="J733" s="452"/>
    </row>
    <row r="734" spans="1:10" ht="12" customHeight="1" hidden="1">
      <c r="A734" s="1243"/>
      <c r="B734" s="1244"/>
      <c r="C734" s="1247"/>
      <c r="D734" s="1248"/>
      <c r="E734" s="1248"/>
      <c r="F734" s="1249"/>
      <c r="G734" s="1252"/>
      <c r="H734" s="1259"/>
      <c r="I734" s="452"/>
      <c r="J734" s="452"/>
    </row>
    <row r="735" spans="1:10" s="401" customFormat="1" ht="18.75" customHeight="1" hidden="1" thickBot="1">
      <c r="A735" s="1260"/>
      <c r="B735" s="1261"/>
      <c r="C735" s="1262"/>
      <c r="D735" s="1263"/>
      <c r="E735" s="1263"/>
      <c r="F735" s="1264"/>
      <c r="G735" s="1252"/>
      <c r="H735" s="1188"/>
      <c r="I735" s="1253"/>
      <c r="J735" s="1253"/>
    </row>
    <row r="736" spans="1:10" s="159" customFormat="1" ht="18.75" customHeight="1">
      <c r="A736" s="473"/>
      <c r="B736" s="473"/>
      <c r="C736" s="474" t="s">
        <v>753</v>
      </c>
      <c r="D736" s="475">
        <v>206526856.63</v>
      </c>
      <c r="E736" s="475">
        <v>82295145.42</v>
      </c>
      <c r="F736" s="476"/>
      <c r="G736" s="453"/>
      <c r="H736" s="454"/>
      <c r="I736" s="454"/>
      <c r="J736" s="454"/>
    </row>
    <row r="737" spans="1:10" s="159" customFormat="1" ht="18.75" customHeight="1">
      <c r="A737" s="473"/>
      <c r="B737" s="473"/>
      <c r="C737" s="474" t="s">
        <v>785</v>
      </c>
      <c r="D737" s="475">
        <f>D722-D736</f>
        <v>0</v>
      </c>
      <c r="E737" s="475">
        <f>E722-E736</f>
        <v>0</v>
      </c>
      <c r="F737" s="476"/>
      <c r="G737" s="453"/>
      <c r="H737" s="454"/>
      <c r="I737" s="454"/>
      <c r="J737" s="454"/>
    </row>
    <row r="738" spans="3:10" ht="18.75" customHeight="1" hidden="1">
      <c r="C738" s="399" t="s">
        <v>310</v>
      </c>
      <c r="D738" s="1265">
        <f>SUM(D679,D691)</f>
        <v>99730633.63</v>
      </c>
      <c r="E738" s="1265">
        <f>SUM(E679,E691)</f>
        <v>48478587.93</v>
      </c>
      <c r="F738" s="1266">
        <f>E738/D738*100</f>
        <v>48.60952564470336</v>
      </c>
      <c r="I738" s="452"/>
      <c r="J738" s="452"/>
    </row>
    <row r="739" spans="3:10" ht="13.5" customHeight="1" hidden="1">
      <c r="C739" s="399" t="s">
        <v>8</v>
      </c>
      <c r="D739" s="1265"/>
      <c r="E739" s="1265"/>
      <c r="F739" s="1266" t="e">
        <f>E739/D739*100</f>
        <v>#DIV/0!</v>
      </c>
      <c r="G739" s="453"/>
      <c r="H739" s="454"/>
      <c r="I739" s="452"/>
      <c r="J739" s="452"/>
    </row>
    <row r="740" spans="3:10" ht="14.25" customHeight="1" hidden="1">
      <c r="C740" s="399" t="s">
        <v>9</v>
      </c>
      <c r="D740" s="1265"/>
      <c r="E740" s="1265"/>
      <c r="F740" s="1266" t="e">
        <f>E740/D740*100</f>
        <v>#DIV/0!</v>
      </c>
      <c r="G740" s="453"/>
      <c r="H740" s="454"/>
      <c r="I740" s="452"/>
      <c r="J740" s="452"/>
    </row>
    <row r="741" spans="3:10" ht="15" customHeight="1" hidden="1">
      <c r="C741" s="1267" t="s">
        <v>10</v>
      </c>
      <c r="D741" s="1268"/>
      <c r="E741" s="1268"/>
      <c r="F741" s="1269" t="e">
        <f>E741/D741*100</f>
        <v>#DIV/0!</v>
      </c>
      <c r="G741" s="453"/>
      <c r="H741" s="454"/>
      <c r="I741" s="452"/>
      <c r="J741" s="452"/>
    </row>
    <row r="742" spans="3:10" ht="15" customHeight="1" hidden="1">
      <c r="C742" s="398" t="s">
        <v>11</v>
      </c>
      <c r="D742" s="1265">
        <f>SUM(D739:D741)</f>
        <v>0</v>
      </c>
      <c r="E742" s="1265">
        <f>SUM(E739:E741)</f>
        <v>0</v>
      </c>
      <c r="F742" s="1266" t="e">
        <f>E742/D742*100</f>
        <v>#DIV/0!</v>
      </c>
      <c r="G742" s="453"/>
      <c r="H742" s="454"/>
      <c r="I742" s="452"/>
      <c r="J742" s="452"/>
    </row>
    <row r="743" spans="3:10" ht="14.25" customHeight="1" hidden="1">
      <c r="C743" s="399" t="s">
        <v>12</v>
      </c>
      <c r="D743" s="1265">
        <f>SUM(D7-D742)</f>
        <v>136626370.63</v>
      </c>
      <c r="E743" s="1265">
        <f>SUM(E7-E742)</f>
        <v>52026994.54</v>
      </c>
      <c r="F743" s="1266"/>
      <c r="I743" s="452"/>
      <c r="J743" s="452"/>
    </row>
    <row r="744" spans="1:10" s="159" customFormat="1" ht="11.25" customHeight="1" hidden="1">
      <c r="A744" s="398"/>
      <c r="B744" s="398"/>
      <c r="C744" s="399" t="s">
        <v>24</v>
      </c>
      <c r="D744" s="1265"/>
      <c r="E744" s="1265"/>
      <c r="F744" s="1266"/>
      <c r="G744" s="166"/>
      <c r="I744" s="454"/>
      <c r="J744" s="454"/>
    </row>
    <row r="745" spans="1:7" s="159" customFormat="1" ht="12" customHeight="1" hidden="1">
      <c r="A745" s="1270"/>
      <c r="B745" s="1270"/>
      <c r="C745" s="1271" t="s">
        <v>3</v>
      </c>
      <c r="D745" s="1272"/>
      <c r="E745" s="1272"/>
      <c r="F745" s="1266" t="e">
        <f aca="true" t="shared" si="44" ref="F745:F754">E745/D745*100</f>
        <v>#DIV/0!</v>
      </c>
      <c r="G745" s="166"/>
    </row>
    <row r="746" spans="1:7" s="159" customFormat="1" ht="12" customHeight="1" hidden="1">
      <c r="A746" s="1270"/>
      <c r="B746" s="1270"/>
      <c r="C746" s="1271" t="s">
        <v>4</v>
      </c>
      <c r="D746" s="1272"/>
      <c r="E746" s="1272"/>
      <c r="F746" s="1266" t="e">
        <f t="shared" si="44"/>
        <v>#DIV/0!</v>
      </c>
      <c r="G746" s="166"/>
    </row>
    <row r="747" spans="1:7" s="159" customFormat="1" ht="12" customHeight="1" hidden="1">
      <c r="A747" s="1270"/>
      <c r="B747" s="1270"/>
      <c r="C747" s="1273" t="s">
        <v>5</v>
      </c>
      <c r="D747" s="1274"/>
      <c r="E747" s="1274"/>
      <c r="F747" s="1269" t="e">
        <f t="shared" si="44"/>
        <v>#DIV/0!</v>
      </c>
      <c r="G747" s="166"/>
    </row>
    <row r="748" spans="1:7" s="1205" customFormat="1" ht="18" customHeight="1" hidden="1">
      <c r="A748" s="1275"/>
      <c r="B748" s="1275"/>
      <c r="C748" s="1276" t="s">
        <v>13</v>
      </c>
      <c r="D748" s="1277">
        <f>SUM(D745:D747)</f>
        <v>0</v>
      </c>
      <c r="E748" s="1277">
        <f>SUM(E745:E747)</f>
        <v>0</v>
      </c>
      <c r="F748" s="1266" t="e">
        <f t="shared" si="44"/>
        <v>#DIV/0!</v>
      </c>
      <c r="G748" s="422"/>
    </row>
    <row r="749" spans="1:7" s="159" customFormat="1" ht="12" customHeight="1" hidden="1">
      <c r="A749" s="1270"/>
      <c r="B749" s="1270"/>
      <c r="C749" s="1271" t="s">
        <v>6</v>
      </c>
      <c r="D749" s="1272"/>
      <c r="E749" s="1272"/>
      <c r="F749" s="1266" t="e">
        <f t="shared" si="44"/>
        <v>#DIV/0!</v>
      </c>
      <c r="G749" s="166"/>
    </row>
    <row r="750" spans="1:7" s="159" customFormat="1" ht="12" customHeight="1" hidden="1">
      <c r="A750" s="1270"/>
      <c r="B750" s="1270"/>
      <c r="C750" s="1273" t="s">
        <v>7</v>
      </c>
      <c r="D750" s="1274"/>
      <c r="E750" s="1274"/>
      <c r="F750" s="1269" t="e">
        <f t="shared" si="44"/>
        <v>#DIV/0!</v>
      </c>
      <c r="G750" s="166"/>
    </row>
    <row r="751" spans="1:7" s="161" customFormat="1" ht="14.25" customHeight="1" hidden="1">
      <c r="A751" s="1275"/>
      <c r="B751" s="1275"/>
      <c r="C751" s="1276" t="s">
        <v>15</v>
      </c>
      <c r="D751" s="1278">
        <f>SUM(D749:D750)</f>
        <v>0</v>
      </c>
      <c r="E751" s="1278">
        <f>SUM(E749:E750)</f>
        <v>0</v>
      </c>
      <c r="F751" s="1266" t="e">
        <f t="shared" si="44"/>
        <v>#DIV/0!</v>
      </c>
      <c r="G751" s="166"/>
    </row>
    <row r="752" spans="1:10" s="159" customFormat="1" ht="12" customHeight="1" hidden="1">
      <c r="A752" s="1270"/>
      <c r="B752" s="1270"/>
      <c r="C752" s="1279" t="s">
        <v>743</v>
      </c>
      <c r="D752" s="1280"/>
      <c r="E752" s="1280"/>
      <c r="F752" s="1266" t="e">
        <f t="shared" si="44"/>
        <v>#DIV/0!</v>
      </c>
      <c r="G752" s="166"/>
      <c r="I752" s="400"/>
      <c r="J752" s="400"/>
    </row>
    <row r="753" spans="1:10" s="159" customFormat="1" ht="12" customHeight="1" hidden="1">
      <c r="A753" s="1270"/>
      <c r="B753" s="1270"/>
      <c r="C753" s="1281" t="s">
        <v>746</v>
      </c>
      <c r="D753" s="1274"/>
      <c r="E753" s="1274"/>
      <c r="F753" s="1269" t="e">
        <f t="shared" si="44"/>
        <v>#DIV/0!</v>
      </c>
      <c r="G753" s="166"/>
      <c r="I753" s="400"/>
      <c r="J753" s="400"/>
    </row>
    <row r="754" spans="1:7" s="161" customFormat="1" ht="15" customHeight="1" hidden="1">
      <c r="A754" s="1275"/>
      <c r="B754" s="1275"/>
      <c r="C754" s="1275" t="s">
        <v>14</v>
      </c>
      <c r="D754" s="1277">
        <f>SUM(D752:D753)</f>
        <v>0</v>
      </c>
      <c r="E754" s="1277">
        <f>SUM(E752:E753)</f>
        <v>0</v>
      </c>
      <c r="F754" s="1266" t="e">
        <f t="shared" si="44"/>
        <v>#DIV/0!</v>
      </c>
      <c r="G754" s="166"/>
    </row>
    <row r="755" ht="18.75" customHeight="1" hidden="1"/>
  </sheetData>
  <sheetProtection password="CF93" sheet="1"/>
  <mergeCells count="4">
    <mergeCell ref="A433:C433"/>
    <mergeCell ref="A3:E3"/>
    <mergeCell ref="E1:F1"/>
    <mergeCell ref="A7:C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igorecka</dc:creator>
  <cp:keywords/>
  <dc:description/>
  <cp:lastModifiedBy>kwisniewska</cp:lastModifiedBy>
  <cp:lastPrinted>2010-10-06T06:48:18Z</cp:lastPrinted>
  <dcterms:created xsi:type="dcterms:W3CDTF">2002-07-29T09:23:44Z</dcterms:created>
  <dcterms:modified xsi:type="dcterms:W3CDTF">2010-10-06T06:48:32Z</dcterms:modified>
  <cp:category/>
  <cp:version/>
  <cp:contentType/>
  <cp:contentStatus/>
</cp:coreProperties>
</file>