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12" activeTab="8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" sheetId="6" r:id="rId6"/>
    <sheet name="7D majatkowe" sheetId="7" r:id="rId7"/>
    <sheet name="8D wg źródeł" sheetId="8" r:id="rId8"/>
    <sheet name="9W" sheetId="9" r:id="rId9"/>
    <sheet name="10W dotacje z budżetu miasta" sheetId="10" r:id="rId10"/>
    <sheet name="11W jednostek pom." sheetId="11" r:id="rId11"/>
    <sheet name="12D i W dot. z budż. państwa" sheetId="12" r:id="rId12"/>
    <sheet name="13DiW zlecone" sheetId="13" r:id="rId13"/>
    <sheet name="14DiW porozumienia" sheetId="14" r:id="rId14"/>
    <sheet name="15DiW porozumienia z jst" sheetId="15" r:id="rId15"/>
    <sheet name="16Programy unijne" sheetId="16" r:id="rId16"/>
    <sheet name="17Inwestycje WIM" sheetId="17" r:id="rId17"/>
    <sheet name="18D i W własne jednostek" sheetId="18" r:id="rId18"/>
    <sheet name="19niewygasy2008" sheetId="19" r:id="rId19"/>
    <sheet name="20ZGM" sheetId="20" r:id="rId20"/>
    <sheet name="21Przedszkola" sheetId="21" r:id="rId21"/>
    <sheet name="22 Wyspiarz" sheetId="22" r:id="rId22"/>
    <sheet name="23PFGZGiK" sheetId="23" r:id="rId23"/>
    <sheet name="24GFOŚiGW" sheetId="24" r:id="rId24"/>
    <sheet name="25PFOŚiGW" sheetId="25" r:id="rId25"/>
    <sheet name="26MDK" sheetId="26" r:id="rId26"/>
    <sheet name="27Bibloteka" sheetId="27" r:id="rId27"/>
    <sheet name="28Muzeum" sheetId="28" r:id="rId28"/>
    <sheet name="29SP ZOZ SZPITAL" sheetId="29" r:id="rId29"/>
    <sheet name="30SP ZOZ ZP-O" sheetId="30" r:id="rId30"/>
  </sheets>
  <definedNames>
    <definedName name="_xlnm.Print_Area" localSheetId="9">'10W dotacje z budżetu miasta'!$A$1:$F$100</definedName>
    <definedName name="_xlnm.Print_Area" localSheetId="10">'11W jednostek pom.'!$A$1:$G$11</definedName>
    <definedName name="_xlnm.Print_Area" localSheetId="11">'12D i W dot. z budż. państwa'!$A$1:$I$53</definedName>
    <definedName name="_xlnm.Print_Area" localSheetId="12">'13DiW zlecone'!$A$1:$I$58</definedName>
    <definedName name="_xlnm.Print_Area" localSheetId="13">'14DiW porozumienia'!$A$1:$I$26</definedName>
    <definedName name="_xlnm.Print_Area" localSheetId="14">'15DiW porozumienia z jst'!$A$1:$I$15</definedName>
    <definedName name="_xlnm.Print_Area" localSheetId="15">'16Programy unijne'!$A$1:$N$48</definedName>
    <definedName name="_xlnm.Print_Area" localSheetId="16">'17Inwestycje WIM'!$A$1:$F$81</definedName>
    <definedName name="_xlnm.Print_Area" localSheetId="17">'18D i W własne jednostek'!$A$1:$I$35</definedName>
    <definedName name="_xlnm.Print_Area" localSheetId="18">'19niewygasy2008'!$A$1:$G$9</definedName>
    <definedName name="_xlnm.Print_Area" localSheetId="0">'1Zmiany D i W'!$A$1:$F$35</definedName>
    <definedName name="_xlnm.Print_Area" localSheetId="19">'20ZGM'!$A$1:$F$55</definedName>
    <definedName name="_xlnm.Print_Area" localSheetId="20">'21Przedszkola'!$A$1:$F$42</definedName>
    <definedName name="_xlnm.Print_Area" localSheetId="21">'22 Wyspiarz'!$A$1:$F$51</definedName>
    <definedName name="_xlnm.Print_Area" localSheetId="22">'23PFGZGiK'!$A$1:$F$30</definedName>
    <definedName name="_xlnm.Print_Area" localSheetId="23">'24GFOŚiGW'!$A$1:$F$27</definedName>
    <definedName name="_xlnm.Print_Area" localSheetId="24">'25PFOŚiGW'!$A$1:$F$20</definedName>
    <definedName name="_xlnm.Print_Area" localSheetId="25">'26MDK'!$A$1:$E$28</definedName>
    <definedName name="_xlnm.Print_Area" localSheetId="26">'27Bibloteka'!$A$1:$E$33</definedName>
    <definedName name="_xlnm.Print_Area" localSheetId="27">'28Muzeum'!$A$1:$E$34</definedName>
    <definedName name="_xlnm.Print_Area" localSheetId="28">'29SP ZOZ SZPITAL'!$A$1:$E$82</definedName>
    <definedName name="_xlnm.Print_Area" localSheetId="1">'2Zmiany P i R'!$A$1:$F$13</definedName>
    <definedName name="_xlnm.Print_Area" localSheetId="29">'30SP ZOZ ZP-O'!$A$1:$E$56</definedName>
    <definedName name="_xlnm.Print_Area" localSheetId="2">'3Wysokość i przezn. nadwyżki'!$A$1:$F$40</definedName>
    <definedName name="_xlnm.Print_Area" localSheetId="3">'4D i W wg działów'!$A$1:$H$33</definedName>
    <definedName name="_xlnm.Print_Area" localSheetId="4">'5PiR'!$A$1:$F$17</definedName>
    <definedName name="_xlnm.Print_Area" localSheetId="5">'6D'!$A$1:$G$376</definedName>
    <definedName name="_xlnm.Print_Area" localSheetId="6">'7D majatkowe'!$A$1:$G$72</definedName>
    <definedName name="_xlnm.Print_Area" localSheetId="7">'8D wg źródeł'!$A$1:$E$80</definedName>
    <definedName name="_xlnm.Print_Area" localSheetId="8">'9W'!$A$1:$F$713</definedName>
    <definedName name="_xlnm.Print_Titles" localSheetId="9">'10W dotacje z budżetu miasta'!$6:$7</definedName>
    <definedName name="_xlnm.Print_Titles" localSheetId="11">'12D i W dot. z budż. państwa'!$5:$7</definedName>
    <definedName name="_xlnm.Print_Titles" localSheetId="12">'13DiW zlecone'!$5:$8</definedName>
    <definedName name="_xlnm.Print_Titles" localSheetId="13">'14DiW porozumienia'!$5:$8</definedName>
    <definedName name="_xlnm.Print_Titles" localSheetId="14">'15DiW porozumienia z jst'!$5:$8</definedName>
    <definedName name="_xlnm.Print_Titles" localSheetId="15">'16Programy unijne'!$4:$6</definedName>
    <definedName name="_xlnm.Print_Titles" localSheetId="16">'17Inwestycje WIM'!$5:$6</definedName>
    <definedName name="_xlnm.Print_Titles" localSheetId="17">'18D i W własne jednostek'!$6:$8</definedName>
    <definedName name="_xlnm.Print_Titles" localSheetId="0">'1Zmiany D i W'!$5:$7</definedName>
    <definedName name="_xlnm.Print_Titles" localSheetId="19">'20ZGM'!$6:$7</definedName>
    <definedName name="_xlnm.Print_Titles" localSheetId="20">'21Przedszkola'!$4:$5</definedName>
    <definedName name="_xlnm.Print_Titles" localSheetId="21">'22 Wyspiarz'!$6:$7</definedName>
    <definedName name="_xlnm.Print_Titles" localSheetId="22">'23PFGZGiK'!$6:$7</definedName>
    <definedName name="_xlnm.Print_Titles" localSheetId="28">'29SP ZOZ SZPITAL'!$5:$6</definedName>
    <definedName name="_xlnm.Print_Titles" localSheetId="29">'30SP ZOZ ZP-O'!$6:$7</definedName>
    <definedName name="_xlnm.Print_Titles" localSheetId="3">'4D i W wg działów'!$5:$7</definedName>
    <definedName name="_xlnm.Print_Titles" localSheetId="5">'6D'!$5:$6</definedName>
    <definedName name="_xlnm.Print_Titles" localSheetId="6">'7D majatkowe'!$5:$6</definedName>
    <definedName name="_xlnm.Print_Titles" localSheetId="7">'8D wg źródeł'!$5:$6</definedName>
    <definedName name="_xlnm.Print_Titles" localSheetId="8">'9W'!$5:$6</definedName>
  </definedNames>
  <calcPr fullCalcOnLoad="1"/>
</workbook>
</file>

<file path=xl/sharedStrings.xml><?xml version="1.0" encoding="utf-8"?>
<sst xmlns="http://schemas.openxmlformats.org/spreadsheetml/2006/main" count="3931" uniqueCount="1312">
  <si>
    <t>Stan środków obrotowych na koniec okresu sprawozdawczego</t>
  </si>
  <si>
    <t>Stan środków obrotowych na początek okresu sprawozdawczego</t>
  </si>
  <si>
    <t>Składki  na ubezpieczenie zdrowotne opłacane za osoby pobierające niektóre świadczenia z pomocy społecznej, niektóre świadczenia rodzinne oraz za osoby uczestniczące w zajęciach w centrum integracji społecznej</t>
  </si>
  <si>
    <t xml:space="preserve"> SAMODZIELNY PUBLICZNY ZAKŁAD OPIEKI ZDROWOTNEJ SZPITAL MIEJSKI
 IM. JANA GARDUŁY</t>
  </si>
  <si>
    <t>IV</t>
  </si>
  <si>
    <t>z tego:</t>
  </si>
  <si>
    <t>Wydatki bieżące</t>
  </si>
  <si>
    <t>Transport i łączność</t>
  </si>
  <si>
    <t>Oświata i wychowanie</t>
  </si>
  <si>
    <t>Ochrona zdrowia</t>
  </si>
  <si>
    <t>Gospodarka komunalna i ochrona środowiska</t>
  </si>
  <si>
    <t>Kultura i ochrona dziedzictwa narodowego</t>
  </si>
  <si>
    <t>Kultura fizyczna i sport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</si>
  <si>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</si>
  <si>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</si>
  <si>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</si>
  <si>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</si>
  <si>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</si>
  <si>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</si>
  <si>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</si>
  <si>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</si>
  <si>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</si>
  <si>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</si>
  <si>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</si>
  <si>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</si>
  <si>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</si>
  <si>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>Edukacyjna opieka wychowawcza</t>
  </si>
  <si>
    <t>Ogółem dochody i wydatki</t>
  </si>
  <si>
    <t>Ośrodki wparcia</t>
  </si>
  <si>
    <t>550</t>
  </si>
  <si>
    <t>Hotele i restauracje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</si>
  <si>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</si>
  <si>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</si>
  <si>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</si>
  <si>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z funduszy celowych</t>
  </si>
  <si>
    <t>środki pozyskane z innych źródeł i od innych jst</t>
  </si>
  <si>
    <t>- najem i dzierżawa składników majątkowych</t>
  </si>
  <si>
    <t>- osobowe pracowników</t>
  </si>
  <si>
    <t>- bezosobowe i agencyjno-prowizyjne</t>
  </si>
  <si>
    <t>- na działalność bieżącą</t>
  </si>
  <si>
    <t>- na inwestycje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</si>
  <si>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</si>
  <si>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</si>
  <si>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</si>
  <si>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</si>
  <si>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</si>
  <si>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</si>
  <si>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</si>
  <si>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</si>
  <si>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wg zadań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</si>
  <si>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</si>
  <si>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</si>
  <si>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</si>
  <si>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</si>
  <si>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</si>
  <si>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</si>
  <si>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</si>
  <si>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Zadania w zakresie upowszechniania turystyki</t>
  </si>
  <si>
    <t>75416</t>
  </si>
  <si>
    <t>Straż Miejska</t>
  </si>
  <si>
    <t>400</t>
  </si>
  <si>
    <t>13.1</t>
  </si>
  <si>
    <t>13.2</t>
  </si>
  <si>
    <t>13.3</t>
  </si>
  <si>
    <t>11.1</t>
  </si>
  <si>
    <t>15.1</t>
  </si>
  <si>
    <t>15.2</t>
  </si>
  <si>
    <t>usługi dezynfekcyjne</t>
  </si>
  <si>
    <t>MIEJSKA BIBLIOTEKA PUBLICZNA</t>
  </si>
  <si>
    <t>Dotacje celowe otrzymane z budżetu państwa na realizację inwestycji i zakupów inwestycyjnych własnych gmin (związków gmin)</t>
  </si>
  <si>
    <t>Tabela nr 5</t>
  </si>
  <si>
    <t>75615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</si>
  <si>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</si>
  <si>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</si>
  <si>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</si>
  <si>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</si>
  <si>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</si>
  <si>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</si>
  <si>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WYDATKI  KTÓRE NIE WYGASŁY Z UPŁYWEM ROKU BUDŻETOWEGO 2008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</si>
  <si>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</si>
  <si>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</si>
  <si>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</si>
  <si>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</si>
  <si>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</si>
  <si>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</si>
  <si>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</si>
  <si>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</si>
  <si>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</si>
  <si>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</si>
  <si>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</si>
  <si>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</si>
  <si>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</si>
  <si>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</si>
  <si>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</si>
  <si>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</si>
  <si>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</si>
  <si>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</si>
  <si>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</si>
  <si>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</si>
  <si>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</si>
  <si>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</si>
  <si>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 xml:space="preserve">    - od działalności gospodarczej osób fizycznych, 
      opłacany w formie karty podatkowej</t>
  </si>
  <si>
    <t>1. Dotacje przedmiotowe (§ 2650 - zakłady budżetowe)</t>
  </si>
  <si>
    <t>Różnica bieżące</t>
  </si>
  <si>
    <t>Środki otrzymane od osób fizycznych i prawnych</t>
  </si>
  <si>
    <t>Różnica majątkowe</t>
  </si>
  <si>
    <t>Warsztaty Terapii Zajęciowej</t>
  </si>
  <si>
    <t>wpływy z przekształcenia i sprzedaży nieruchomości i składników majątkowych</t>
  </si>
  <si>
    <t>DOTACJE INWESTYCYJNE</t>
  </si>
  <si>
    <t>Inne wydatki osobowe</t>
  </si>
  <si>
    <t>3. Dotacje celowe na zadania własne miasta realizowane przez podmioty należące i nienależące do sektora finansów publicznych (§2320 - inne jst, §2720-nie zaliczane do fp, §2810 - fundacje, § 2820 - stowarzyszenia, §2830 - pozostałe nie zaliczane do fp)</t>
  </si>
  <si>
    <t>Prace remontowe i konserwatorskie przy obiektach zabytkowych</t>
  </si>
  <si>
    <t>5. Dotacje inwestycyjne (§6210 - zakłady budżetowe, §6220 - inne jednostki sektora fp, §6230 - inne jednostki nie zaliczane do sektora fp ) oraz wpłaty na fundusz celowy (§6170)</t>
  </si>
  <si>
    <t>Zakupy inwestycyjne dla Policji</t>
  </si>
  <si>
    <t>Współfinansowanie programów i projektów realizowanych ze środków z funduszy strukturalnych, Funduszu Spójności, Europejskiego Funduszu Rybackiego oraz z funduszy unijnych finansujących Wspólną Politykę Rolną</t>
  </si>
  <si>
    <t>Środki na utrzymanie rzecznych przepraw promowych oraz na remonty, utrzymanie, ochronę i zarządzanie drogami krajowymi i wojewódzkimi w granicach miast na prawach powiatu</t>
  </si>
  <si>
    <t>852/
853</t>
  </si>
  <si>
    <t>85219/
85395</t>
  </si>
  <si>
    <t>2008-2010</t>
  </si>
  <si>
    <t>85404</t>
  </si>
  <si>
    <t>Wczesne wspomaganie rozwoju dziecka</t>
  </si>
  <si>
    <t>ZMIANY DOKONANE W DOCHODACH I WYDATKACH</t>
  </si>
  <si>
    <t>WYTWARZANIE I ZAOPATRYWANIE W ENERGIĘ ELEKTRYCZNĄ, GAZ I WODĘ</t>
  </si>
  <si>
    <t>Licea ogólnokształcące</t>
  </si>
  <si>
    <t>§ 963</t>
  </si>
  <si>
    <t>a)</t>
  </si>
  <si>
    <t>b)</t>
  </si>
  <si>
    <t>odszkodowanie za zalanie pomieszczeń</t>
  </si>
  <si>
    <t>Spłaty pożyczek otrzymanych na finansowanie zadań realizowanych z udziałem środków pochodzących z budżetu Unii Europejskiej</t>
  </si>
  <si>
    <t>3. Udziały w podatkach stanowiących dochód budżetu 
    państwa</t>
  </si>
  <si>
    <t>7. Odsetki od nieterminowego regulowania należności, 
    stanowiących dochody Miasta</t>
  </si>
  <si>
    <t>47.</t>
  </si>
  <si>
    <t xml:space="preserve">  c) na zadania realizowane na podstawie porozumień 
      z organami administracji rządowej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</si>
  <si>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</si>
  <si>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</si>
  <si>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</si>
  <si>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</si>
  <si>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</si>
  <si>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</si>
  <si>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wkład własny Beneficjenta</t>
  </si>
  <si>
    <t>2007-2009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</si>
  <si>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</si>
  <si>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</si>
  <si>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</si>
  <si>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</si>
  <si>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</si>
  <si>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Wpływy z opłat za zarząd, użytkowanie i użytkowanie wieczyste nieruchomości</t>
  </si>
  <si>
    <t>Podatek od działalności gospodarczej osób fizycznych, opłacany w formie karty podatkowej</t>
  </si>
  <si>
    <t>Udziały powiatów w podatkach stanowiących dochód budżetu państwa</t>
  </si>
  <si>
    <t>01005</t>
  </si>
  <si>
    <t>2110</t>
  </si>
  <si>
    <t>Prace geodezyjno-urządzeniowe na potrzeby rolnictwa</t>
  </si>
  <si>
    <t>Wpływy ze sprzedaży składników majątkowych</t>
  </si>
  <si>
    <t>0870</t>
  </si>
  <si>
    <t>wynagrodzenia (zad. własne)</t>
  </si>
  <si>
    <t>wynagrodzenia (zad. zlecone)</t>
  </si>
  <si>
    <t>wynagrodzenia (zad. z porozumień)</t>
  </si>
  <si>
    <t>dotacje bieżące z budżetu (z zad.własnych)</t>
  </si>
  <si>
    <t>dotacje bieżące z budżetu (z zad. zleconych)</t>
  </si>
  <si>
    <t>Razem wydatki własne</t>
  </si>
  <si>
    <t>Razem wydatki zlecone</t>
  </si>
  <si>
    <t>Razem wydatki z porozumień</t>
  </si>
  <si>
    <t>ŁĄCZNIE</t>
  </si>
  <si>
    <t>Sprawdzenie (różnica wiersz 455 - wiersz 468)</t>
  </si>
  <si>
    <t>Razem wynagrodzenia</t>
  </si>
  <si>
    <t>Razem majątkowe</t>
  </si>
  <si>
    <t>Razem dotacje</t>
  </si>
  <si>
    <t xml:space="preserve">    - grzywny, mandaty i inne kary pieniężne</t>
  </si>
  <si>
    <t>Finansowanie programów ze środków bezzwrotnych pochodzących z Unii Europejskiej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</si>
  <si>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</si>
  <si>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</si>
  <si>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</si>
  <si>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</si>
  <si>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</si>
  <si>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</si>
  <si>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</si>
  <si>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</si>
  <si>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</si>
  <si>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</si>
  <si>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</si>
  <si>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</si>
  <si>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</si>
  <si>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</si>
  <si>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</si>
  <si>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</si>
  <si>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</si>
  <si>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</si>
  <si>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</si>
  <si>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</si>
  <si>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</si>
  <si>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</si>
  <si>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</si>
  <si>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</si>
  <si>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</si>
  <si>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</si>
  <si>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</si>
  <si>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0340</t>
  </si>
  <si>
    <t>0500</t>
  </si>
  <si>
    <t>0360</t>
  </si>
  <si>
    <t>09.01.2009 r.</t>
  </si>
  <si>
    <t>22/2009</t>
  </si>
  <si>
    <t>15.01.2009 r.</t>
  </si>
  <si>
    <t>XLIX/399/2009</t>
  </si>
  <si>
    <t>27.01.2009 r.</t>
  </si>
  <si>
    <t>63/2009</t>
  </si>
  <si>
    <t>03.02.2009 r.</t>
  </si>
  <si>
    <t>85/2009</t>
  </si>
  <si>
    <t>26.02.2009 r.</t>
  </si>
  <si>
    <t>144/2009</t>
  </si>
  <si>
    <t>145/2009</t>
  </si>
  <si>
    <t>13.03.2009 r.</t>
  </si>
  <si>
    <t>192/2009</t>
  </si>
  <si>
    <t xml:space="preserve">26.03.2009 r. </t>
  </si>
  <si>
    <t>LII/423/2009</t>
  </si>
  <si>
    <t>31.03.2009 r.</t>
  </si>
  <si>
    <t>237/2009</t>
  </si>
  <si>
    <t>17.04.2009 r.</t>
  </si>
  <si>
    <t>276/2009</t>
  </si>
  <si>
    <t>30.04.2009 r.</t>
  </si>
  <si>
    <t>LIII/432/2009</t>
  </si>
  <si>
    <t>328/2009</t>
  </si>
  <si>
    <t>329/2009</t>
  </si>
  <si>
    <t>14.05.2009 r.</t>
  </si>
  <si>
    <t>365/2009</t>
  </si>
  <si>
    <t>366/2009</t>
  </si>
  <si>
    <t>20.05.2009 r.</t>
  </si>
  <si>
    <t>379/2009</t>
  </si>
  <si>
    <t>28.05.2009 r.</t>
  </si>
  <si>
    <t>LIV/442/2009</t>
  </si>
  <si>
    <t>29.05.2009 r.</t>
  </si>
  <si>
    <t>414/2009</t>
  </si>
  <si>
    <t>415/2009</t>
  </si>
  <si>
    <t>09.06.2009 r.</t>
  </si>
  <si>
    <t>441/2009</t>
  </si>
  <si>
    <t>25.06.2009 r.</t>
  </si>
  <si>
    <t>477/2009</t>
  </si>
  <si>
    <t>30.06.2009 r.</t>
  </si>
  <si>
    <t>491/2009</t>
  </si>
  <si>
    <t>493/2009</t>
  </si>
  <si>
    <t>LV/449/2009</t>
  </si>
  <si>
    <t>§ 931</t>
  </si>
  <si>
    <t>Przychody ze sprzedaży innych papierów wartościowych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</si>
  <si>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</si>
  <si>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>2370</t>
  </si>
  <si>
    <t>Wpływy do budżetu nadwyżki środków obrotowych zakładu budżetowego</t>
  </si>
  <si>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</si>
  <si>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</si>
  <si>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</si>
  <si>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</si>
  <si>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</si>
  <si>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</si>
  <si>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</si>
  <si>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</si>
  <si>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</si>
  <si>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</si>
  <si>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</si>
  <si>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</si>
  <si>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</si>
  <si>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</si>
  <si>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</si>
  <si>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</si>
  <si>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</si>
  <si>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</si>
  <si>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</si>
  <si>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</si>
  <si>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</si>
  <si>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</si>
  <si>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</si>
  <si>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</si>
  <si>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</si>
  <si>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</si>
  <si>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</si>
  <si>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</si>
  <si>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</si>
  <si>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</si>
  <si>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</si>
  <si>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</si>
  <si>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</si>
  <si>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</si>
  <si>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</si>
  <si>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</si>
  <si>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</si>
  <si>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</si>
  <si>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</si>
  <si>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</si>
  <si>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</si>
  <si>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</si>
  <si>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</si>
  <si>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</si>
  <si>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</si>
  <si>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</si>
  <si>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</si>
  <si>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Stołówki szkolne</t>
  </si>
  <si>
    <t>92120</t>
  </si>
  <si>
    <t>Ochrona zabytków i opieka nad zabytkami</t>
  </si>
  <si>
    <t xml:space="preserve">    - podatki zniesione</t>
  </si>
  <si>
    <t>Środki na dofinansowanie własnych inwestycji gmin (związków gmin), powiatów (związków powiatów), samorządów województw, pozyskane z innych źródeł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</si>
  <si>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</si>
  <si>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</si>
  <si>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</si>
  <si>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Żegluga Świnoujska</t>
  </si>
  <si>
    <t>Urząd Miasta</t>
  </si>
  <si>
    <t>Żłobek Miejski</t>
  </si>
  <si>
    <t>Specjalny Ośrodek Szkolno-Wychowawczy</t>
  </si>
  <si>
    <t>Poradnia Psychologiczno-Pedagogiczna</t>
  </si>
  <si>
    <t>Młodzieżowy Dom Kultury</t>
  </si>
  <si>
    <t xml:space="preserve">% </t>
  </si>
  <si>
    <t>I.</t>
  </si>
  <si>
    <t>środki pieniężne</t>
  </si>
  <si>
    <t>należności</t>
  </si>
  <si>
    <t>pozostałe środki obrotowe</t>
  </si>
  <si>
    <t>zobowiązania</t>
  </si>
  <si>
    <t>II.</t>
  </si>
  <si>
    <t>Wpływy z usług</t>
  </si>
  <si>
    <t>2650</t>
  </si>
  <si>
    <t>Dotacja przedmiotowa z budżetu otrzymana przez zakład budżetowy</t>
  </si>
  <si>
    <t>pokrycie amortyzacji</t>
  </si>
  <si>
    <t>RAZEM I+II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</si>
  <si>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</si>
  <si>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</si>
  <si>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</si>
  <si>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</si>
  <si>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</si>
  <si>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</si>
  <si>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</si>
  <si>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</si>
  <si>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</si>
  <si>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</si>
  <si>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</si>
  <si>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</si>
  <si>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</si>
  <si>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</si>
  <si>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</si>
  <si>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</si>
  <si>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2310</t>
  </si>
  <si>
    <t>2700</t>
  </si>
  <si>
    <t>75113</t>
  </si>
  <si>
    <t>Budowa mostu nad Starą Świną łączącego wyspy Karsibór i Wolin</t>
  </si>
  <si>
    <t>GFOŚiGW</t>
  </si>
  <si>
    <t>Przebudowy chodników i jezdni w drogach powiatowych</t>
  </si>
  <si>
    <t>Przygotowanie Bazy Las pod funkcje inwestycyjne - II etap</t>
  </si>
  <si>
    <t>Przebudowa ulicy Kochanowskiego</t>
  </si>
  <si>
    <t>Przebudowa ulicy Pogodnej</t>
  </si>
  <si>
    <t>Przebudowa ulicy Gdyńskiej</t>
  </si>
  <si>
    <t>Przygotowanie terenów inwestycyjnych w Świnoujściu</t>
  </si>
  <si>
    <t>Budowa lokali socjalnych</t>
  </si>
  <si>
    <t>DZIAŁALNOŚĆ  USŁUGOWA</t>
  </si>
  <si>
    <t>Rozbudowa Cmentarza Komunalnego w Świnoujściu</t>
  </si>
  <si>
    <t>ADMINISTRACJA  PUBLICZNA</t>
  </si>
  <si>
    <t>Modernizacja budynku CAM nr 5  (elewacja+dach)</t>
  </si>
  <si>
    <t>Termomodernizacja obiektów szkolnych</t>
  </si>
  <si>
    <t>Budowa schroniska dla ludzi bezdomnych przy ul. Karsiborskiej 19 w Świnoujściu</t>
  </si>
  <si>
    <t>Przebudowa budynku przy ul. Dąbrowskiego</t>
  </si>
  <si>
    <t>Zagospodarowanie terenu przy Szkole Podstawowej nr 2 w Karsiborzu w ramach projektu "Atrakcje przyrodnicze wysp Uznam - Karsibór"</t>
  </si>
  <si>
    <t xml:space="preserve">Przebudowa boisk przyszkolnych  </t>
  </si>
  <si>
    <t>48.</t>
  </si>
  <si>
    <t>z tego finansowanie:</t>
  </si>
  <si>
    <t>Wybory do Parlamentu Europejskiego</t>
  </si>
  <si>
    <t>85334</t>
  </si>
  <si>
    <t>Pomoc dla repatriantów</t>
  </si>
  <si>
    <t>4. Wpłaty od zakładów budżetowych i gospodarstw
    pomocniczych</t>
  </si>
  <si>
    <t>Zakup usług pozostałych</t>
  </si>
  <si>
    <t>Zakup usług dostępu do sieci Internet</t>
  </si>
  <si>
    <t>Opłaty z tytułu zakupu usług telekomunikacyjnych telefonii komórkowej</t>
  </si>
  <si>
    <t>transfery z budżetu państwa (dotacje, subwencje, udziały)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</si>
  <si>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</si>
  <si>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</si>
  <si>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</si>
  <si>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</si>
  <si>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</si>
  <si>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</si>
  <si>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</si>
  <si>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</si>
  <si>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</si>
  <si>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</si>
  <si>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</si>
  <si>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zakładów budżetowych</t>
  </si>
  <si>
    <t>Wydatki na zakupy inwestycyjne zakładów budżetowych</t>
  </si>
  <si>
    <t>odpisy amortyzacji</t>
  </si>
  <si>
    <t>inne zmniejszenia</t>
  </si>
  <si>
    <t>IV.</t>
  </si>
  <si>
    <t>RAZEM III+IV</t>
  </si>
  <si>
    <t>PRZEDSZKOLA MIEJSKIE</t>
  </si>
  <si>
    <t>Dochody z najmu i dzierżawy składników majątkowych Skarbu 
Państwa, jednostek samorządu terytorialnego lub innych jednostek zaliczanych do sektora finansów publicznych oraz innych umów o podobnym charakterze</t>
  </si>
  <si>
    <t>2510</t>
  </si>
  <si>
    <t>Finansowanie programów i projektów ze środków funduszy strukturalnych, Funduszu Spójności, Europejskiego Funduszu Rybackiego oraz z funduszy unijnych finansujących Wspólną Politykę Rolną</t>
  </si>
  <si>
    <t xml:space="preserve">Wykonane wydatków </t>
  </si>
  <si>
    <t>Nazwy zadań inwestycyjnych</t>
  </si>
  <si>
    <t>umowy zlecenia</t>
  </si>
  <si>
    <t>4.11</t>
  </si>
  <si>
    <t>kontrakt z NFZ - specjalistyka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</si>
  <si>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</si>
  <si>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</si>
  <si>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 inwestycje na drogach publicznych powiatowych i wojewódzkich oraz na drogach powiatowych, wojewódzkich i krajowych w granicach miast na prawach powiatu</t>
  </si>
  <si>
    <t>wynagrodzenia i pochodne (bez pochodnych od stypendiów sportowych)</t>
  </si>
  <si>
    <t>Dotacja podmiotowa z budżetu otrzymana przez zakład budżetowy</t>
  </si>
  <si>
    <t>Zakup środków żywności</t>
  </si>
  <si>
    <t>Zakup pomocy naukowych, dydaktycznych i książek</t>
  </si>
  <si>
    <t>Zakup usług zdrowotnych</t>
  </si>
  <si>
    <t>OŚRODEK SPORTU I REKREACJI "WYSPIARZ"</t>
  </si>
  <si>
    <t>Wpłaty na Państwowy Fundusz Rehabilitacji Osób Niepełnosprawnych</t>
  </si>
  <si>
    <t>75831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</si>
  <si>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</si>
  <si>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</si>
  <si>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</si>
  <si>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</si>
  <si>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</si>
  <si>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Szkoła Podstawowa im. św. Jadwigi Królowej</t>
  </si>
  <si>
    <t>Gimnazjum im. św. Jadwigi Królowej</t>
  </si>
  <si>
    <t>Katolickie Liceum Ogólnokształcące im. św. Jadwigi Królowej</t>
  </si>
  <si>
    <t>Liceum Ogólnokształcące im. św. Jadwigi Królowej dla Dorosłych</t>
  </si>
  <si>
    <t>Niepubliczne Dwuletnie Uzupełniające Liceum Ogólnokształcące im. św. Jadwigi Królowej</t>
  </si>
  <si>
    <t>Opieka paliatywna nad dziećmi</t>
  </si>
  <si>
    <t>RAZEM III+IV+V</t>
  </si>
  <si>
    <t>POWIATOWY FUNDUSZ GOSPODARKI ZASOBEM GEODEZYJNYM I KARTOGRAFICZNYM</t>
  </si>
  <si>
    <t>2960</t>
  </si>
  <si>
    <t>Przelewy redystrybucyjne</t>
  </si>
  <si>
    <t>Wydatki na zakupy inwestycyjne funduszy celowych</t>
  </si>
  <si>
    <t xml:space="preserve">GMINNY FUNDUSZ OCHRONY ŚRODOWISKA I GOSPODARKI WODNEJ </t>
  </si>
  <si>
    <t>0960</t>
  </si>
  <si>
    <t>Otrzymane spadki, zapisy i darowizny w postaci pieniężnej</t>
  </si>
  <si>
    <t>Różnica
(5 - 6)</t>
  </si>
  <si>
    <t>75095/
75023</t>
  </si>
  <si>
    <t>Część równoważąca subwencji ogólnej dla gmin</t>
  </si>
  <si>
    <t>Budowa stałego połączenia (tunel) pomiędzy wyspami Uznam i Wolin w Świnoujściu</t>
  </si>
  <si>
    <t>Szkoła Podstawowa Społecznego Towarzystwa Szkoły Gimnazjalnej</t>
  </si>
  <si>
    <t>- bieżąca</t>
  </si>
  <si>
    <t>- inwestycyjna</t>
  </si>
  <si>
    <t>Program Operacyjny Kapitał Ludzki</t>
  </si>
  <si>
    <t>Stać mnie na więcej - przeciwdziałanie wykluczeniu społecznemu młodzieży w wieku 15-25 lat</t>
  </si>
  <si>
    <t>Doradca zawodowy i pośrednik pracy w standardach unijnych</t>
  </si>
  <si>
    <t>Dotacje przekazane z funduszy celowych na realizację zadań 
bieżących dla jednostek sektora finansów publicznych</t>
  </si>
  <si>
    <t>Dotacje przekazane z funduszy celowych na realizację zadań 
bieżących dla jednostek niezaliczanych do sektora finansów publicznych</t>
  </si>
  <si>
    <t>Wydatki inwestycyjne funduszy celowych</t>
  </si>
  <si>
    <t>pozostałe dotacje (rozwojowe, z funduszy, od innych jst)</t>
  </si>
  <si>
    <t>6180</t>
  </si>
  <si>
    <t>Podniesienie standardu i poprawa bezpieczeństwa transportu w ciągu drogi krajowej nr 93 na wyspie Uznam w Świnoujściu</t>
  </si>
  <si>
    <t>Budowa transgranicznego połączenia Świnoujście - Kamminke na wyspie Uznam (Budowa ciągu pieszo - rowerowego wzdłuż ulicy Krzywej)</t>
  </si>
  <si>
    <t>75803</t>
  </si>
  <si>
    <t>inne środki
Fundusz Pracy</t>
  </si>
  <si>
    <t>Specjalny Ośrodek Szkolno-Wycho-
wawczy</t>
  </si>
  <si>
    <t>Część wyrównawcza subwencji ogólnej dla powiatów</t>
  </si>
  <si>
    <t>2008</t>
  </si>
  <si>
    <t>Dotacje rozwojowe oraz środki na finansowanie Wspólnej Polityki Rolnej</t>
  </si>
  <si>
    <t>2009</t>
  </si>
  <si>
    <t>Tabela 1</t>
  </si>
  <si>
    <t>Tabela 2</t>
  </si>
  <si>
    <t xml:space="preserve">             Tabela nr 4</t>
  </si>
  <si>
    <t>Tabela nr 7</t>
  </si>
  <si>
    <t>Tabela nr  9</t>
  </si>
  <si>
    <t>Tabela nr 10</t>
  </si>
  <si>
    <t>Tabela nr 11</t>
  </si>
  <si>
    <t xml:space="preserve">Tabela nr  12 </t>
  </si>
  <si>
    <t xml:space="preserve">Tabela nr 14 </t>
  </si>
  <si>
    <t xml:space="preserve">Tabela nr 15 </t>
  </si>
  <si>
    <t>Tabela nr 18</t>
  </si>
  <si>
    <t>Tabela nr 19</t>
  </si>
  <si>
    <t>Tabela 30</t>
  </si>
  <si>
    <t>Tabela 29</t>
  </si>
  <si>
    <t>Tabela 28</t>
  </si>
  <si>
    <t>Tabela 27</t>
  </si>
  <si>
    <t>Tabela 26</t>
  </si>
  <si>
    <t>Tabela 25</t>
  </si>
  <si>
    <t>Tabela 24</t>
  </si>
  <si>
    <t>Tabela 23</t>
  </si>
  <si>
    <t>Tabela 22</t>
  </si>
  <si>
    <t>Tabela 21</t>
  </si>
  <si>
    <t>Tabela 20</t>
  </si>
  <si>
    <t xml:space="preserve">Dotacja na wykonanie remontów </t>
  </si>
  <si>
    <t>Środki trwałe</t>
  </si>
  <si>
    <t>Rozdział 92118</t>
  </si>
  <si>
    <t>odpis na zakładowy fundusz świadczeń socjalnych</t>
  </si>
  <si>
    <t>kontrakt z NFZ - szpital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</si>
  <si>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</si>
  <si>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</si>
  <si>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 xml:space="preserve">POWIATOWY FUNDUSZ OCHRONY ŚRODOWISKA I GOSPODARKI WODNEJ </t>
  </si>
  <si>
    <t>Pozostałe podatki na rzecz budżetów jednostek samorządu terytorialnego</t>
  </si>
  <si>
    <t xml:space="preserve">    - targowa</t>
  </si>
  <si>
    <t xml:space="preserve">   - dotacje (bez  § 2850, 2900, 2930)</t>
  </si>
  <si>
    <t xml:space="preserve">   - dotacje (bez  § 6650)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</si>
  <si>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</si>
  <si>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</si>
  <si>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</si>
  <si>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DOCHODY OD OSÓB PRAWNYCH, OD OSÓB FIZYCZNYCH I OD INNYCH JEDNOSTEK NIEPOSIADAJĄCYCH  OSOBOWOŚCI PRAWNEJ ORAZ WYDATKI ZWIĄZANE Z ICH POBOREM</t>
  </si>
  <si>
    <t>POZOSTAŁE ZADANIA W ZAKRESIE 
POLITYKI SPOŁECZNEJ</t>
  </si>
  <si>
    <t>suma wierszy 586 (bieżące) i 593 (majątkowe)</t>
  </si>
  <si>
    <t>Uzupełnienie subwencji ogólnej dla jednostek 
samorządu terytorialnego</t>
  </si>
  <si>
    <t xml:space="preserve">   - wynagrodzenia</t>
  </si>
  <si>
    <t xml:space="preserve">   - pochodne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</si>
  <si>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</si>
  <si>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</si>
  <si>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</si>
  <si>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</si>
  <si>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</si>
  <si>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</si>
  <si>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- wydatki bieżące</t>
  </si>
  <si>
    <t>01030</t>
  </si>
  <si>
    <t>Izby rolnicze</t>
  </si>
  <si>
    <t>01095</t>
  </si>
  <si>
    <t xml:space="preserve">LEŚNICTWO 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</si>
  <si>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</si>
  <si>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</si>
  <si>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</si>
  <si>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</si>
  <si>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</si>
  <si>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</si>
  <si>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</si>
  <si>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</si>
  <si>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WYDATKI JEDNOSTEK POMOCNICZYCH</t>
  </si>
  <si>
    <t>Tabela nr 8</t>
  </si>
  <si>
    <t>50095</t>
  </si>
  <si>
    <t xml:space="preserve">   w tym:</t>
  </si>
  <si>
    <t>Programy polityki zdrowotnej</t>
  </si>
  <si>
    <t xml:space="preserve">   - wynagrodzenia i pochodne</t>
  </si>
  <si>
    <t xml:space="preserve">   - dotacje</t>
  </si>
  <si>
    <t>- wydatki majątkowe</t>
  </si>
  <si>
    <t>63095</t>
  </si>
  <si>
    <t xml:space="preserve">Pozostała działalność </t>
  </si>
  <si>
    <t>70001</t>
  </si>
  <si>
    <t xml:space="preserve"> I Liceum Ogólnokształcące Towarzystwa Oświatowo-Promocyjnego "Business-Pro"</t>
  </si>
  <si>
    <t>Policealna Szkoła Biznesu Towarzystwa Oświatowo-Promocyjnego ”Business-Pro”</t>
  </si>
  <si>
    <t>Zakłady gospodarki mieszkaniowej</t>
  </si>
  <si>
    <t>70095</t>
  </si>
  <si>
    <t>71004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</si>
  <si>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</si>
  <si>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</si>
  <si>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</si>
  <si>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</si>
  <si>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</si>
  <si>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</si>
  <si>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</si>
  <si>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</si>
  <si>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</si>
  <si>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DOCHODY OD OSÓB PRAWNYCH, OD OSÓB FIZYCZNYCH I OD INNYCH JEDNOSTEK NIEPOSIADAJĄCYCH OSOBOWOŚCI PRAWNEJ ORAZ WYDATKI ZWIĄZANE Z ICH POBOREM</t>
  </si>
  <si>
    <t>Prowadzenie schroniska dla zwierząt</t>
  </si>
  <si>
    <t>W zestawieniu nie są ujęte wydatki zrealizowane w ramach: 
§ 2850 - wpłaty gmin na rzecz izb rolniczych w wysokości 2 % uzyskanych wpływów z podatku rolnego,
§ 2900 - wpłaty gmin i powiatów na rzecz innych jednostek samorządu terytorialnego oraz związków gmin lub związków powiatów na dofinansowanie zadań bieżących,
§ 2930 - wpłaty jednostek samorządu terytorialnego do budżetu państwa,
§ 6650 - wpłaty gmin i powiatów na rzecz innych jednostek samorządu terytorialnego oraz związków gmin lub związków powiatów na dofinansowanie zadań inwestycyjnych i zakupów inwestycyjnych.</t>
  </si>
  <si>
    <t>75647</t>
  </si>
  <si>
    <t>Pobór podatków, opłat i niepodatkowych należności budżetowych</t>
  </si>
  <si>
    <t>36.</t>
  </si>
  <si>
    <t>37.</t>
  </si>
  <si>
    <t>OBSŁUGA DŁUGU PUBLICZNEGO</t>
  </si>
  <si>
    <t>75702</t>
  </si>
  <si>
    <t xml:space="preserve">   - dotacje (bez § 665)</t>
  </si>
  <si>
    <t xml:space="preserve">ZAKŁAD GOSPODARKI MIESZKANIOWEJ </t>
  </si>
  <si>
    <t>Rozdział 70001</t>
  </si>
  <si>
    <t>Rozdział 80104</t>
  </si>
  <si>
    <t>Rozdział 92605</t>
  </si>
  <si>
    <t>Rozdział 71030</t>
  </si>
  <si>
    <t>Rozdział 90011</t>
  </si>
  <si>
    <t>Rozdział 92109</t>
  </si>
  <si>
    <t>Obsługa papierów wartościowych, kredytów 
i pożyczek jednostek samorządu terytorialnego</t>
  </si>
  <si>
    <t>dofinansowanie z innych źródeł, innych jst i funduszy</t>
  </si>
  <si>
    <t xml:space="preserve">   - wydatki na obsługę długu</t>
  </si>
  <si>
    <t>80102</t>
  </si>
  <si>
    <t>Szkoły podstawowe specjalne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</si>
  <si>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</si>
  <si>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</si>
  <si>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</si>
  <si>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</si>
  <si>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Rozdz.</t>
  </si>
  <si>
    <t>Nazwa programu</t>
  </si>
  <si>
    <t>Nazwa projektu</t>
  </si>
  <si>
    <t>Lata realizacji projektu</t>
  </si>
  <si>
    <t>2009 r.</t>
  </si>
  <si>
    <t>2010 r.</t>
  </si>
  <si>
    <t>środki UE</t>
  </si>
  <si>
    <t>środki JST</t>
  </si>
  <si>
    <t>Planowane/wykonane
 płatności w latach w ramach projektu</t>
  </si>
  <si>
    <t>OGÓŁEM PLAN</t>
  </si>
  <si>
    <t>OGÓŁEM WYKONANIE</t>
  </si>
  <si>
    <t xml:space="preserve">Tabela nr 16 </t>
  </si>
  <si>
    <t>usługi gastronomiczne</t>
  </si>
  <si>
    <t>usługi gastronomiczne (wyżywienie pacjentów)</t>
  </si>
  <si>
    <t>80111</t>
  </si>
  <si>
    <t>Gimnazja specjalne</t>
  </si>
  <si>
    <t>Inne koszty rodzajowe</t>
  </si>
  <si>
    <t xml:space="preserve">Licea ogólnokształcące </t>
  </si>
  <si>
    <t>80123</t>
  </si>
  <si>
    <t>Licea profilowane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</si>
  <si>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</si>
  <si>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</si>
  <si>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</si>
  <si>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</si>
  <si>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</si>
  <si>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</si>
  <si>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</si>
  <si>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</si>
  <si>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</si>
  <si>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</si>
  <si>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Zakłady opiekuńczo - lecznicze i pielęgnacyjno - opiekuńcze</t>
  </si>
  <si>
    <t>85149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</si>
  <si>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</si>
  <si>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</si>
  <si>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</si>
  <si>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</si>
  <si>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</si>
  <si>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</si>
  <si>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</si>
  <si>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</si>
  <si>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</si>
  <si>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</si>
  <si>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</si>
  <si>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</si>
  <si>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</si>
  <si>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</si>
  <si>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</si>
  <si>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</si>
  <si>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</si>
  <si>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</si>
  <si>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</si>
  <si>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</si>
  <si>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</si>
  <si>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</si>
  <si>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</si>
  <si>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</si>
  <si>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</si>
  <si>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</si>
  <si>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</si>
  <si>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</si>
  <si>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2680</t>
  </si>
  <si>
    <t>Rekompensaty utraconych dochodów w podatkach i opłatach lokalnych</t>
  </si>
  <si>
    <t>6260</t>
  </si>
  <si>
    <t>6300</t>
  </si>
  <si>
    <t>92695</t>
  </si>
  <si>
    <t>2710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</si>
  <si>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</si>
  <si>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inwestycyjnych i zakupów inwestycyjnych</t>
  </si>
  <si>
    <t>Wpływy z tytułu pomocy finansowej udzielanej między jednostkami samorządu terytorialnego na dofinansowanie własnych zadań bieżących</t>
  </si>
  <si>
    <t>Dotacje celowe otrzymane z budżetu państwa na 
realizację inwestycji i zakupów inwestycyjnych własnych powiatu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</si>
  <si>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</si>
  <si>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</si>
  <si>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</si>
  <si>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</si>
  <si>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</si>
  <si>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</si>
  <si>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Świadczenia rodzinne, świadczenie z funduszu alimentacyjnego oraz składki na ubezpieczenia emerytalne i rentowe z ubezpieczenia społecznego</t>
  </si>
  <si>
    <t>Przychody z zaciągniętych pożyczek i kredytów na rynku krajowym</t>
  </si>
  <si>
    <t>§ 952</t>
  </si>
  <si>
    <t>- obligacje komunalne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</si>
  <si>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</si>
  <si>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</si>
  <si>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</si>
  <si>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</si>
  <si>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</si>
  <si>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</si>
  <si>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</si>
  <si>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</si>
  <si>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</si>
  <si>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I. Dochody własne</t>
  </si>
  <si>
    <t>1. Podatki</t>
  </si>
  <si>
    <t>27.</t>
  </si>
  <si>
    <t>28.</t>
  </si>
  <si>
    <t>29.</t>
  </si>
  <si>
    <t>AMORTYZACJA</t>
  </si>
  <si>
    <t>ZUŻYCIE MATERIAŁÓW</t>
  </si>
  <si>
    <t>leki</t>
  </si>
  <si>
    <t>materiały medyczne</t>
  </si>
  <si>
    <t>pieluchomajtki</t>
  </si>
  <si>
    <t xml:space="preserve">środki czystości </t>
  </si>
  <si>
    <t>2.6</t>
  </si>
  <si>
    <t>wyposażenie</t>
  </si>
  <si>
    <t>ENERGIA</t>
  </si>
  <si>
    <t>3.1</t>
  </si>
  <si>
    <t>energia elektryczna</t>
  </si>
  <si>
    <t>3.2</t>
  </si>
  <si>
    <t>woda, ścieki</t>
  </si>
  <si>
    <t>3.3</t>
  </si>
  <si>
    <t>gaz</t>
  </si>
  <si>
    <t>USŁUGI OBCE</t>
  </si>
  <si>
    <t>4.1</t>
  </si>
  <si>
    <t>analizy i badania</t>
  </si>
  <si>
    <t>4.2</t>
  </si>
  <si>
    <t>usługi pralnicze</t>
  </si>
  <si>
    <t>4.3</t>
  </si>
  <si>
    <t>32.</t>
  </si>
  <si>
    <t>Prowadzenie środowiskowego domu samopomocy</t>
  </si>
  <si>
    <t>Utrzymanie dzieci w rodzinach zastępczych</t>
  </si>
  <si>
    <t>Przebudowa stadionu OSiR Wyspiarz przy ul. Matejki</t>
  </si>
  <si>
    <t>Budowa Centrum Kultury i Sportu przy ul. Matejki</t>
  </si>
  <si>
    <t>Koszty</t>
  </si>
  <si>
    <t>MUZEUM RYBOŁÓWSTWA MORSKIEGO</t>
  </si>
  <si>
    <t>Dotacja na działalność podstawową</t>
  </si>
  <si>
    <t>Przychody własne</t>
  </si>
  <si>
    <t>Stan środków obrotowych netto na początek okresu sprawozdawczego</t>
  </si>
  <si>
    <t>Stan środków obrotowych netto na koniec okresu sprawozdawczego</t>
  </si>
  <si>
    <t>Składki na ubezpieczenie społeczne i Fundusz Pracy</t>
  </si>
  <si>
    <t>Zakup eksponatów muzealnych</t>
  </si>
  <si>
    <t>Ubezpieczenia rzeczowe</t>
  </si>
  <si>
    <t>Podróże służbowe krajowe (w tym wyjazdy na szkolenia)</t>
  </si>
  <si>
    <t>Zakup wartości niematerialnych i prawnych</t>
  </si>
  <si>
    <t>Pozostałe opłaty</t>
  </si>
  <si>
    <t>Inne koszty operacyjne</t>
  </si>
  <si>
    <t>ogółem dochody</t>
  </si>
  <si>
    <t>dochody bieżące</t>
  </si>
  <si>
    <t>4.4</t>
  </si>
  <si>
    <t>wywóz śmieci</t>
  </si>
  <si>
    <t>4.5</t>
  </si>
  <si>
    <t>Przebudowa Zakładu Pielęgnacyjno-Opiekuńczego przy ul. Żeromskiego 21</t>
  </si>
  <si>
    <t>Zwrot dotacji wykorzystanych niezgodnie z przeznaczeniem lub pobranych w nadmiernej wysokości</t>
  </si>
  <si>
    <t>VI.</t>
  </si>
  <si>
    <t>sprzęt/materiały medyczne jednorazowego użytku</t>
  </si>
  <si>
    <t>środki żywności (mleko w proszku)</t>
  </si>
  <si>
    <t>leki (w tym krew)</t>
  </si>
  <si>
    <t>materiały do drobnych napraw</t>
  </si>
  <si>
    <t>dwutlenek węgla specjalny</t>
  </si>
  <si>
    <t>2.11</t>
  </si>
  <si>
    <t>2.12</t>
  </si>
  <si>
    <t>2.13</t>
  </si>
  <si>
    <t>2.14</t>
  </si>
  <si>
    <t>kontrakty zakładowe lekarzy</t>
  </si>
  <si>
    <t>kontrakty pielęgniarskie</t>
  </si>
  <si>
    <t>Finansowanie programów i projektów ze środków z funduszy strukturalnych, Funduszu Spójności, Europejskiego Funduszu Rybackiego oraz z funduszy unijnych finansujących Wspólną Politykę Rolną</t>
  </si>
  <si>
    <t>kontrakty OTU rehabilitacyjne, konsultacje medyczne</t>
  </si>
  <si>
    <t>konserwacja i naprawa sprzętu</t>
  </si>
  <si>
    <t>badania laboratoryjne</t>
  </si>
  <si>
    <t>obsługa prawna i farmaceutyczna</t>
  </si>
  <si>
    <t>wywóz i zagospodarowanie odpadów medycznych</t>
  </si>
  <si>
    <t>najem lokalu (ul. Dąbrowskiego)</t>
  </si>
  <si>
    <t>badania (tomografia, rezonans, histopatologia)</t>
  </si>
  <si>
    <t>usługa sprzątania</t>
  </si>
  <si>
    <t>wdrożenie systemu informatycznego "MEDIM"</t>
  </si>
  <si>
    <t>osobowy fundusz płac</t>
  </si>
  <si>
    <t>PODRÓŻE SŁUŻBOWE KRAJOWE</t>
  </si>
  <si>
    <t>POZOSTAŁE KOSZTY  - UBEZPIECZENIA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</si>
  <si>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</si>
  <si>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</si>
  <si>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</si>
  <si>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</si>
  <si>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</si>
  <si>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</si>
  <si>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</si>
  <si>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</si>
  <si>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</si>
  <si>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</si>
  <si>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usługi transportowe</t>
  </si>
  <si>
    <t>usługi remontowe</t>
  </si>
  <si>
    <t>usługi pielegniarskie</t>
  </si>
  <si>
    <t>5.3</t>
  </si>
  <si>
    <t>gratyfikacje/odprawy rentowe</t>
  </si>
  <si>
    <t>2011 r.</t>
  </si>
  <si>
    <t>po roku 2011</t>
  </si>
  <si>
    <t>konserwacja i naprawa sprzętu, serwis kotłowni</t>
  </si>
  <si>
    <t>4.6</t>
  </si>
  <si>
    <t>4.7</t>
  </si>
  <si>
    <t>usługi lekarskie + porady</t>
  </si>
  <si>
    <t>4.8</t>
  </si>
  <si>
    <t>usługi księgowe + statystyka medyczna</t>
  </si>
  <si>
    <t>4.9</t>
  </si>
  <si>
    <t>pozostałe usługi obce</t>
  </si>
  <si>
    <t>WYNAGRODZENIA</t>
  </si>
  <si>
    <t>5.1</t>
  </si>
  <si>
    <t>wynagrodzenie za pracę</t>
  </si>
  <si>
    <t>5.2</t>
  </si>
  <si>
    <t>NARZUTY NA WYNAGRODZENIA</t>
  </si>
  <si>
    <t>ŚWIADCZENIA NA RZECZ PRACOWNIKÓW</t>
  </si>
  <si>
    <t>PODATKI I OPŁATY</t>
  </si>
  <si>
    <t>8.1</t>
  </si>
  <si>
    <t>podatek od nieruchomości</t>
  </si>
  <si>
    <t>8.2</t>
  </si>
  <si>
    <t>pozostałe opłaty i podatki</t>
  </si>
  <si>
    <t>OPŁATY BANKOWE</t>
  </si>
  <si>
    <t>38.</t>
  </si>
  <si>
    <t>Odsetki za nieterminowe rozliczenia, płacone przez urzędy obsługujące organy podatkowe</t>
  </si>
  <si>
    <t>Wykup innych papierów wartościowych</t>
  </si>
  <si>
    <t>Przychody z tytułu innych rozliczeń krajowych</t>
  </si>
  <si>
    <t>Dotacje
ogółem</t>
  </si>
  <si>
    <t>Wydatki
ogółem
(5+9)</t>
  </si>
  <si>
    <t>Wydatki
bieżące</t>
  </si>
  <si>
    <t>Wydatki
majątkowe</t>
  </si>
  <si>
    <t>wynagrodzenia</t>
  </si>
  <si>
    <t>pochodne od wynagrodzeń</t>
  </si>
  <si>
    <t>świadczenia społeczne</t>
  </si>
  <si>
    <t>85220</t>
  </si>
  <si>
    <t>Jednostki specjalistycznego poradnictwa, mieszkania chronione i ośrodki interwencji kryzysowej</t>
  </si>
  <si>
    <t>gmina</t>
  </si>
  <si>
    <t>Szkolenia drogą do zapewnienia wysokiej jakości usług świadczonych przez JST w obszarze wysp Uznam-Wolin</t>
  </si>
  <si>
    <t>powiat</t>
  </si>
  <si>
    <t>Ogółem (gmina + powiat)</t>
  </si>
  <si>
    <t xml:space="preserve">Ogółem </t>
  </si>
  <si>
    <t>Nazwa jednostki pomocniczej</t>
  </si>
  <si>
    <t>Sołectwo Karsibór</t>
  </si>
  <si>
    <t>Osiedle Warszów</t>
  </si>
  <si>
    <t>Osiedle Przytór-Łunowo</t>
  </si>
  <si>
    <t>Ogółem</t>
  </si>
  <si>
    <t>Zakład Gospodarki Mieszkaniowej
Dopłata do utrzymania 1m2 powierzchni użytkowej komunalnych lokali mieszkalnych</t>
  </si>
  <si>
    <t xml:space="preserve">LIMITY WYDATKÓW  NA PROJEKTY PLANOWANE DO REALIZACJI  W RAMACH POSZCZEGÓLNYCH PROGRAMÓW OPERACYJNYCH 
W ROKU 2009 I KOLEJNYCH </t>
  </si>
  <si>
    <t>Gimnazjum przy Liceum Ogólnokształcącym 
Społecznego Towarzystwa Szkoły Gimnazjalnej</t>
  </si>
  <si>
    <t>Gimnazjum Fundacji LOGOS</t>
  </si>
  <si>
    <t>Gimnazjum dla dorosłych WZDZ</t>
  </si>
  <si>
    <t xml:space="preserve">INFORMACJA O WYSOKOŚCI DEFICYTU BUDŻETOWEGO  </t>
  </si>
  <si>
    <t>Zadania w zakresie przeciwdziałania alkoholizmowi</t>
  </si>
  <si>
    <t>Zadania w zakresie pomocy społecznej</t>
  </si>
  <si>
    <t>Zużycie materiałów i wyposażenia</t>
  </si>
  <si>
    <t>Zużycie energii</t>
  </si>
  <si>
    <t>środki
BP</t>
  </si>
  <si>
    <t>Kurs w stronę kwalifikacji zawodowych - wyrównanie dysproporcji edukacyjnych w procesie kształcenia</t>
  </si>
  <si>
    <t>środki Beneficjenta</t>
  </si>
  <si>
    <t>środki BP</t>
  </si>
  <si>
    <t>wkład niepieniężny Beneficjenta</t>
  </si>
  <si>
    <t>Składki na ubezpieczenia społeczne i Fundusz Pracy</t>
  </si>
  <si>
    <t>Pozostałe przychody finansowe i operacyjne</t>
  </si>
  <si>
    <t>RAZEM DOTACJE Z BUDŻETU MIASTA</t>
  </si>
  <si>
    <t>Realizacja działań z zakresu zapobiegania narkomanii adresowane do mieszkańców Świnoujścia</t>
  </si>
  <si>
    <t>Prowadzenie edukacji profilaktycznej z zakresu AIDS i HIV adresowanych do uczniów placówek oświatowych</t>
  </si>
  <si>
    <t>Utrzymanie dzieci w placówkach opiekuńczo-wychowawczych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</si>
  <si>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</si>
  <si>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</si>
  <si>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</si>
  <si>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</si>
  <si>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 xml:space="preserve">  a) na zadania własne (w tym dotacje rozwojowe)</t>
  </si>
  <si>
    <t>DOCHODY MAJĄTKOWE POWIATU</t>
  </si>
  <si>
    <t>majątkowe wg Rb 27</t>
  </si>
  <si>
    <t>DOCHODY MAJĄTKOWE GMINY</t>
  </si>
  <si>
    <t>OGÓŁEM DOCHODY MAJĄTKOWE (GMINA + POWIAT)</t>
  </si>
  <si>
    <t>Źródła finansowa-
nia  kosztów kwalifiko-
wanych</t>
  </si>
  <si>
    <t xml:space="preserve"> DOCHODY  MAJĄTKOWE WEDŁUG DZIAŁÓW, ROZDZIAŁÓW I PARAGRAFÓW 
KLASYFIKACJI BUDŻETOWEJ</t>
  </si>
  <si>
    <t>subwencja z budżetu państwa</t>
  </si>
  <si>
    <t>sprzedaż i przekształcenie majątku</t>
  </si>
  <si>
    <t xml:space="preserve">    - pomoc finansowa od innych jednostek samorządowych</t>
  </si>
  <si>
    <t>Tabela nr 6</t>
  </si>
  <si>
    <t xml:space="preserve">Tabela nr 13 </t>
  </si>
  <si>
    <t>Tabela nr 17</t>
  </si>
  <si>
    <t xml:space="preserve">Zasadnicza Szkoła Zawodowa Wojewódzkiego Zakładu Doskonalenia Zawodowego </t>
  </si>
  <si>
    <t>75075</t>
  </si>
  <si>
    <t>Promocja jednostek samorządu terytorialnego</t>
  </si>
  <si>
    <t xml:space="preserve">   - pochodne od stypendiów sportowych</t>
  </si>
  <si>
    <t>0560</t>
  </si>
  <si>
    <t>Zaległości z podatków zniesionych</t>
  </si>
  <si>
    <t>Technikum Elektryczne Wojewódzkiego Zakładu Doskonalenia Zawodowego</t>
  </si>
  <si>
    <t>Ośrodek Sportu i Rekreacji "Wyspiarz"
Dopłaty do:
- 1 godziny funkcjonowania hali sportowej
- osoby korzystającej z pływalni
- osoby korzystającej z kortów</t>
  </si>
  <si>
    <t xml:space="preserve">DOTACJE Z BUDŻETU MIASTA </t>
  </si>
  <si>
    <t>6423</t>
  </si>
  <si>
    <t>6299</t>
  </si>
  <si>
    <t>PODRÓŻE SŁUŻBOWE</t>
  </si>
  <si>
    <t>POZOSTAŁE KOSZTY PROSTE (ubezp. O.C.)</t>
  </si>
  <si>
    <t>OGÓŁEM NAKŁADY</t>
  </si>
  <si>
    <t>SPRZEDAŻ USŁUG</t>
  </si>
  <si>
    <t>inwestycje (WIM  zał.17)</t>
  </si>
  <si>
    <t>kontrakt z NFZ</t>
  </si>
  <si>
    <t>dzierżawa + media</t>
  </si>
  <si>
    <t>opłaty pacjentów pełnopłatne</t>
  </si>
  <si>
    <t>PRZYCHODY FINANSOWE</t>
  </si>
  <si>
    <t>PRZYCHODY OPERACYJNE</t>
  </si>
  <si>
    <t>dotacje - Urząd Miasta</t>
  </si>
  <si>
    <t>PRZYCHODY OGÓŁEM</t>
  </si>
  <si>
    <t>ZYSK/STRATA BRUTTO</t>
  </si>
  <si>
    <t xml:space="preserve"> SAMODZIELNY PUBLICZNY ZAKŁAD OPIEKI ZDROWOTNEJ ZAKŁAD
 PIELĘGNACYJNO-OPIEKUŃCZY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</si>
  <si>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</si>
  <si>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</si>
  <si>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</si>
  <si>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</si>
  <si>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</si>
  <si>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</si>
  <si>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Szkoła Podstawowa nr 9</t>
  </si>
  <si>
    <t>Gimnazjum Publiczne nr 1</t>
  </si>
  <si>
    <t>Gimnazjum Publiczne nr 2</t>
  </si>
  <si>
    <t>Gimnazjum Publiczne nr 3</t>
  </si>
  <si>
    <t>Internat Zespołu Szkół Morskich</t>
  </si>
  <si>
    <t>Zespół Szkół Morskich</t>
  </si>
  <si>
    <t>Zespół Szkół w Świnoujściu</t>
  </si>
  <si>
    <t>Dochody własne</t>
  </si>
  <si>
    <t>Pozostałe usługi</t>
  </si>
  <si>
    <t>tlen medyczny</t>
  </si>
  <si>
    <t>odczynniki rtg</t>
  </si>
  <si>
    <t>środki czystości i dezynfekcyjne</t>
  </si>
  <si>
    <t>2.7</t>
  </si>
  <si>
    <t>2.8</t>
  </si>
  <si>
    <t>2.9</t>
  </si>
  <si>
    <t>materiały diagnostyczne</t>
  </si>
  <si>
    <t>2.10</t>
  </si>
  <si>
    <t>materiały gospodarcze</t>
  </si>
  <si>
    <t>materiały biurowe i książki</t>
  </si>
  <si>
    <t>bielizna i odzież ochronna</t>
  </si>
  <si>
    <r>
      <t xml:space="preserve">Przebudowa centralnego układu komunikacyjnego śródmieścia w Świnoujściu
</t>
    </r>
    <r>
      <rPr>
        <i/>
        <sz val="10"/>
        <rFont val="Times New Roman"/>
        <family val="1"/>
      </rPr>
      <t>z tego finansowanie:</t>
    </r>
  </si>
  <si>
    <t>Budowa ciągu pieszo-rowerowego przy ul. 1 Maja w Karsiborzu</t>
  </si>
  <si>
    <t xml:space="preserve">Sprawny i przyjazny środowisku dostęp do infrastruktury portu w Świnoujściu </t>
  </si>
  <si>
    <r>
      <t xml:space="preserve">Przebudowa ulic St. Moniuszki i B. Prusa wraz z budową ścieżki rowerowej
</t>
    </r>
    <r>
      <rPr>
        <i/>
        <sz val="10"/>
        <rFont val="Times New Roman"/>
        <family val="1"/>
      </rPr>
      <t>z tego finansowanie:</t>
    </r>
  </si>
  <si>
    <r>
      <t xml:space="preserve">Przebudowa ulicy Szkolnej
</t>
    </r>
    <r>
      <rPr>
        <i/>
        <sz val="10"/>
        <rFont val="Times New Roman"/>
        <family val="1"/>
      </rPr>
      <t>z tego finansowanie:</t>
    </r>
  </si>
  <si>
    <r>
      <t xml:space="preserve">Przebudowa ulicy Matejki
</t>
    </r>
    <r>
      <rPr>
        <i/>
        <sz val="10"/>
        <rFont val="Times New Roman"/>
        <family val="1"/>
      </rPr>
      <t>z tego finansowanie:</t>
    </r>
  </si>
  <si>
    <t>Placówka opiekuńczo - wychowawcza o charakterze interwencyjnym</t>
  </si>
  <si>
    <t>Przebudowa ulicy Wojska Polskiego w ramach projektu - Transgraniczne połączenie pomiędzy miastem Świnoujście a gminą Ostseebad Heringsdorf</t>
  </si>
  <si>
    <t>Transgraniczna promenada pomiędzy Świnoujściem i gminą Heringsdorf</t>
  </si>
  <si>
    <t>Wzrost atrakcyjności turystyczno - uzdrowiskowej miasta - przebudowa promenady w dzielnicy nadmorskiej w Świnoujściu</t>
  </si>
  <si>
    <t>Przebudowa chodników i jezdni w drogach gminnych</t>
  </si>
  <si>
    <t>Zagospodarowanie Basenu Północnego na port jachtowy</t>
  </si>
  <si>
    <t>Budowa Archiwum Miejskiego w ramach przebudowy budynku przy ul. Monte Cassino 22</t>
  </si>
  <si>
    <t>System monitoringu w mieście</t>
  </si>
  <si>
    <t xml:space="preserve">Edukacyjny plac zabaw na terenie Parku Zdrojowego w Świnoujściu w ramach projektu "Morze Bałtyckie łączące wyspy, kraje kultury i regiony przyrodnicze -  polsko-niemiecki projekt w zakresie edukacji ekologicznej" </t>
  </si>
  <si>
    <t>Oświetlenie ulic</t>
  </si>
  <si>
    <r>
      <t xml:space="preserve">Rozbudowa i modernizacja sieci deszczowych
</t>
    </r>
    <r>
      <rPr>
        <i/>
        <sz val="10"/>
        <rFont val="Times New Roman"/>
        <family val="1"/>
      </rPr>
      <t>z tego finansowanie:</t>
    </r>
  </si>
  <si>
    <t>Melioracja terenów zurbanizowanych na obszarze miasta Świnoujście</t>
  </si>
  <si>
    <t>Rewitalizacja Śródmieścia - etap I - ulica Hołdu Pruskiego</t>
  </si>
  <si>
    <t>Rewitalizacja zespołu zabytkowych fortów (zagospodarowanie terenu przy kompleksie Fortu Zachodniego)</t>
  </si>
  <si>
    <t>Budowa hali sportowej przy Gimnazjum Publicznym nr 3</t>
  </si>
  <si>
    <t>Budowa pływalni miejskiej</t>
  </si>
  <si>
    <t>energia cieplna</t>
  </si>
  <si>
    <t>transport</t>
  </si>
  <si>
    <t>opłaty pocztowe i telekomunikacyjne</t>
  </si>
  <si>
    <t>usługi informatyczne</t>
  </si>
  <si>
    <t>dzierżawa butli</t>
  </si>
  <si>
    <t>monitoring obiektów</t>
  </si>
  <si>
    <t>obsługa rozprężalni tlenu</t>
  </si>
  <si>
    <t>budżet Miasta</t>
  </si>
  <si>
    <t>Szkoła Podstawowa Społecznego Towarzystwa 
Szkoły Gimnazjalnej</t>
  </si>
  <si>
    <t>Budowa systemu parkingowego w mieście</t>
  </si>
  <si>
    <t>wg Rb50</t>
  </si>
  <si>
    <t>wykonanie</t>
  </si>
  <si>
    <t xml:space="preserve">    - zwrot dotacji pobranej w nadmiernej wysokości</t>
  </si>
  <si>
    <t>34.</t>
  </si>
  <si>
    <t>DOTACJE BIEŻĄCE</t>
  </si>
  <si>
    <t>Termin 
realizacji</t>
  </si>
  <si>
    <t>Łącznie wydatki nie wygasające</t>
  </si>
  <si>
    <t>wg Rb (bieżące bez §285,290,293)</t>
  </si>
  <si>
    <t>wg Rb (majątkowe bez §665)</t>
  </si>
  <si>
    <t>30.</t>
  </si>
  <si>
    <t>31.</t>
  </si>
  <si>
    <t>4.10</t>
  </si>
  <si>
    <t>bezosobowy fundusz płac</t>
  </si>
  <si>
    <t>7.1</t>
  </si>
  <si>
    <t>7.2</t>
  </si>
  <si>
    <t>6298</t>
  </si>
  <si>
    <t xml:space="preserve">Drogi publiczne krajowe </t>
  </si>
  <si>
    <t>Społeczne Liceum Ogólnokształcące Społecznego Towarzystwa Szkoły Gimnazjalnej</t>
  </si>
  <si>
    <t>I Liceum Społeczne Fundacji LOGOS</t>
  </si>
  <si>
    <t>pozostałe świadczenia</t>
  </si>
  <si>
    <t>8.3</t>
  </si>
  <si>
    <t>8.4</t>
  </si>
  <si>
    <t>pozostałe podatki i opłaty</t>
  </si>
  <si>
    <t>10.1</t>
  </si>
  <si>
    <t>krajowe</t>
  </si>
  <si>
    <t>10.2</t>
  </si>
  <si>
    <t>ryczałty za używanie prywatnych samochodów</t>
  </si>
  <si>
    <t>ubezpieczenia</t>
  </si>
  <si>
    <t>działalność gospodarcza</t>
  </si>
  <si>
    <t>KOSZTY FINANSOWE</t>
  </si>
  <si>
    <t>KOSZTY OPERACYJNE</t>
  </si>
  <si>
    <t>ZYSKI NADZWYCZAJNE</t>
  </si>
  <si>
    <t>STRATY NADZWYCZAJNE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</si>
  <si>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</si>
  <si>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bieżących zadań własnych powiatu</t>
  </si>
  <si>
    <t>KOSZTY OGÓŁEM</t>
  </si>
  <si>
    <t>ZMIANA STANU PRODUKTÓW</t>
  </si>
  <si>
    <t>ZYSK/STRATA NETTO</t>
  </si>
  <si>
    <t>1</t>
  </si>
  <si>
    <t>transfery z budżetu państwa (dotacje, subwencje na inwestycje)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</si>
  <si>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</si>
  <si>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</si>
  <si>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</si>
  <si>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</si>
  <si>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</si>
  <si>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</si>
  <si>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2008-2009</t>
  </si>
  <si>
    <t>Koszty kwalifiko-wane w ramach projektu</t>
  </si>
  <si>
    <t xml:space="preserve">   - pochodne (bez pochodnych od stypendiów sportowych)</t>
  </si>
  <si>
    <t>wydatki majątkowe własne</t>
  </si>
  <si>
    <t>INWESTYCJE KOMUNALNE FINANSOWANE Z BUDŻETU MIASTA ORAZ GFOŚiGW</t>
  </si>
  <si>
    <t xml:space="preserve">budżet Miasta </t>
  </si>
  <si>
    <t>Przebudowa przystani jachtowej w Łunowie</t>
  </si>
  <si>
    <t>35.</t>
  </si>
  <si>
    <t>39.</t>
  </si>
  <si>
    <t>40.</t>
  </si>
  <si>
    <t>41.</t>
  </si>
  <si>
    <t>42.</t>
  </si>
  <si>
    <t>43.</t>
  </si>
  <si>
    <t>44.</t>
  </si>
  <si>
    <t>45.</t>
  </si>
  <si>
    <t>46.</t>
  </si>
  <si>
    <t>wydatki majątkowe zlecone</t>
  </si>
  <si>
    <t>0390</t>
  </si>
  <si>
    <t>Placówki opiekuńczo-wychowawcze</t>
  </si>
  <si>
    <t>2690</t>
  </si>
  <si>
    <t xml:space="preserve">    - uzdrowiskowa</t>
  </si>
  <si>
    <t>Urzędy naczelnych organów władzy państwowej, kontroli i ochrony prawa oraz sądownictwa</t>
  </si>
  <si>
    <t>Rb 28S</t>
  </si>
  <si>
    <t>Przedszkola Miejskie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</si>
  <si>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</si>
  <si>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</si>
  <si>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</si>
  <si>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</si>
  <si>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</si>
  <si>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</si>
  <si>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>5. Dochody z majątku</t>
  </si>
  <si>
    <t xml:space="preserve">  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</si>
  <si>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</si>
  <si>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</si>
  <si>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 xml:space="preserve">8. Inne dochody 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</si>
  <si>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</si>
  <si>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</si>
  <si>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</si>
  <si>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</si>
  <si>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</si>
  <si>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</si>
  <si>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</si>
  <si>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</si>
  <si>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</si>
  <si>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>Przebudowa ulic: Małopolskiej, Kaszubskiej i Mazurskiej</t>
  </si>
  <si>
    <t>materiały medyczne wielokrotnego użycia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</si>
  <si>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</si>
  <si>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</si>
  <si>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</si>
  <si>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</si>
  <si>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</si>
  <si>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</si>
  <si>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</si>
  <si>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</si>
  <si>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</si>
  <si>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</si>
  <si>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</si>
  <si>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</si>
  <si>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</si>
  <si>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</si>
  <si>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</si>
  <si>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</si>
  <si>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</si>
  <si>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 xml:space="preserve">  b) na zadania z zakresu administracji rządowej</t>
  </si>
  <si>
    <t>2701</t>
  </si>
  <si>
    <t>85324</t>
  </si>
  <si>
    <t>Państwowy Fundusz Rehabilitacji Osób Niepełnosprawnych</t>
  </si>
  <si>
    <t>Nr uchwały
 lub zarządzenia</t>
  </si>
  <si>
    <t>75818</t>
  </si>
  <si>
    <t>Rezerwy ogólne i celowe</t>
  </si>
  <si>
    <t>85311</t>
  </si>
  <si>
    <t>Wyszczególnienie jednostek</t>
  </si>
  <si>
    <t>Liceum Ogólnokształcące z Oddziałami Integracyjnymi</t>
  </si>
  <si>
    <t>Rehabilitacja zawodowa i społeczna osób niepełnosprawnych</t>
  </si>
  <si>
    <t>Nr uchwały 
lub zarządzenia</t>
  </si>
  <si>
    <t>75406</t>
  </si>
  <si>
    <t>Straż Graniczna</t>
  </si>
  <si>
    <t>60004</t>
  </si>
  <si>
    <t>Lokalny transport zbiorowy</t>
  </si>
  <si>
    <t>0928</t>
  </si>
  <si>
    <t>DOCHODY-WYDATKI</t>
  </si>
  <si>
    <t>6. Odsetki od środków finansowych zgromadzonych na rachunkach  bankowych</t>
  </si>
  <si>
    <t>Otrzymane darowizny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</si>
  <si>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</si>
  <si>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</si>
  <si>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</si>
  <si>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</si>
  <si>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</si>
  <si>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</si>
  <si>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</si>
  <si>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</si>
  <si>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</si>
  <si>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</si>
  <si>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</si>
  <si>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</si>
  <si>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</si>
  <si>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</si>
  <si>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</si>
  <si>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</si>
  <si>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</si>
  <si>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</si>
  <si>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</si>
  <si>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</si>
  <si>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</si>
  <si>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</si>
  <si>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</si>
  <si>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</si>
  <si>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</si>
  <si>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</si>
  <si>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</si>
  <si>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</si>
  <si>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</si>
  <si>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</si>
  <si>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 xml:space="preserve">Przychody </t>
  </si>
  <si>
    <t xml:space="preserve">Rozchody </t>
  </si>
  <si>
    <t>Nadzór budowlany</t>
  </si>
  <si>
    <t>71035</t>
  </si>
  <si>
    <t>Cmentarze</t>
  </si>
  <si>
    <t>750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</si>
  <si>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</si>
  <si>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</si>
  <si>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</si>
  <si>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</si>
  <si>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</si>
  <si>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</si>
  <si>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</si>
  <si>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</si>
  <si>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</si>
  <si>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Starostwa powiatowe</t>
  </si>
  <si>
    <t>75023</t>
  </si>
  <si>
    <t>75045</t>
  </si>
  <si>
    <t>Komisje poborowe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</si>
  <si>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</si>
  <si>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</si>
  <si>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</si>
  <si>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</si>
  <si>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</si>
  <si>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</si>
  <si>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</si>
  <si>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</si>
  <si>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</si>
  <si>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</si>
  <si>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</si>
  <si>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</si>
  <si>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</si>
  <si>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</si>
  <si>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</si>
  <si>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</si>
  <si>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</si>
  <si>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</si>
  <si>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</si>
  <si>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</si>
  <si>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</si>
  <si>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</si>
  <si>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</si>
  <si>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</si>
  <si>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Mosty do wiedzy - wyrównanie szans edukacyjnych w Świnoujściu</t>
  </si>
  <si>
    <t>Drogi publiczne w miastach na prawach powiatu (w rozdziale nie ujmuje się wydatków na drogi gminne)</t>
  </si>
  <si>
    <t>Poradnie psychologiczno-pedagogiczne, w tym poradnie specjalistyczne</t>
  </si>
  <si>
    <t>Przebudowa ulicy Zalewowej</t>
  </si>
  <si>
    <t>33.</t>
  </si>
  <si>
    <t>Dodatki mieszkaniowe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</si>
  <si>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</si>
  <si>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</si>
  <si>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</si>
  <si>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</si>
  <si>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</si>
  <si>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</si>
  <si>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</si>
  <si>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 xml:space="preserve">    - wpływy z różnych dochodów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</si>
  <si>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</si>
  <si>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</si>
  <si>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</si>
  <si>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</si>
  <si>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</si>
  <si>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</si>
  <si>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</si>
  <si>
    <t>Dochody bieżące</t>
  </si>
  <si>
    <t>środki z innych źródeł</t>
  </si>
  <si>
    <t>pozostałe</t>
  </si>
  <si>
    <t>1.1</t>
  </si>
  <si>
    <t>1.2</t>
  </si>
  <si>
    <t>1.3</t>
  </si>
  <si>
    <t>2.1</t>
  </si>
  <si>
    <t>2.2</t>
  </si>
  <si>
    <t>- spłata kredytów i pożyczek</t>
  </si>
  <si>
    <t>- spłata pożyczki na prefinansowanie</t>
  </si>
  <si>
    <t>2.3</t>
  </si>
  <si>
    <t>1.4</t>
  </si>
  <si>
    <t>dotacje</t>
  </si>
  <si>
    <t>obsługa długu publicznego</t>
  </si>
  <si>
    <t>wg Rb28S</t>
  </si>
  <si>
    <t>Wg rb27S</t>
  </si>
  <si>
    <t>tabela</t>
  </si>
  <si>
    <t>2.4</t>
  </si>
  <si>
    <t>dotacje z budżetu państwa</t>
  </si>
  <si>
    <t>Tabela nr 3</t>
  </si>
  <si>
    <t>OGÓŁEM INWESTYCJE KOMUNALNE (WIM)</t>
  </si>
  <si>
    <t>Punkt Przedszkolny "Tygrysek"</t>
  </si>
  <si>
    <t>Liceum Ogólnokształcące "HOSSA" Centrum Edukacji i Wspierania Przedsiębiorczości Szczecińskiej Fundacji "Talent-Promocja-Postęp"</t>
  </si>
  <si>
    <t>ZOZ Szpital Miejski im. Jana Garduły</t>
  </si>
  <si>
    <t>Tabela nie uwzględnia dotacji otrzymywanej na podtrzymanie funkcji uzdrowiskowej (75814 - Różne rozliczenia finansowe)</t>
  </si>
  <si>
    <t>Amortyzacja</t>
  </si>
  <si>
    <t>Usługi materialne</t>
  </si>
  <si>
    <t>Wynagrodzenia</t>
  </si>
  <si>
    <t>Podróże służbowe i koszty zakwaterowania</t>
  </si>
  <si>
    <t>Usługi niematerialne</t>
  </si>
  <si>
    <t>MIEJSKI DOM KULTURY</t>
  </si>
  <si>
    <t>2.5</t>
  </si>
  <si>
    <t>zadania własne</t>
  </si>
  <si>
    <t xml:space="preserve">    - pozostałe opłaty wraz z rekompensatą utraconych dochodów</t>
  </si>
  <si>
    <t xml:space="preserve">OTRZYMANE DOTACJE Z BUDŻETU PAŃSTWA ORAZ ICH WYDATKOWANIE </t>
  </si>
  <si>
    <t xml:space="preserve">zadania realizowane na podstawie  porozumień z organami administracji  rządowej </t>
  </si>
  <si>
    <t>zadania z zakresu administracji  rządowej</t>
  </si>
  <si>
    <t>Kredyty</t>
  </si>
  <si>
    <t>Pożyczki</t>
  </si>
  <si>
    <t>zadania realizowane na podstawie porozumień z innymi jednostkami samorządu terytorialnego</t>
  </si>
  <si>
    <t>Sprawdzenie Rb 27S i Rb28S</t>
  </si>
  <si>
    <t>Sprawdzenie Rb 27S</t>
  </si>
  <si>
    <t xml:space="preserve">  d) na zadania realizowane na podstawie porozumień 
      z innymi jednostkami samorządu terytorialnego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</si>
  <si>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</si>
  <si>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</si>
  <si>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</si>
  <si>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</si>
  <si>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</si>
  <si>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</si>
  <si>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</si>
  <si>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</si>
  <si>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</si>
  <si>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</si>
  <si>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</si>
  <si>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inne</t>
  </si>
  <si>
    <t>Drogi publiczne krajowe</t>
  </si>
  <si>
    <t>Specjalne ośrodki szkolno-wychowawcze</t>
  </si>
  <si>
    <t>ŁĄCZNIE GMINA I POWIAT</t>
  </si>
  <si>
    <t>Nadwyżka/ Deficyt (I -II)</t>
  </si>
  <si>
    <t>- kredyty i pożyczki</t>
  </si>
  <si>
    <t>2008-2011</t>
  </si>
  <si>
    <t>Miejski Ośrodek Pomocy Rodzinie</t>
  </si>
  <si>
    <t>Powiatowy Urząd Pracy</t>
  </si>
  <si>
    <t>Urząd Miasta (WO)</t>
  </si>
  <si>
    <t xml:space="preserve">Wartość całkowita projektu
</t>
  </si>
  <si>
    <t>- wykup obligacji komunalnych</t>
  </si>
  <si>
    <t>Dotacje celowe przekazane z budżetu państwa na zadania bieżące realizowane przez gminę na podstawie porozumień z organami administracji rządowej</t>
  </si>
  <si>
    <t>Dotacje celowe otrzymane z gminy na zadania bieżące realizowane na podstawie porozumień (umów) między jednostkami samorządu terytorialnego</t>
  </si>
  <si>
    <t xml:space="preserve">Środki na dofinansowanie własnych zadań 
bieżących gmin (związków gmin), powiatów (związków powiatów), samorządów województw, pozyskane z innych źródeł
</t>
  </si>
  <si>
    <t>6430</t>
  </si>
  <si>
    <t>!!! NIE POWINNO BYĆ MINUS</t>
  </si>
  <si>
    <t>Dotacje celowe otrzymane z budżetu państwa na realizację inwestycji i zakupów inwestycyjnych własnych powiatu</t>
  </si>
  <si>
    <t>Klasyfikacja
§</t>
  </si>
  <si>
    <t>§ 955</t>
  </si>
  <si>
    <t>§ 992</t>
  </si>
  <si>
    <t>§ 982</t>
  </si>
  <si>
    <t xml:space="preserve">    - wpływy za realizację dochodów skarbu państwa</t>
  </si>
  <si>
    <t>921</t>
  </si>
  <si>
    <t>926</t>
  </si>
  <si>
    <t>KULTURA FIZYCZNA I SPORT</t>
  </si>
  <si>
    <t>% wykonania</t>
  </si>
  <si>
    <t>udział</t>
  </si>
  <si>
    <t xml:space="preserve">Udział </t>
  </si>
  <si>
    <t>92601</t>
  </si>
  <si>
    <t>Obiekty sportowe</t>
  </si>
  <si>
    <t>92605</t>
  </si>
  <si>
    <t>Zadania w zakresie kultury fizycznej i sportu</t>
  </si>
  <si>
    <t>Dział</t>
  </si>
  <si>
    <t>Wyszczególnienie</t>
  </si>
  <si>
    <t>Miejski Dom Kultury</t>
  </si>
  <si>
    <t>Zadania w zakresie oświaty i wychowania</t>
  </si>
  <si>
    <t>6410</t>
  </si>
  <si>
    <t xml:space="preserve">    - dotacja z funduszu celowego</t>
  </si>
  <si>
    <t>§</t>
  </si>
  <si>
    <t>LEŚNICTWO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</si>
  <si>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</si>
  <si>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</si>
  <si>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</si>
  <si>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</si>
  <si>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</si>
  <si>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</si>
  <si>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Pozostałe odsetki</t>
  </si>
  <si>
    <t>80103</t>
  </si>
  <si>
    <t>Oddziały przedszkolne w szkołach podstawowych</t>
  </si>
  <si>
    <t>1) budżet Miasta</t>
  </si>
  <si>
    <t>2) GFOŚiGW</t>
  </si>
  <si>
    <t>Rewaloryzacja zabytkowego Parku Zdrojowego (etap II)</t>
  </si>
  <si>
    <t>30.06.2009</t>
  </si>
  <si>
    <t>Przebudowa ulicy B. Chrobrego (odcinek od ul. Wybrzeże Władysława IV do skrzyżowania z ul. Sikorskiego, Mieszka I i Piastowską)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</si>
  <si>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</si>
  <si>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</si>
  <si>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</si>
  <si>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</si>
  <si>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>Jednostka realizu-
jąca</t>
  </si>
  <si>
    <t>Fundusz nagród</t>
  </si>
  <si>
    <t xml:space="preserve">Urzędy naczelnych organów władzy państwowej, kontroli i ochrony prawa 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</si>
  <si>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</si>
  <si>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</si>
  <si>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</si>
  <si>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</si>
  <si>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</si>
  <si>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</si>
  <si>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</si>
  <si>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</si>
  <si>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</si>
  <si>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</si>
  <si>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</si>
  <si>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</si>
  <si>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</si>
  <si>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</si>
  <si>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</si>
  <si>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</si>
  <si>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</si>
  <si>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</si>
  <si>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 xml:space="preserve">DOCHODY I WYDATKI DOCHODÓW WŁASNYCH  JEDNOSTEK BUDŻETOWYCH </t>
  </si>
  <si>
    <t>Wpływy z opłaty skarbowej</t>
  </si>
  <si>
    <t>75621</t>
  </si>
  <si>
    <t>Udziały gmin w podatkach stanowiących dochód 
budżetu państwa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</si>
  <si>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</si>
  <si>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4. Wpłaty na fundusz celowy (§3000 - wpłaty jednostek na fundusz celowy)</t>
  </si>
  <si>
    <t>Zadania z zakresu bezpieczeństwa publicznego</t>
  </si>
  <si>
    <t>Samodzielny Publiczny Zakład Opieki Zdrowotnej Szpital Miejski im. Jana Garduły</t>
  </si>
  <si>
    <t>Podatek dochodowy od osób fizycznych</t>
  </si>
  <si>
    <t>Środki na dofinansowanie własnych zadań bieżących gmin (związków gmin), powiatów (związków powiatów), samorządów województw, pozyskane z innych źródeł</t>
  </si>
  <si>
    <t>Wpływy z opłat za wydawanie zezwoleń na sprzedaż alkoholu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</si>
  <si>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</si>
  <si>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</si>
  <si>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</si>
  <si>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</si>
  <si>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</si>
  <si>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</si>
  <si>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</si>
  <si>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</si>
  <si>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</si>
  <si>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</si>
  <si>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</si>
  <si>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</si>
  <si>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</si>
  <si>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</si>
  <si>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</si>
  <si>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</si>
  <si>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</si>
  <si>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</si>
  <si>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</si>
  <si>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</si>
  <si>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</si>
  <si>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</si>
  <si>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</si>
  <si>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</si>
  <si>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</si>
  <si>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DOCHODY I WYDATKI ZWIĄZANE Z REALIZACJĄ ZADAŃ WYKONYWANYCH NA PODSTAWIE POROZUMIEŃ (UMÓW) 
MIĘDZY JEDNOSTKAMI SAMORZĄDU TERYTORIALNEGO</t>
  </si>
  <si>
    <t>Lp.</t>
  </si>
  <si>
    <t>I</t>
  </si>
  <si>
    <t>Dochody ogółem</t>
  </si>
  <si>
    <t>1.</t>
  </si>
  <si>
    <t>2.</t>
  </si>
  <si>
    <t>II</t>
  </si>
  <si>
    <t>Wydatki ogółem</t>
  </si>
  <si>
    <t>III</t>
  </si>
  <si>
    <t>X</t>
  </si>
  <si>
    <t>Dotacje z budżetu Miasta</t>
  </si>
  <si>
    <t>Komenda Miejska Państwowej Straży Pożarnej</t>
  </si>
  <si>
    <t>Usługi remontowe</t>
  </si>
  <si>
    <t>Inwestycje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</si>
</sst>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0.0"/>
    <numFmt numFmtId="170" formatCode="0.0000"/>
    <numFmt numFmtId="171" formatCode="0.000"/>
    <numFmt numFmtId="172" formatCode="#,##0.0\ _z_ł"/>
    <numFmt numFmtId="173" formatCode="0.00000"/>
    <numFmt numFmtId="174" formatCode="#,##0.0"/>
    <numFmt numFmtId="175" formatCode="_-* #,##0\ _z_ł_-;\-* #,##0\ _z_ł_-;_-* &quot;-&quot;??\ _z_ł_-;_-@_-"/>
    <numFmt numFmtId="176" formatCode="#,##0.00_ ;\-#,##0.00\ "/>
    <numFmt numFmtId="177" formatCode="#,##0.00\ &quot;zł&quot;"/>
    <numFmt numFmtId="178" formatCode="#,##0.000"/>
    <numFmt numFmtId="179" formatCode="#,##0.0000"/>
    <numFmt numFmtId="180" formatCode="#,##0.000_ ;\-#,##0.000\ "/>
    <numFmt numFmtId="181" formatCode="#,##0.0_ ;\-#,##0.0\ "/>
    <numFmt numFmtId="182" formatCode="#,##0.0000_ ;\-#,##0.000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_-* #,##0.0\ _z_ł_-;\-* #,##0.0\ _z_ł_-;_-* &quot;-&quot;??\ _z_ł_-;_-@_-"/>
    <numFmt numFmtId="187" formatCode="_-* #,##0.000\ &quot;zł&quot;_-;\-* #,##0.000\ &quot;zł&quot;_-;_-* &quot;-&quot;??\ &quot;zł&quot;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0\ _z_ł_-;\-* #,##0.000\ _z_ł_-;_-* &quot;-&quot;???\ _z_ł_-;_-@_-"/>
    <numFmt numFmtId="195" formatCode="_-* #,##0.0\ _z_ł_-;\-* #,##0.0\ _z_ł_-;_-* &quot;-&quot;?\ _z_ł_-;_-@_-"/>
    <numFmt numFmtId="196" formatCode="0.000000"/>
    <numFmt numFmtId="197" formatCode="0.00000000"/>
    <numFmt numFmtId="198" formatCode="0.0000000"/>
    <numFmt numFmtId="199" formatCode="0.000000000"/>
    <numFmt numFmtId="200" formatCode="0.0000000000"/>
    <numFmt numFmtId="201" formatCode="0.00000000000"/>
    <numFmt numFmtId="202" formatCode="0.000000000000"/>
    <numFmt numFmtId="203" formatCode="#,##0.00\ _z_ł"/>
    <numFmt numFmtId="204" formatCode="0.0%"/>
    <numFmt numFmtId="205" formatCode="_-* #,##0\ _z_ł_-;\-* #,##0\ _z_ł_-;_-* \-??\ _z_ł_-;_-@_-"/>
    <numFmt numFmtId="206" formatCode="_-* #,##0.00\ _z_ł_-;\-* #,##0.00\ _z_ł_-;_-* \-??\ _z_ł_-;_-@_-"/>
  </numFmts>
  <fonts count="35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1">
    <xf numFmtId="0" fontId="0" fillId="0" borderId="0" xfId="0" applyAlignment="1">
      <alignment/>
    </xf>
    <xf numFmtId="4" fontId="6" fillId="0" borderId="1" xfId="0" applyNumberFormat="1" applyFont="1" applyBorder="1" applyAlignment="1">
      <alignment vertical="center"/>
    </xf>
    <xf numFmtId="172" fontId="6" fillId="0" borderId="1" xfId="0" applyNumberFormat="1" applyFont="1" applyBorder="1" applyAlignment="1">
      <alignment horizontal="right" vertical="center"/>
    </xf>
    <xf numFmtId="195" fontId="6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12" fillId="0" borderId="4" xfId="0" applyNumberFormat="1" applyFont="1" applyFill="1" applyBorder="1" applyAlignment="1">
      <alignment horizontal="right" vertical="top"/>
    </xf>
    <xf numFmtId="169" fontId="12" fillId="0" borderId="5" xfId="0" applyNumberFormat="1" applyFont="1" applyFill="1" applyBorder="1" applyAlignment="1">
      <alignment horizontal="right" vertical="top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2" borderId="0" xfId="22" applyFont="1" applyFill="1" applyAlignment="1">
      <alignment vertical="center"/>
      <protection/>
    </xf>
    <xf numFmtId="4" fontId="9" fillId="2" borderId="0" xfId="22" applyNumberFormat="1" applyFont="1" applyFill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2" applyFont="1" applyAlignment="1">
      <alignment horizontal="center" vertical="center" wrapText="1"/>
      <protection/>
    </xf>
    <xf numFmtId="0" fontId="9" fillId="0" borderId="0" xfId="22" applyFont="1" applyAlignment="1">
      <alignment horizontal="center"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vertical="center" wrapText="1"/>
      <protection/>
    </xf>
    <xf numFmtId="0" fontId="10" fillId="3" borderId="6" xfId="22" applyFont="1" applyFill="1" applyBorder="1" applyAlignment="1">
      <alignment horizontal="center" vertical="center"/>
      <protection/>
    </xf>
    <xf numFmtId="0" fontId="10" fillId="3" borderId="7" xfId="22" applyFont="1" applyFill="1" applyBorder="1" applyAlignment="1">
      <alignment horizontal="center" vertical="center"/>
      <protection/>
    </xf>
    <xf numFmtId="0" fontId="10" fillId="0" borderId="0" xfId="22" applyFont="1" applyAlignment="1">
      <alignment vertical="center"/>
      <protection/>
    </xf>
    <xf numFmtId="0" fontId="11" fillId="3" borderId="8" xfId="22" applyFont="1" applyFill="1" applyBorder="1" applyAlignment="1">
      <alignment horizontal="center" vertical="center" wrapText="1"/>
      <protection/>
    </xf>
    <xf numFmtId="0" fontId="11" fillId="3" borderId="6" xfId="22" applyFont="1" applyFill="1" applyBorder="1" applyAlignment="1">
      <alignment horizontal="center" vertical="center" wrapText="1"/>
      <protection/>
    </xf>
    <xf numFmtId="0" fontId="11" fillId="3" borderId="6" xfId="22" applyFont="1" applyFill="1" applyBorder="1" applyAlignment="1">
      <alignment horizontal="center" vertical="center"/>
      <protection/>
    </xf>
    <xf numFmtId="0" fontId="11" fillId="3" borderId="7" xfId="22" applyFont="1" applyFill="1" applyBorder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9" fillId="0" borderId="8" xfId="22" applyFont="1" applyBorder="1" applyAlignment="1">
      <alignment horizontal="center" vertical="center"/>
      <protection/>
    </xf>
    <xf numFmtId="49" fontId="9" fillId="0" borderId="6" xfId="22" applyNumberFormat="1" applyFont="1" applyBorder="1" applyAlignment="1">
      <alignment horizontal="center" vertical="center"/>
      <protection/>
    </xf>
    <xf numFmtId="4" fontId="9" fillId="0" borderId="6" xfId="22" applyNumberFormat="1" applyFont="1" applyBorder="1" applyAlignment="1">
      <alignment vertical="center"/>
      <protection/>
    </xf>
    <xf numFmtId="4" fontId="9" fillId="0" borderId="7" xfId="22" applyNumberFormat="1" applyFont="1" applyBorder="1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10" fillId="2" borderId="6" xfId="22" applyFont="1" applyFill="1" applyBorder="1" applyAlignment="1">
      <alignment horizontal="center" vertical="center"/>
      <protection/>
    </xf>
    <xf numFmtId="0" fontId="10" fillId="2" borderId="7" xfId="22" applyFont="1" applyFill="1" applyBorder="1" applyAlignment="1">
      <alignment horizontal="center" vertical="center"/>
      <protection/>
    </xf>
    <xf numFmtId="0" fontId="10" fillId="2" borderId="8" xfId="22" applyFont="1" applyFill="1" applyBorder="1" applyAlignment="1">
      <alignment horizontal="center" vertical="center" wrapText="1"/>
      <protection/>
    </xf>
    <xf numFmtId="0" fontId="10" fillId="2" borderId="6" xfId="22" applyFont="1" applyFill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/>
      <protection/>
    </xf>
    <xf numFmtId="0" fontId="9" fillId="0" borderId="9" xfId="22" applyFont="1" applyFill="1" applyBorder="1" applyAlignment="1">
      <alignment horizontal="center" vertical="center"/>
      <protection/>
    </xf>
    <xf numFmtId="49" fontId="9" fillId="0" borderId="6" xfId="22" applyNumberFormat="1" applyFont="1" applyFill="1" applyBorder="1" applyAlignment="1">
      <alignment horizontal="center" vertical="center"/>
      <protection/>
    </xf>
    <xf numFmtId="4" fontId="9" fillId="0" borderId="6" xfId="22" applyNumberFormat="1" applyFont="1" applyFill="1" applyBorder="1" applyAlignment="1">
      <alignment vertical="center"/>
      <protection/>
    </xf>
    <xf numFmtId="4" fontId="9" fillId="0" borderId="7" xfId="22" applyNumberFormat="1" applyFont="1" applyFill="1" applyBorder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4" fontId="9" fillId="0" borderId="10" xfId="22" applyNumberFormat="1" applyFont="1" applyFill="1" applyBorder="1" applyAlignment="1">
      <alignment vertical="center"/>
      <protection/>
    </xf>
    <xf numFmtId="4" fontId="10" fillId="4" borderId="6" xfId="22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right" vertical="center"/>
    </xf>
    <xf numFmtId="174" fontId="10" fillId="4" borderId="13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vertical="center"/>
    </xf>
    <xf numFmtId="174" fontId="9" fillId="0" borderId="2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174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174" fontId="1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/>
    </xf>
    <xf numFmtId="174" fontId="12" fillId="0" borderId="16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172" fontId="10" fillId="0" borderId="22" xfId="0" applyNumberFormat="1" applyFont="1" applyBorder="1" applyAlignment="1">
      <alignment horizontal="right" vertical="center"/>
    </xf>
    <xf numFmtId="195" fontId="10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22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/>
    </xf>
    <xf numFmtId="172" fontId="9" fillId="0" borderId="22" xfId="0" applyNumberFormat="1" applyFont="1" applyBorder="1" applyAlignment="1">
      <alignment horizontal="right" vertical="center"/>
    </xf>
    <xf numFmtId="195" fontId="9" fillId="0" borderId="5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195" fontId="10" fillId="0" borderId="5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left" vertical="top"/>
    </xf>
    <xf numFmtId="4" fontId="10" fillId="0" borderId="4" xfId="0" applyNumberFormat="1" applyFont="1" applyFill="1" applyBorder="1" applyAlignment="1">
      <alignment horizontal="right" vertical="top"/>
    </xf>
    <xf numFmtId="169" fontId="10" fillId="0" borderId="24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horizontal="right" vertical="top"/>
    </xf>
    <xf numFmtId="169" fontId="9" fillId="0" borderId="24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49" fontId="12" fillId="0" borderId="21" xfId="0" applyNumberFormat="1" applyFont="1" applyFill="1" applyBorder="1" applyAlignment="1">
      <alignment horizontal="center" vertical="top"/>
    </xf>
    <xf numFmtId="49" fontId="12" fillId="0" borderId="23" xfId="0" applyNumberFormat="1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vertical="top" wrapText="1"/>
    </xf>
    <xf numFmtId="169" fontId="12" fillId="0" borderId="24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vertical="top"/>
    </xf>
    <xf numFmtId="4" fontId="10" fillId="0" borderId="4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vertical="top"/>
    </xf>
    <xf numFmtId="4" fontId="9" fillId="0" borderId="4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9" fontId="12" fillId="0" borderId="4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vertical="top"/>
    </xf>
    <xf numFmtId="4" fontId="12" fillId="0" borderId="4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49" fontId="12" fillId="0" borderId="4" xfId="0" applyNumberFormat="1" applyFont="1" applyFill="1" applyBorder="1" applyAlignment="1">
      <alignment vertical="top" wrapText="1"/>
    </xf>
    <xf numFmtId="4" fontId="9" fillId="0" borderId="22" xfId="0" applyNumberFormat="1" applyFont="1" applyFill="1" applyBorder="1" applyAlignment="1">
      <alignment vertical="top"/>
    </xf>
    <xf numFmtId="4" fontId="12" fillId="0" borderId="22" xfId="0" applyNumberFormat="1" applyFont="1" applyFill="1" applyBorder="1" applyAlignment="1">
      <alignment vertical="top"/>
    </xf>
    <xf numFmtId="169" fontId="9" fillId="0" borderId="5" xfId="0" applyNumberFormat="1" applyFont="1" applyFill="1" applyBorder="1" applyAlignment="1">
      <alignment horizontal="right" vertical="top"/>
    </xf>
    <xf numFmtId="49" fontId="10" fillId="0" borderId="4" xfId="0" applyNumberFormat="1" applyFont="1" applyFill="1" applyBorder="1" applyAlignment="1">
      <alignment vertical="top" wrapText="1"/>
    </xf>
    <xf numFmtId="4" fontId="10" fillId="0" borderId="0" xfId="0" applyNumberFormat="1" applyFont="1" applyBorder="1" applyAlignment="1">
      <alignment vertical="top"/>
    </xf>
    <xf numFmtId="4" fontId="10" fillId="0" borderId="4" xfId="0" applyNumberFormat="1" applyFont="1" applyBorder="1" applyAlignment="1">
      <alignment vertical="top"/>
    </xf>
    <xf numFmtId="49" fontId="9" fillId="0" borderId="22" xfId="0" applyNumberFormat="1" applyFont="1" applyFill="1" applyBorder="1" applyAlignment="1">
      <alignment horizontal="center" vertical="top"/>
    </xf>
    <xf numFmtId="49" fontId="12" fillId="0" borderId="22" xfId="0" applyNumberFormat="1" applyFont="1" applyFill="1" applyBorder="1" applyAlignment="1">
      <alignment horizontal="center" vertical="top"/>
    </xf>
    <xf numFmtId="49" fontId="12" fillId="0" borderId="23" xfId="0" applyNumberFormat="1" applyFont="1" applyFill="1" applyBorder="1" applyAlignment="1">
      <alignment vertical="top"/>
    </xf>
    <xf numFmtId="4" fontId="12" fillId="0" borderId="23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49" fontId="12" fillId="0" borderId="4" xfId="0" applyNumberFormat="1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vertical="top"/>
    </xf>
    <xf numFmtId="49" fontId="12" fillId="0" borderId="21" xfId="0" applyNumberFormat="1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vertical="top"/>
    </xf>
    <xf numFmtId="4" fontId="9" fillId="0" borderId="4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top" wrapText="1"/>
    </xf>
    <xf numFmtId="49" fontId="12" fillId="0" borderId="4" xfId="0" applyNumberFormat="1" applyFont="1" applyBorder="1" applyAlignment="1">
      <alignment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vertical="top"/>
    </xf>
    <xf numFmtId="4" fontId="9" fillId="0" borderId="23" xfId="0" applyNumberFormat="1" applyFont="1" applyBorder="1" applyAlignment="1">
      <alignment vertical="top"/>
    </xf>
    <xf numFmtId="49" fontId="12" fillId="0" borderId="25" xfId="0" applyNumberFormat="1" applyFont="1" applyBorder="1" applyAlignment="1">
      <alignment horizontal="center" vertical="top"/>
    </xf>
    <xf numFmtId="49" fontId="12" fillId="0" borderId="22" xfId="0" applyNumberFormat="1" applyFont="1" applyBorder="1" applyAlignment="1">
      <alignment horizontal="center" vertical="top"/>
    </xf>
    <xf numFmtId="49" fontId="12" fillId="0" borderId="22" xfId="0" applyNumberFormat="1" applyFont="1" applyBorder="1" applyAlignment="1">
      <alignment vertical="top"/>
    </xf>
    <xf numFmtId="4" fontId="12" fillId="0" borderId="22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vertical="top" wrapText="1"/>
    </xf>
    <xf numFmtId="169" fontId="10" fillId="0" borderId="24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 wrapText="1"/>
    </xf>
    <xf numFmtId="169" fontId="9" fillId="0" borderId="24" xfId="0" applyNumberFormat="1" applyFont="1" applyBorder="1" applyAlignment="1">
      <alignment horizontal="right" vertical="top"/>
    </xf>
    <xf numFmtId="169" fontId="12" fillId="0" borderId="24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top"/>
    </xf>
    <xf numFmtId="49" fontId="12" fillId="0" borderId="23" xfId="0" applyNumberFormat="1" applyFont="1" applyBorder="1" applyAlignment="1">
      <alignment vertical="top"/>
    </xf>
    <xf numFmtId="0" fontId="13" fillId="0" borderId="0" xfId="0" applyFont="1" applyAlignment="1">
      <alignment horizontal="center" vertical="top"/>
    </xf>
    <xf numFmtId="49" fontId="12" fillId="0" borderId="22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49" fontId="9" fillId="0" borderId="23" xfId="0" applyNumberFormat="1" applyFont="1" applyBorder="1" applyAlignment="1">
      <alignment vertical="top" wrapText="1"/>
    </xf>
    <xf numFmtId="4" fontId="12" fillId="0" borderId="23" xfId="0" applyNumberFormat="1" applyFont="1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vertical="top" wrapText="1"/>
    </xf>
    <xf numFmtId="4" fontId="9" fillId="0" borderId="22" xfId="0" applyNumberFormat="1" applyFont="1" applyBorder="1" applyAlignment="1">
      <alignment vertical="top"/>
    </xf>
    <xf numFmtId="49" fontId="12" fillId="0" borderId="23" xfId="0" applyNumberFormat="1" applyFont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49" fontId="10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vertical="top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vertical="top" wrapText="1"/>
    </xf>
    <xf numFmtId="49" fontId="12" fillId="0" borderId="18" xfId="0" applyNumberFormat="1" applyFont="1" applyBorder="1" applyAlignment="1">
      <alignment horizontal="center" vertical="top"/>
    </xf>
    <xf numFmtId="49" fontId="12" fillId="0" borderId="26" xfId="0" applyNumberFormat="1" applyFont="1" applyBorder="1" applyAlignment="1">
      <alignment horizontal="center" vertical="top"/>
    </xf>
    <xf numFmtId="49" fontId="12" fillId="0" borderId="26" xfId="0" applyNumberFormat="1" applyFont="1" applyBorder="1" applyAlignment="1">
      <alignment horizontal="center" vertical="top" wrapText="1"/>
    </xf>
    <xf numFmtId="49" fontId="12" fillId="0" borderId="26" xfId="0" applyNumberFormat="1" applyFont="1" applyBorder="1" applyAlignment="1">
      <alignment vertical="top" wrapText="1"/>
    </xf>
    <xf numFmtId="4" fontId="12" fillId="0" borderId="26" xfId="0" applyNumberFormat="1" applyFont="1" applyBorder="1" applyAlignment="1">
      <alignment vertical="top"/>
    </xf>
    <xf numFmtId="169" fontId="12" fillId="0" borderId="27" xfId="0" applyNumberFormat="1" applyFont="1" applyFill="1" applyBorder="1" applyAlignment="1">
      <alignment horizontal="right" vertical="top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6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9" fontId="10" fillId="2" borderId="13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0" fillId="4" borderId="12" xfId="0" applyNumberFormat="1" applyFont="1" applyFill="1" applyBorder="1" applyAlignment="1">
      <alignment horizontal="right" vertical="center"/>
    </xf>
    <xf numFmtId="169" fontId="10" fillId="4" borderId="13" xfId="0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4" fontId="10" fillId="4" borderId="30" xfId="0" applyNumberFormat="1" applyFont="1" applyFill="1" applyBorder="1" applyAlignment="1">
      <alignment vertical="center"/>
    </xf>
    <xf numFmtId="169" fontId="10" fillId="4" borderId="27" xfId="0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top"/>
    </xf>
    <xf numFmtId="49" fontId="9" fillId="0" borderId="23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10" fillId="0" borderId="22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2" fillId="0" borderId="23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vertical="top" wrapText="1"/>
    </xf>
    <xf numFmtId="4" fontId="9" fillId="0" borderId="23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31" xfId="0" applyNumberFormat="1" applyFont="1" applyFill="1" applyBorder="1" applyAlignment="1">
      <alignment horizontal="center" vertical="top"/>
    </xf>
    <xf numFmtId="49" fontId="12" fillId="0" borderId="31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vertical="top" wrapText="1"/>
    </xf>
    <xf numFmtId="4" fontId="12" fillId="0" borderId="31" xfId="0" applyNumberFormat="1" applyFont="1" applyFill="1" applyBorder="1" applyAlignment="1">
      <alignment vertical="top"/>
    </xf>
    <xf numFmtId="169" fontId="9" fillId="0" borderId="32" xfId="0" applyNumberFormat="1" applyFont="1" applyFill="1" applyBorder="1" applyAlignment="1">
      <alignment horizontal="right" vertical="top"/>
    </xf>
    <xf numFmtId="4" fontId="10" fillId="5" borderId="33" xfId="0" applyNumberFormat="1" applyFont="1" applyFill="1" applyBorder="1" applyAlignment="1">
      <alignment horizontal="center" vertical="center"/>
    </xf>
    <xf numFmtId="169" fontId="10" fillId="5" borderId="34" xfId="0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 wrapText="1"/>
    </xf>
    <xf numFmtId="3" fontId="9" fillId="0" borderId="22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49" fontId="9" fillId="4" borderId="0" xfId="0" applyNumberFormat="1" applyFont="1" applyFill="1" applyBorder="1" applyAlignment="1">
      <alignment horizontal="left" vertical="top"/>
    </xf>
    <xf numFmtId="4" fontId="9" fillId="4" borderId="22" xfId="0" applyNumberFormat="1" applyFont="1" applyFill="1" applyBorder="1" applyAlignment="1">
      <alignment vertical="top"/>
    </xf>
    <xf numFmtId="0" fontId="10" fillId="4" borderId="35" xfId="0" applyFont="1" applyFill="1" applyBorder="1" applyAlignment="1">
      <alignment horizontal="left" vertical="top"/>
    </xf>
    <xf numFmtId="4" fontId="10" fillId="4" borderId="1" xfId="0" applyNumberFormat="1" applyFont="1" applyFill="1" applyBorder="1" applyAlignment="1">
      <alignment vertical="top"/>
    </xf>
    <xf numFmtId="49" fontId="11" fillId="2" borderId="36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vertical="top"/>
    </xf>
    <xf numFmtId="49" fontId="9" fillId="0" borderId="36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4" fontId="10" fillId="4" borderId="12" xfId="0" applyNumberFormat="1" applyFont="1" applyFill="1" applyBorder="1" applyAlignment="1">
      <alignment vertical="center"/>
    </xf>
    <xf numFmtId="172" fontId="10" fillId="4" borderId="37" xfId="0" applyNumberFormat="1" applyFont="1" applyFill="1" applyBorder="1" applyAlignment="1">
      <alignment horizontal="right" vertical="center"/>
    </xf>
    <xf numFmtId="195" fontId="10" fillId="4" borderId="13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72" fontId="9" fillId="0" borderId="0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horizontal="right" vertical="center"/>
    </xf>
    <xf numFmtId="195" fontId="12" fillId="0" borderId="5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172" fontId="9" fillId="0" borderId="4" xfId="0" applyNumberFormat="1" applyFont="1" applyBorder="1" applyAlignment="1">
      <alignment horizontal="right" vertical="center"/>
    </xf>
    <xf numFmtId="172" fontId="12" fillId="0" borderId="4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vertical="center"/>
    </xf>
    <xf numFmtId="4" fontId="10" fillId="4" borderId="30" xfId="0" applyNumberFormat="1" applyFont="1" applyFill="1" applyBorder="1" applyAlignment="1">
      <alignment horizontal="right" vertical="center"/>
    </xf>
    <xf numFmtId="4" fontId="9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9" fillId="0" borderId="22" xfId="0" applyNumberFormat="1" applyFont="1" applyFill="1" applyBorder="1" applyAlignment="1">
      <alignment horizontal="right" vertical="top"/>
    </xf>
    <xf numFmtId="4" fontId="12" fillId="0" borderId="22" xfId="0" applyNumberFormat="1" applyFont="1" applyFill="1" applyBorder="1" applyAlignment="1">
      <alignment horizontal="right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vertical="top"/>
    </xf>
    <xf numFmtId="169" fontId="10" fillId="0" borderId="5" xfId="0" applyNumberFormat="1" applyFont="1" applyFill="1" applyBorder="1" applyAlignment="1">
      <alignment horizontal="right" vertical="top"/>
    </xf>
    <xf numFmtId="49" fontId="12" fillId="0" borderId="30" xfId="0" applyNumberFormat="1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vertical="top" wrapText="1"/>
    </xf>
    <xf numFmtId="4" fontId="12" fillId="0" borderId="30" xfId="0" applyNumberFormat="1" applyFont="1" applyBorder="1" applyAlignment="1">
      <alignment vertical="top"/>
    </xf>
    <xf numFmtId="169" fontId="12" fillId="0" borderId="38" xfId="0" applyNumberFormat="1" applyFont="1" applyFill="1" applyBorder="1" applyAlignment="1">
      <alignment horizontal="right" vertical="top"/>
    </xf>
    <xf numFmtId="4" fontId="10" fillId="4" borderId="6" xfId="0" applyNumberFormat="1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right" vertical="center"/>
    </xf>
    <xf numFmtId="169" fontId="10" fillId="4" borderId="7" xfId="0" applyNumberFormat="1" applyFont="1" applyFill="1" applyBorder="1" applyAlignment="1">
      <alignment horizontal="right" vertical="center"/>
    </xf>
    <xf numFmtId="49" fontId="14" fillId="4" borderId="39" xfId="0" applyNumberFormat="1" applyFont="1" applyFill="1" applyBorder="1" applyAlignment="1">
      <alignment vertical="center"/>
    </xf>
    <xf numFmtId="4" fontId="14" fillId="4" borderId="40" xfId="0" applyNumberFormat="1" applyFont="1" applyFill="1" applyBorder="1" applyAlignment="1">
      <alignment horizontal="center" vertical="center"/>
    </xf>
    <xf numFmtId="4" fontId="14" fillId="4" borderId="40" xfId="0" applyNumberFormat="1" applyFont="1" applyFill="1" applyBorder="1" applyAlignment="1">
      <alignment horizontal="right" vertical="center"/>
    </xf>
    <xf numFmtId="169" fontId="14" fillId="4" borderId="41" xfId="0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49" fontId="14" fillId="4" borderId="42" xfId="0" applyNumberFormat="1" applyFont="1" applyFill="1" applyBorder="1" applyAlignment="1">
      <alignment vertical="center"/>
    </xf>
    <xf numFmtId="4" fontId="14" fillId="4" borderId="43" xfId="0" applyNumberFormat="1" applyFont="1" applyFill="1" applyBorder="1" applyAlignment="1">
      <alignment horizontal="right" vertical="center"/>
    </xf>
    <xf numFmtId="169" fontId="14" fillId="4" borderId="44" xfId="0" applyNumberFormat="1" applyFont="1" applyFill="1" applyBorder="1" applyAlignment="1">
      <alignment horizontal="right" vertical="center"/>
    </xf>
    <xf numFmtId="49" fontId="14" fillId="4" borderId="36" xfId="0" applyNumberFormat="1" applyFont="1" applyFill="1" applyBorder="1" applyAlignment="1">
      <alignment vertical="center"/>
    </xf>
    <xf numFmtId="4" fontId="14" fillId="4" borderId="31" xfId="0" applyNumberFormat="1" applyFont="1" applyFill="1" applyBorder="1" applyAlignment="1">
      <alignment horizontal="right" vertical="center"/>
    </xf>
    <xf numFmtId="169" fontId="14" fillId="4" borderId="2" xfId="0" applyNumberFormat="1" applyFont="1" applyFill="1" applyBorder="1" applyAlignment="1">
      <alignment horizontal="right" vertical="center"/>
    </xf>
    <xf numFmtId="4" fontId="14" fillId="5" borderId="0" xfId="0" applyNumberFormat="1" applyFont="1" applyFill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169" fontId="9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right" vertical="top"/>
    </xf>
    <xf numFmtId="3" fontId="9" fillId="0" borderId="0" xfId="0" applyNumberFormat="1" applyFont="1" applyBorder="1" applyAlignment="1">
      <alignment vertical="top"/>
    </xf>
    <xf numFmtId="165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top"/>
    </xf>
    <xf numFmtId="169" fontId="9" fillId="0" borderId="22" xfId="0" applyNumberFormat="1" applyFont="1" applyFill="1" applyBorder="1" applyAlignment="1">
      <alignment horizontal="right" vertical="top"/>
    </xf>
    <xf numFmtId="169" fontId="9" fillId="0" borderId="1" xfId="0" applyNumberFormat="1" applyFont="1" applyFill="1" applyBorder="1" applyAlignment="1">
      <alignment horizontal="right" vertical="top"/>
    </xf>
    <xf numFmtId="169" fontId="9" fillId="4" borderId="22" xfId="0" applyNumberFormat="1" applyFont="1" applyFill="1" applyBorder="1" applyAlignment="1">
      <alignment horizontal="right" vertical="top"/>
    </xf>
    <xf numFmtId="169" fontId="10" fillId="4" borderId="1" xfId="0" applyNumberFormat="1" applyFont="1" applyFill="1" applyBorder="1" applyAlignment="1">
      <alignment horizontal="right" vertical="top"/>
    </xf>
    <xf numFmtId="4" fontId="12" fillId="0" borderId="22" xfId="0" applyNumberFormat="1" applyFont="1" applyFill="1" applyBorder="1" applyAlignment="1">
      <alignment vertical="center"/>
    </xf>
    <xf numFmtId="169" fontId="12" fillId="0" borderId="22" xfId="0" applyNumberFormat="1" applyFont="1" applyFill="1" applyBorder="1" applyAlignment="1">
      <alignment horizontal="right" vertical="center"/>
    </xf>
    <xf numFmtId="169" fontId="12" fillId="0" borderId="22" xfId="0" applyNumberFormat="1" applyFont="1" applyFill="1" applyBorder="1" applyAlignment="1">
      <alignment horizontal="right" vertical="top"/>
    </xf>
    <xf numFmtId="169" fontId="15" fillId="0" borderId="22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vertical="top"/>
    </xf>
    <xf numFmtId="169" fontId="12" fillId="0" borderId="1" xfId="0" applyNumberFormat="1" applyFont="1" applyFill="1" applyBorder="1" applyAlignment="1">
      <alignment horizontal="right" vertical="top"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 horizontal="right"/>
    </xf>
    <xf numFmtId="49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/>
      <protection hidden="1"/>
    </xf>
    <xf numFmtId="0" fontId="9" fillId="2" borderId="45" xfId="0" applyFont="1" applyFill="1" applyBorder="1" applyAlignment="1" applyProtection="1">
      <alignment horizontal="center"/>
      <protection hidden="1"/>
    </xf>
    <xf numFmtId="0" fontId="9" fillId="2" borderId="29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hidden="1"/>
    </xf>
    <xf numFmtId="49" fontId="9" fillId="0" borderId="21" xfId="0" applyNumberFormat="1" applyFont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4" fontId="9" fillId="0" borderId="22" xfId="0" applyNumberFormat="1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49" fontId="10" fillId="0" borderId="21" xfId="0" applyNumberFormat="1" applyFont="1" applyBorder="1" applyAlignment="1" applyProtection="1">
      <alignment/>
      <protection hidden="1"/>
    </xf>
    <xf numFmtId="4" fontId="10" fillId="0" borderId="4" xfId="0" applyNumberFormat="1" applyFont="1" applyBorder="1" applyAlignment="1" applyProtection="1">
      <alignment/>
      <protection hidden="1"/>
    </xf>
    <xf numFmtId="4" fontId="10" fillId="0" borderId="22" xfId="0" applyNumberFormat="1" applyFont="1" applyBorder="1" applyAlignment="1" applyProtection="1">
      <alignment/>
      <protection hidden="1"/>
    </xf>
    <xf numFmtId="169" fontId="10" fillId="0" borderId="5" xfId="0" applyNumberFormat="1" applyFont="1" applyBorder="1" applyAlignment="1" applyProtection="1">
      <alignment/>
      <protection hidden="1"/>
    </xf>
    <xf numFmtId="49" fontId="9" fillId="0" borderId="21" xfId="0" applyNumberFormat="1" applyFont="1" applyBorder="1" applyAlignment="1" applyProtection="1">
      <alignment/>
      <protection hidden="1"/>
    </xf>
    <xf numFmtId="4" fontId="9" fillId="0" borderId="4" xfId="0" applyNumberFormat="1" applyFont="1" applyBorder="1" applyAlignment="1" applyProtection="1">
      <alignment/>
      <protection hidden="1"/>
    </xf>
    <xf numFmtId="4" fontId="9" fillId="0" borderId="22" xfId="0" applyNumberFormat="1" applyFont="1" applyBorder="1" applyAlignment="1" applyProtection="1">
      <alignment/>
      <protection hidden="1"/>
    </xf>
    <xf numFmtId="169" fontId="9" fillId="0" borderId="5" xfId="0" applyNumberFormat="1" applyFont="1" applyBorder="1" applyAlignment="1" applyProtection="1">
      <alignment/>
      <protection hidden="1"/>
    </xf>
    <xf numFmtId="49" fontId="12" fillId="0" borderId="21" xfId="0" applyNumberFormat="1" applyFont="1" applyBorder="1" applyAlignment="1" applyProtection="1">
      <alignment/>
      <protection hidden="1"/>
    </xf>
    <xf numFmtId="4" fontId="12" fillId="0" borderId="4" xfId="0" applyNumberFormat="1" applyFont="1" applyBorder="1" applyAlignment="1" applyProtection="1">
      <alignment/>
      <protection hidden="1"/>
    </xf>
    <xf numFmtId="4" fontId="12" fillId="0" borderId="22" xfId="0" applyNumberFormat="1" applyFont="1" applyBorder="1" applyAlignment="1" applyProtection="1">
      <alignment/>
      <protection hidden="1"/>
    </xf>
    <xf numFmtId="169" fontId="12" fillId="0" borderId="5" xfId="0" applyNumberFormat="1" applyFont="1" applyBorder="1" applyAlignment="1" applyProtection="1">
      <alignment/>
      <protection hidden="1"/>
    </xf>
    <xf numFmtId="49" fontId="12" fillId="0" borderId="21" xfId="0" applyNumberFormat="1" applyFont="1" applyBorder="1" applyAlignment="1" applyProtection="1">
      <alignment wrapText="1"/>
      <protection hidden="1"/>
    </xf>
    <xf numFmtId="4" fontId="12" fillId="0" borderId="4" xfId="0" applyNumberFormat="1" applyFont="1" applyBorder="1" applyAlignment="1" applyProtection="1">
      <alignment wrapText="1"/>
      <protection hidden="1"/>
    </xf>
    <xf numFmtId="4" fontId="12" fillId="0" borderId="22" xfId="0" applyNumberFormat="1" applyFont="1" applyBorder="1" applyAlignment="1" applyProtection="1">
      <alignment horizontal="right"/>
      <protection hidden="1"/>
    </xf>
    <xf numFmtId="49" fontId="9" fillId="0" borderId="21" xfId="0" applyNumberFormat="1" applyFont="1" applyBorder="1" applyAlignment="1" applyProtection="1">
      <alignment wrapText="1"/>
      <protection hidden="1"/>
    </xf>
    <xf numFmtId="4" fontId="9" fillId="0" borderId="4" xfId="0" applyNumberFormat="1" applyFont="1" applyBorder="1" applyAlignment="1" applyProtection="1">
      <alignment wrapText="1"/>
      <protection hidden="1"/>
    </xf>
    <xf numFmtId="0" fontId="12" fillId="0" borderId="0" xfId="0" applyFont="1" applyAlignment="1" applyProtection="1">
      <alignment/>
      <protection hidden="1"/>
    </xf>
    <xf numFmtId="4" fontId="12" fillId="0" borderId="4" xfId="0" applyNumberFormat="1" applyFont="1" applyBorder="1" applyAlignment="1" applyProtection="1" quotePrefix="1">
      <alignment/>
      <protection hidden="1"/>
    </xf>
    <xf numFmtId="49" fontId="15" fillId="0" borderId="25" xfId="0" applyNumberFormat="1" applyFont="1" applyBorder="1" applyAlignment="1" applyProtection="1">
      <alignment/>
      <protection hidden="1"/>
    </xf>
    <xf numFmtId="4" fontId="15" fillId="0" borderId="4" xfId="0" applyNumberFormat="1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49" fontId="10" fillId="0" borderId="25" xfId="0" applyNumberFormat="1" applyFont="1" applyBorder="1" applyAlignment="1" applyProtection="1">
      <alignment/>
      <protection hidden="1"/>
    </xf>
    <xf numFmtId="49" fontId="9" fillId="0" borderId="25" xfId="0" applyNumberFormat="1" applyFont="1" applyBorder="1" applyAlignment="1" applyProtection="1">
      <alignment/>
      <protection hidden="1"/>
    </xf>
    <xf numFmtId="49" fontId="12" fillId="0" borderId="25" xfId="0" applyNumberFormat="1" applyFont="1" applyBorder="1" applyAlignment="1" applyProtection="1">
      <alignment/>
      <protection hidden="1"/>
    </xf>
    <xf numFmtId="4" fontId="12" fillId="0" borderId="4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9" fillId="0" borderId="25" xfId="0" applyNumberFormat="1" applyFont="1" applyBorder="1" applyAlignment="1" applyProtection="1">
      <alignment/>
      <protection hidden="1"/>
    </xf>
    <xf numFmtId="4" fontId="9" fillId="0" borderId="4" xfId="0" applyNumberFormat="1" applyFont="1" applyBorder="1" applyAlignment="1" applyProtection="1">
      <alignment/>
      <protection hidden="1"/>
    </xf>
    <xf numFmtId="4" fontId="9" fillId="0" borderId="4" xfId="0" applyNumberFormat="1" applyFont="1" applyBorder="1" applyAlignment="1" applyProtection="1" quotePrefix="1">
      <alignment/>
      <protection hidden="1"/>
    </xf>
    <xf numFmtId="49" fontId="10" fillId="0" borderId="25" xfId="0" applyNumberFormat="1" applyFont="1" applyBorder="1" applyAlignment="1" applyProtection="1">
      <alignment wrapText="1"/>
      <protection hidden="1"/>
    </xf>
    <xf numFmtId="4" fontId="10" fillId="0" borderId="4" xfId="0" applyNumberFormat="1" applyFont="1" applyBorder="1" applyAlignment="1" applyProtection="1">
      <alignment/>
      <protection hidden="1"/>
    </xf>
    <xf numFmtId="49" fontId="9" fillId="0" borderId="25" xfId="0" applyNumberFormat="1" applyFont="1" applyBorder="1" applyAlignment="1" applyProtection="1">
      <alignment wrapText="1"/>
      <protection hidden="1"/>
    </xf>
    <xf numFmtId="49" fontId="12" fillId="0" borderId="25" xfId="0" applyNumberFormat="1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" fontId="10" fillId="0" borderId="1" xfId="0" applyNumberFormat="1" applyFont="1" applyBorder="1" applyAlignment="1" applyProtection="1">
      <alignment/>
      <protection hidden="1"/>
    </xf>
    <xf numFmtId="49" fontId="10" fillId="4" borderId="46" xfId="0" applyNumberFormat="1" applyFont="1" applyFill="1" applyBorder="1" applyAlignment="1" applyProtection="1">
      <alignment vertical="center"/>
      <protection hidden="1"/>
    </xf>
    <xf numFmtId="4" fontId="10" fillId="4" borderId="47" xfId="0" applyNumberFormat="1" applyFont="1" applyFill="1" applyBorder="1" applyAlignment="1" applyProtection="1">
      <alignment vertical="center"/>
      <protection hidden="1"/>
    </xf>
    <xf numFmtId="4" fontId="10" fillId="4" borderId="1" xfId="0" applyNumberFormat="1" applyFont="1" applyFill="1" applyBorder="1" applyAlignment="1" applyProtection="1">
      <alignment vertical="center"/>
      <protection hidden="1"/>
    </xf>
    <xf numFmtId="169" fontId="10" fillId="4" borderId="34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3" fontId="1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49" fontId="10" fillId="4" borderId="48" xfId="0" applyNumberFormat="1" applyFont="1" applyFill="1" applyBorder="1" applyAlignment="1">
      <alignment horizontal="center" vertical="center"/>
    </xf>
    <xf numFmtId="49" fontId="10" fillId="4" borderId="49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vertical="center" wrapText="1"/>
    </xf>
    <xf numFmtId="4" fontId="17" fillId="0" borderId="4" xfId="0" applyNumberFormat="1" applyFont="1" applyBorder="1" applyAlignment="1">
      <alignment vertical="center"/>
    </xf>
    <xf numFmtId="169" fontId="17" fillId="0" borderId="24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vertical="center"/>
    </xf>
    <xf numFmtId="169" fontId="18" fillId="0" borderId="2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left" vertical="center" wrapText="1"/>
    </xf>
    <xf numFmtId="4" fontId="18" fillId="0" borderId="22" xfId="0" applyNumberFormat="1" applyFont="1" applyBorder="1" applyAlignment="1">
      <alignment vertical="center"/>
    </xf>
    <xf numFmtId="169" fontId="18" fillId="0" borderId="5" xfId="0" applyNumberFormat="1" applyFont="1" applyBorder="1" applyAlignment="1">
      <alignment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/>
    </xf>
    <xf numFmtId="169" fontId="17" fillId="0" borderId="24" xfId="0" applyNumberFormat="1" applyFont="1" applyFill="1" applyBorder="1" applyAlignment="1">
      <alignment vertical="center"/>
    </xf>
    <xf numFmtId="0" fontId="17" fillId="6" borderId="0" xfId="0" applyFont="1" applyFill="1" applyAlignment="1">
      <alignment vertical="center"/>
    </xf>
    <xf numFmtId="49" fontId="18" fillId="0" borderId="23" xfId="0" applyNumberFormat="1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vertical="center"/>
    </xf>
    <xf numFmtId="169" fontId="18" fillId="0" borderId="24" xfId="0" applyNumberFormat="1" applyFont="1" applyFill="1" applyBorder="1" applyAlignment="1">
      <alignment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 wrapText="1"/>
    </xf>
    <xf numFmtId="169" fontId="10" fillId="0" borderId="24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 wrapText="1"/>
    </xf>
    <xf numFmtId="169" fontId="9" fillId="0" borderId="24" xfId="0" applyNumberFormat="1" applyFont="1" applyBorder="1" applyAlignment="1">
      <alignment vertical="center"/>
    </xf>
    <xf numFmtId="169" fontId="12" fillId="0" borderId="24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vertical="center" wrapText="1"/>
    </xf>
    <xf numFmtId="169" fontId="16" fillId="0" borderId="24" xfId="0" applyNumberFormat="1" applyFont="1" applyBorder="1" applyAlignment="1">
      <alignment vertical="center"/>
    </xf>
    <xf numFmtId="169" fontId="10" fillId="4" borderId="27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0" fillId="0" borderId="2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9" fontId="21" fillId="0" borderId="2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vertical="center" wrapText="1"/>
    </xf>
    <xf numFmtId="4" fontId="17" fillId="0" borderId="22" xfId="0" applyNumberFormat="1" applyFont="1" applyBorder="1" applyAlignment="1">
      <alignment vertical="center"/>
    </xf>
    <xf numFmtId="169" fontId="17" fillId="0" borderId="5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169" fontId="15" fillId="0" borderId="24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vertical="center" wrapText="1"/>
    </xf>
    <xf numFmtId="169" fontId="12" fillId="0" borderId="24" xfId="0" applyNumberFormat="1" applyFont="1" applyFill="1" applyBorder="1" applyAlignment="1">
      <alignment vertical="center"/>
    </xf>
    <xf numFmtId="49" fontId="18" fillId="0" borderId="23" xfId="0" applyNumberFormat="1" applyFont="1" applyBorder="1" applyAlignment="1">
      <alignment vertical="center" wrapText="1"/>
    </xf>
    <xf numFmtId="4" fontId="16" fillId="0" borderId="4" xfId="0" applyNumberFormat="1" applyFont="1" applyBorder="1" applyAlignment="1">
      <alignment vertical="center"/>
    </xf>
    <xf numFmtId="169" fontId="16" fillId="0" borderId="24" xfId="0" applyNumberFormat="1" applyFont="1" applyFill="1" applyBorder="1" applyAlignment="1">
      <alignment vertical="center"/>
    </xf>
    <xf numFmtId="49" fontId="17" fillId="0" borderId="23" xfId="0" applyNumberFormat="1" applyFont="1" applyBorder="1" applyAlignment="1">
      <alignment vertical="center" wrapText="1"/>
    </xf>
    <xf numFmtId="49" fontId="16" fillId="0" borderId="25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vertical="center" wrapText="1"/>
    </xf>
    <xf numFmtId="4" fontId="17" fillId="0" borderId="30" xfId="0" applyNumberFormat="1" applyFont="1" applyBorder="1" applyAlignment="1">
      <alignment vertical="center"/>
    </xf>
    <xf numFmtId="169" fontId="17" fillId="0" borderId="38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9" fontId="10" fillId="4" borderId="50" xfId="0" applyNumberFormat="1" applyFont="1" applyFill="1" applyBorder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20" fillId="2" borderId="51" xfId="0" applyNumberFormat="1" applyFont="1" applyFill="1" applyBorder="1" applyAlignment="1">
      <alignment horizontal="center" vertical="center"/>
    </xf>
    <xf numFmtId="49" fontId="20" fillId="2" borderId="52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23" xfId="0" applyFont="1" applyBorder="1" applyAlignment="1">
      <alignment vertical="center" wrapText="1"/>
    </xf>
    <xf numFmtId="49" fontId="12" fillId="0" borderId="36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/>
    </xf>
    <xf numFmtId="169" fontId="12" fillId="0" borderId="3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10" fillId="5" borderId="9" xfId="0" applyNumberFormat="1" applyFont="1" applyFill="1" applyBorder="1" applyAlignment="1">
      <alignment horizontal="center" vertical="center"/>
    </xf>
    <xf numFmtId="49" fontId="10" fillId="5" borderId="54" xfId="0" applyNumberFormat="1" applyFont="1" applyFill="1" applyBorder="1" applyAlignment="1">
      <alignment horizontal="center" vertical="center"/>
    </xf>
    <xf numFmtId="49" fontId="10" fillId="5" borderId="55" xfId="0" applyNumberFormat="1" applyFont="1" applyFill="1" applyBorder="1" applyAlignment="1">
      <alignment vertical="center" wrapText="1"/>
    </xf>
    <xf numFmtId="4" fontId="10" fillId="5" borderId="6" xfId="0" applyNumberFormat="1" applyFont="1" applyFill="1" applyBorder="1" applyAlignment="1">
      <alignment vertical="center"/>
    </xf>
    <xf numFmtId="169" fontId="10" fillId="5" borderId="7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4" fillId="4" borderId="0" xfId="0" applyNumberFormat="1" applyFont="1" applyFill="1" applyAlignment="1">
      <alignment horizontal="center" vertical="center"/>
    </xf>
    <xf numFmtId="4" fontId="10" fillId="4" borderId="0" xfId="0" applyNumberFormat="1" applyFont="1" applyFill="1" applyAlignment="1">
      <alignment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vertical="center" wrapText="1"/>
    </xf>
    <xf numFmtId="4" fontId="17" fillId="0" borderId="31" xfId="0" applyNumberFormat="1" applyFont="1" applyBorder="1" applyAlignment="1">
      <alignment vertical="center"/>
    </xf>
    <xf numFmtId="169" fontId="17" fillId="0" borderId="32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vertical="center"/>
    </xf>
    <xf numFmtId="169" fontId="14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35" xfId="0" applyFont="1" applyBorder="1" applyAlignment="1">
      <alignment horizontal="right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174" fontId="10" fillId="0" borderId="7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174" fontId="9" fillId="0" borderId="7" xfId="0" applyNumberFormat="1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8" xfId="0" applyFont="1" applyBorder="1" applyAlignment="1">
      <alignment vertical="center" wrapText="1"/>
    </xf>
    <xf numFmtId="4" fontId="9" fillId="0" borderId="58" xfId="0" applyNumberFormat="1" applyFont="1" applyBorder="1" applyAlignment="1">
      <alignment vertical="center"/>
    </xf>
    <xf numFmtId="174" fontId="9" fillId="0" borderId="59" xfId="0" applyNumberFormat="1" applyFont="1" applyBorder="1" applyAlignment="1">
      <alignment vertical="center"/>
    </xf>
    <xf numFmtId="4" fontId="10" fillId="4" borderId="31" xfId="0" applyNumberFormat="1" applyFont="1" applyFill="1" applyBorder="1" applyAlignment="1">
      <alignment vertical="center"/>
    </xf>
    <xf numFmtId="174" fontId="10" fillId="4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4" fontId="9" fillId="0" borderId="30" xfId="0" applyNumberFormat="1" applyFont="1" applyBorder="1" applyAlignment="1">
      <alignment vertical="center"/>
    </xf>
    <xf numFmtId="4" fontId="9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174" fontId="9" fillId="0" borderId="27" xfId="0" applyNumberFormat="1" applyFont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4" fontId="9" fillId="0" borderId="3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 wrapText="1"/>
    </xf>
    <xf numFmtId="4" fontId="9" fillId="0" borderId="58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6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74" fontId="10" fillId="0" borderId="0" xfId="0" applyNumberFormat="1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14" fillId="5" borderId="30" xfId="0" applyNumberFormat="1" applyFont="1" applyFill="1" applyBorder="1" applyAlignment="1">
      <alignment vertical="center"/>
    </xf>
    <xf numFmtId="174" fontId="14" fillId="5" borderId="27" xfId="0" applyNumberFormat="1" applyFont="1" applyFill="1" applyBorder="1" applyAlignment="1">
      <alignment vertical="center"/>
    </xf>
    <xf numFmtId="4" fontId="14" fillId="5" borderId="58" xfId="0" applyNumberFormat="1" applyFont="1" applyFill="1" applyBorder="1" applyAlignment="1">
      <alignment vertical="center"/>
    </xf>
    <xf numFmtId="174" fontId="14" fillId="5" borderId="59" xfId="0" applyNumberFormat="1" applyFont="1" applyFill="1" applyBorder="1" applyAlignment="1">
      <alignment vertical="center"/>
    </xf>
    <xf numFmtId="4" fontId="10" fillId="5" borderId="31" xfId="0" applyNumberFormat="1" applyFont="1" applyFill="1" applyBorder="1" applyAlignment="1">
      <alignment vertical="center"/>
    </xf>
    <xf numFmtId="174" fontId="10" fillId="5" borderId="2" xfId="0" applyNumberFormat="1" applyFont="1" applyFill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174" fontId="10" fillId="0" borderId="27" xfId="0" applyNumberFormat="1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174" fontId="10" fillId="0" borderId="3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4" fontId="9" fillId="0" borderId="30" xfId="0" applyNumberFormat="1" applyFont="1" applyFill="1" applyBorder="1" applyAlignment="1">
      <alignment horizontal="right" vertical="center"/>
    </xf>
    <xf numFmtId="174" fontId="9" fillId="0" borderId="30" xfId="0" applyNumberFormat="1" applyFont="1" applyFill="1" applyBorder="1" applyAlignment="1">
      <alignment vertical="center"/>
    </xf>
    <xf numFmtId="4" fontId="10" fillId="0" borderId="28" xfId="0" applyNumberFormat="1" applyFont="1" applyFill="1" applyBorder="1" applyAlignment="1">
      <alignment horizontal="right" vertical="center"/>
    </xf>
    <xf numFmtId="4" fontId="9" fillId="0" borderId="3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 wrapText="1"/>
    </xf>
    <xf numFmtId="4" fontId="10" fillId="0" borderId="30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74" fontId="9" fillId="0" borderId="6" xfId="0" applyNumberFormat="1" applyFont="1" applyFill="1" applyBorder="1" applyAlignment="1">
      <alignment vertical="center"/>
    </xf>
    <xf numFmtId="4" fontId="10" fillId="0" borderId="30" xfId="0" applyNumberFormat="1" applyFont="1" applyFill="1" applyBorder="1" applyAlignment="1">
      <alignment vertical="center"/>
    </xf>
    <xf numFmtId="49" fontId="20" fillId="0" borderId="4" xfId="0" applyNumberFormat="1" applyFont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left" vertical="center" wrapText="1"/>
    </xf>
    <xf numFmtId="4" fontId="10" fillId="5" borderId="31" xfId="0" applyNumberFormat="1" applyFont="1" applyFill="1" applyBorder="1" applyAlignment="1">
      <alignment horizontal="right" vertical="center"/>
    </xf>
    <xf numFmtId="174" fontId="10" fillId="5" borderId="15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17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174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4" fontId="9" fillId="6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4" fontId="9" fillId="2" borderId="3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10" fillId="2" borderId="6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" fontId="9" fillId="2" borderId="7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6" borderId="7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center"/>
    </xf>
    <xf numFmtId="4" fontId="9" fillId="0" borderId="59" xfId="0" applyNumberFormat="1" applyFont="1" applyBorder="1" applyAlignment="1">
      <alignment vertical="center"/>
    </xf>
    <xf numFmtId="4" fontId="10" fillId="2" borderId="27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10" fillId="2" borderId="7" xfId="0" applyNumberFormat="1" applyFont="1" applyFill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9" fillId="0" borderId="59" xfId="0" applyNumberFormat="1" applyFont="1" applyFill="1" applyBorder="1" applyAlignment="1">
      <alignment vertical="center"/>
    </xf>
    <xf numFmtId="4" fontId="10" fillId="4" borderId="6" xfId="0" applyNumberFormat="1" applyFont="1" applyFill="1" applyBorder="1" applyAlignment="1">
      <alignment vertical="center"/>
    </xf>
    <xf numFmtId="169" fontId="10" fillId="4" borderId="7" xfId="0" applyNumberFormat="1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4" fontId="14" fillId="6" borderId="0" xfId="0" applyNumberFormat="1" applyFont="1" applyFill="1" applyAlignment="1">
      <alignment vertical="center"/>
    </xf>
    <xf numFmtId="4" fontId="14" fillId="6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top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174" fontId="9" fillId="0" borderId="59" xfId="0" applyNumberFormat="1" applyFont="1" applyBorder="1" applyAlignment="1">
      <alignment horizontal="right" vertical="center"/>
    </xf>
    <xf numFmtId="174" fontId="10" fillId="4" borderId="2" xfId="0" applyNumberFormat="1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vertical="center"/>
    </xf>
    <xf numFmtId="172" fontId="10" fillId="4" borderId="10" xfId="0" applyNumberFormat="1" applyFont="1" applyFill="1" applyBorder="1" applyAlignment="1">
      <alignment horizontal="right" vertical="center"/>
    </xf>
    <xf numFmtId="195" fontId="10" fillId="4" borderId="7" xfId="0" applyNumberFormat="1" applyFont="1" applyFill="1" applyBorder="1" applyAlignment="1">
      <alignment vertical="center"/>
    </xf>
    <xf numFmtId="172" fontId="12" fillId="0" borderId="22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49" fontId="10" fillId="4" borderId="26" xfId="0" applyNumberFormat="1" applyFont="1" applyFill="1" applyBorder="1" applyAlignment="1">
      <alignment vertical="center"/>
    </xf>
    <xf numFmtId="172" fontId="10" fillId="4" borderId="26" xfId="0" applyNumberFormat="1" applyFont="1" applyFill="1" applyBorder="1" applyAlignment="1">
      <alignment horizontal="center" vertical="center"/>
    </xf>
    <xf numFmtId="195" fontId="10" fillId="4" borderId="27" xfId="0" applyNumberFormat="1" applyFont="1" applyFill="1" applyBorder="1" applyAlignment="1">
      <alignment horizontal="center" vertical="center"/>
    </xf>
    <xf numFmtId="195" fontId="10" fillId="4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" fontId="9" fillId="0" borderId="49" xfId="0" applyNumberFormat="1" applyFont="1" applyBorder="1" applyAlignment="1">
      <alignment vertical="center"/>
    </xf>
    <xf numFmtId="4" fontId="9" fillId="6" borderId="61" xfId="0" applyNumberFormat="1" applyFont="1" applyFill="1" applyBorder="1" applyAlignment="1">
      <alignment vertical="center"/>
    </xf>
    <xf numFmtId="39" fontId="9" fillId="0" borderId="0" xfId="0" applyNumberFormat="1" applyFont="1" applyAlignment="1">
      <alignment vertical="center"/>
    </xf>
    <xf numFmtId="39" fontId="9" fillId="0" borderId="49" xfId="0" applyNumberFormat="1" applyFont="1" applyBorder="1" applyAlignment="1">
      <alignment vertical="center"/>
    </xf>
    <xf numFmtId="39" fontId="9" fillId="0" borderId="61" xfId="0" applyNumberFormat="1" applyFont="1" applyBorder="1" applyAlignment="1">
      <alignment vertical="center"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72" fontId="9" fillId="0" borderId="22" xfId="0" applyNumberFormat="1" applyFont="1" applyBorder="1" applyAlignment="1">
      <alignment horizontal="center" vertical="center"/>
    </xf>
    <xf numFmtId="164" fontId="9" fillId="0" borderId="22" xfId="0" applyNumberFormat="1" applyFont="1" applyFill="1" applyBorder="1" applyAlignment="1">
      <alignment vertical="top"/>
    </xf>
    <xf numFmtId="0" fontId="9" fillId="0" borderId="5" xfId="0" applyFont="1" applyFill="1" applyBorder="1" applyAlignment="1">
      <alignment horizontal="right" vertical="top"/>
    </xf>
    <xf numFmtId="169" fontId="9" fillId="0" borderId="2" xfId="0" applyNumberFormat="1" applyFont="1" applyFill="1" applyBorder="1" applyAlignment="1">
      <alignment horizontal="right" vertical="top"/>
    </xf>
    <xf numFmtId="49" fontId="9" fillId="4" borderId="25" xfId="0" applyNumberFormat="1" applyFont="1" applyFill="1" applyBorder="1" applyAlignment="1">
      <alignment horizontal="left" vertical="top"/>
    </xf>
    <xf numFmtId="169" fontId="9" fillId="4" borderId="5" xfId="0" applyNumberFormat="1" applyFont="1" applyFill="1" applyBorder="1" applyAlignment="1">
      <alignment horizontal="right" vertical="top"/>
    </xf>
    <xf numFmtId="0" fontId="10" fillId="4" borderId="36" xfId="0" applyFont="1" applyFill="1" applyBorder="1" applyAlignment="1">
      <alignment horizontal="right" vertical="top"/>
    </xf>
    <xf numFmtId="169" fontId="10" fillId="4" borderId="2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0" fontId="12" fillId="0" borderId="2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69" fontId="12" fillId="0" borderId="5" xfId="0" applyNumberFormat="1" applyFont="1" applyFill="1" applyBorder="1" applyAlignment="1">
      <alignment horizontal="right" vertical="center"/>
    </xf>
    <xf numFmtId="49" fontId="12" fillId="0" borderId="25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 wrapText="1"/>
    </xf>
    <xf numFmtId="4" fontId="9" fillId="7" borderId="0" xfId="0" applyNumberFormat="1" applyFont="1" applyFill="1" applyAlignment="1">
      <alignment/>
    </xf>
    <xf numFmtId="0" fontId="9" fillId="7" borderId="0" xfId="0" applyFont="1" applyFill="1" applyAlignment="1">
      <alignment/>
    </xf>
    <xf numFmtId="49" fontId="12" fillId="0" borderId="36" xfId="0" applyNumberFormat="1" applyFont="1" applyFill="1" applyBorder="1" applyAlignment="1">
      <alignment horizontal="right" vertical="top"/>
    </xf>
    <xf numFmtId="49" fontId="12" fillId="0" borderId="35" xfId="0" applyNumberFormat="1" applyFont="1" applyFill="1" applyBorder="1" applyAlignment="1">
      <alignment horizontal="left" vertical="top" wrapText="1"/>
    </xf>
    <xf numFmtId="169" fontId="12" fillId="0" borderId="2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174" fontId="10" fillId="0" borderId="27" xfId="0" applyNumberFormat="1" applyFont="1" applyFill="1" applyBorder="1" applyAlignment="1">
      <alignment horizontal="right" vertical="center"/>
    </xf>
    <xf numFmtId="174" fontId="9" fillId="0" borderId="27" xfId="0" applyNumberFormat="1" applyFont="1" applyFill="1" applyBorder="1" applyAlignment="1">
      <alignment horizontal="right" vertical="center"/>
    </xf>
    <xf numFmtId="174" fontId="9" fillId="0" borderId="7" xfId="0" applyNumberFormat="1" applyFont="1" applyFill="1" applyBorder="1" applyAlignment="1">
      <alignment horizontal="right" vertical="center"/>
    </xf>
    <xf numFmtId="174" fontId="10" fillId="0" borderId="7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/>
    </xf>
    <xf numFmtId="174" fontId="10" fillId="5" borderId="16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right" vertical="center" wrapText="1"/>
    </xf>
    <xf numFmtId="174" fontId="10" fillId="4" borderId="27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174" fontId="9" fillId="0" borderId="27" xfId="0" applyNumberFormat="1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right" vertical="center" wrapText="1"/>
    </xf>
    <xf numFmtId="174" fontId="9" fillId="0" borderId="7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right" vertical="center" wrapText="1"/>
    </xf>
    <xf numFmtId="174" fontId="10" fillId="4" borderId="7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9" fillId="4" borderId="54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9" fillId="0" borderId="57" xfId="0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" fontId="9" fillId="0" borderId="58" xfId="0" applyNumberFormat="1" applyFont="1" applyBorder="1" applyAlignment="1">
      <alignment horizontal="right" vertical="center" wrapText="1"/>
    </xf>
    <xf numFmtId="174" fontId="9" fillId="0" borderId="59" xfId="0" applyNumberFormat="1" applyFont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4" fontId="10" fillId="5" borderId="62" xfId="0" applyNumberFormat="1" applyFont="1" applyFill="1" applyBorder="1" applyAlignment="1">
      <alignment horizontal="right" vertical="center" wrapText="1"/>
    </xf>
    <xf numFmtId="174" fontId="10" fillId="5" borderId="63" xfId="0" applyNumberFormat="1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4" fontId="14" fillId="5" borderId="22" xfId="0" applyNumberFormat="1" applyFont="1" applyFill="1" applyBorder="1" applyAlignment="1">
      <alignment horizontal="right" vertical="center" wrapText="1"/>
    </xf>
    <xf numFmtId="174" fontId="14" fillId="5" borderId="5" xfId="0" applyNumberFormat="1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60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174" fontId="9" fillId="0" borderId="2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4" borderId="0" xfId="0" applyFont="1" applyFill="1" applyAlignment="1">
      <alignment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14" fillId="5" borderId="25" xfId="0" applyFont="1" applyFill="1" applyBorder="1" applyAlignment="1">
      <alignment vertical="center" wrapText="1"/>
    </xf>
    <xf numFmtId="49" fontId="14" fillId="5" borderId="0" xfId="0" applyNumberFormat="1" applyFont="1" applyFill="1" applyBorder="1" applyAlignment="1">
      <alignment horizontal="left" vertical="center" wrapText="1"/>
    </xf>
    <xf numFmtId="0" fontId="14" fillId="5" borderId="36" xfId="0" applyFont="1" applyFill="1" applyBorder="1" applyAlignment="1">
      <alignment vertical="center" wrapText="1"/>
    </xf>
    <xf numFmtId="0" fontId="14" fillId="5" borderId="35" xfId="0" applyFont="1" applyFill="1" applyBorder="1" applyAlignment="1">
      <alignment vertical="center" wrapText="1"/>
    </xf>
    <xf numFmtId="49" fontId="14" fillId="5" borderId="35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right" vertical="center" wrapText="1"/>
    </xf>
    <xf numFmtId="174" fontId="14" fillId="5" borderId="2" xfId="0" applyNumberFormat="1" applyFont="1" applyFill="1" applyBorder="1" applyAlignment="1">
      <alignment vertical="center" wrapText="1"/>
    </xf>
    <xf numFmtId="174" fontId="12" fillId="0" borderId="7" xfId="0" applyNumberFormat="1" applyFont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174" fontId="12" fillId="0" borderId="27" xfId="0" applyNumberFormat="1" applyFont="1" applyBorder="1" applyAlignment="1">
      <alignment vertical="center" wrapText="1"/>
    </xf>
    <xf numFmtId="0" fontId="9" fillId="0" borderId="65" xfId="0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4" fontId="9" fillId="0" borderId="40" xfId="0" applyNumberFormat="1" applyFont="1" applyBorder="1" applyAlignment="1">
      <alignment horizontal="right" vertical="center" wrapText="1"/>
    </xf>
    <xf numFmtId="174" fontId="9" fillId="0" borderId="41" xfId="0" applyNumberFormat="1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66" xfId="0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horizontal="right" vertical="center" wrapText="1"/>
    </xf>
    <xf numFmtId="174" fontId="12" fillId="0" borderId="44" xfId="0" applyNumberFormat="1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7" xfId="0" applyFont="1" applyBorder="1" applyAlignment="1">
      <alignment vertical="center" wrapText="1"/>
    </xf>
    <xf numFmtId="4" fontId="9" fillId="0" borderId="67" xfId="0" applyNumberFormat="1" applyFont="1" applyBorder="1" applyAlignment="1">
      <alignment horizontal="right" vertical="center" wrapText="1"/>
    </xf>
    <xf numFmtId="169" fontId="9" fillId="0" borderId="0" xfId="0" applyNumberFormat="1" applyFont="1" applyBorder="1" applyAlignment="1">
      <alignment vertical="center" wrapText="1"/>
    </xf>
    <xf numFmtId="0" fontId="9" fillId="0" borderId="0" xfId="19" applyFont="1" applyAlignment="1">
      <alignment horizontal="center"/>
      <protection/>
    </xf>
    <xf numFmtId="0" fontId="9" fillId="0" borderId="0" xfId="19" applyFont="1">
      <alignment/>
      <protection/>
    </xf>
    <xf numFmtId="0" fontId="9" fillId="0" borderId="0" xfId="19" applyFont="1" applyFill="1">
      <alignment/>
      <protection/>
    </xf>
    <xf numFmtId="4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4" fontId="9" fillId="0" borderId="0" xfId="19" applyNumberFormat="1" applyFont="1" applyAlignment="1">
      <alignment horizontal="right"/>
      <protection/>
    </xf>
    <xf numFmtId="0" fontId="10" fillId="0" borderId="0" xfId="19" applyFont="1" applyAlignment="1">
      <alignment horizontal="center" vertical="center"/>
      <protection/>
    </xf>
    <xf numFmtId="1" fontId="10" fillId="2" borderId="6" xfId="19" applyNumberFormat="1" applyFont="1" applyFill="1" applyBorder="1" applyAlignment="1">
      <alignment horizontal="center" vertical="center"/>
      <protection/>
    </xf>
    <xf numFmtId="1" fontId="10" fillId="2" borderId="6" xfId="19" applyNumberFormat="1" applyFont="1" applyFill="1" applyBorder="1" applyAlignment="1">
      <alignment horizontal="center" vertical="center" wrapText="1"/>
      <protection/>
    </xf>
    <xf numFmtId="1" fontId="10" fillId="2" borderId="10" xfId="19" applyNumberFormat="1" applyFont="1" applyFill="1" applyBorder="1" applyAlignment="1">
      <alignment horizontal="center" vertical="center" wrapText="1"/>
      <protection/>
    </xf>
    <xf numFmtId="1" fontId="10" fillId="0" borderId="0" xfId="19" applyNumberFormat="1" applyFont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vertical="center" wrapText="1"/>
      <protection/>
    </xf>
    <xf numFmtId="0" fontId="9" fillId="0" borderId="6" xfId="19" applyFont="1" applyFill="1" applyBorder="1" applyAlignment="1">
      <alignment horizontal="center" vertical="center"/>
      <protection/>
    </xf>
    <xf numFmtId="4" fontId="9" fillId="0" borderId="6" xfId="19" applyNumberFormat="1" applyFont="1" applyBorder="1" applyAlignment="1">
      <alignment vertical="center"/>
      <protection/>
    </xf>
    <xf numFmtId="4" fontId="9" fillId="0" borderId="10" xfId="19" applyNumberFormat="1" applyFont="1" applyBorder="1" applyAlignment="1">
      <alignment vertical="center"/>
      <protection/>
    </xf>
    <xf numFmtId="0" fontId="9" fillId="0" borderId="0" xfId="19" applyFont="1" applyAlignment="1">
      <alignment vertical="center"/>
      <protection/>
    </xf>
    <xf numFmtId="0" fontId="10" fillId="2" borderId="11" xfId="19" applyFont="1" applyFill="1" applyBorder="1" applyAlignment="1">
      <alignment horizontal="center" vertical="center"/>
      <protection/>
    </xf>
    <xf numFmtId="0" fontId="10" fillId="2" borderId="12" xfId="19" applyFont="1" applyFill="1" applyBorder="1" applyAlignment="1">
      <alignment horizontal="center" vertical="center"/>
      <protection/>
    </xf>
    <xf numFmtId="0" fontId="10" fillId="2" borderId="12" xfId="19" applyFont="1" applyFill="1" applyBorder="1" applyAlignment="1">
      <alignment horizontal="center" vertical="center" wrapText="1"/>
      <protection/>
    </xf>
    <xf numFmtId="4" fontId="10" fillId="2" borderId="28" xfId="19" applyNumberFormat="1" applyFont="1" applyFill="1" applyBorder="1" applyAlignment="1">
      <alignment horizontal="center" vertical="center" wrapText="1"/>
      <protection/>
    </xf>
    <xf numFmtId="0" fontId="10" fillId="2" borderId="13" xfId="19" applyFont="1" applyFill="1" applyBorder="1" applyAlignment="1">
      <alignment horizontal="center" vertical="center" wrapText="1"/>
      <protection/>
    </xf>
    <xf numFmtId="1" fontId="10" fillId="2" borderId="8" xfId="19" applyNumberFormat="1" applyFont="1" applyFill="1" applyBorder="1" applyAlignment="1">
      <alignment horizontal="center" vertical="center"/>
      <protection/>
    </xf>
    <xf numFmtId="1" fontId="10" fillId="2" borderId="7" xfId="19" applyNumberFormat="1" applyFont="1" applyFill="1" applyBorder="1" applyAlignment="1">
      <alignment horizontal="center" vertical="center" wrapText="1"/>
      <protection/>
    </xf>
    <xf numFmtId="0" fontId="9" fillId="0" borderId="8" xfId="19" applyFont="1" applyBorder="1" applyAlignment="1">
      <alignment horizontal="center"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10" fillId="4" borderId="31" xfId="19" applyNumberFormat="1" applyFont="1" applyFill="1" applyBorder="1" applyAlignment="1">
      <alignment vertical="center"/>
      <protection/>
    </xf>
    <xf numFmtId="4" fontId="10" fillId="4" borderId="2" xfId="19" applyNumberFormat="1" applyFont="1" applyFill="1" applyBorder="1" applyAlignment="1">
      <alignment vertical="center"/>
      <protection/>
    </xf>
    <xf numFmtId="0" fontId="9" fillId="0" borderId="57" xfId="19" applyFont="1" applyBorder="1" applyAlignment="1">
      <alignment horizontal="center" vertical="center"/>
      <protection/>
    </xf>
    <xf numFmtId="0" fontId="9" fillId="0" borderId="58" xfId="19" applyFont="1" applyBorder="1" applyAlignment="1">
      <alignment horizontal="center" vertical="center"/>
      <protection/>
    </xf>
    <xf numFmtId="0" fontId="9" fillId="0" borderId="58" xfId="19" applyFont="1" applyBorder="1" applyAlignment="1">
      <alignment vertical="center" wrapText="1"/>
      <protection/>
    </xf>
    <xf numFmtId="0" fontId="9" fillId="0" borderId="58" xfId="19" applyFont="1" applyFill="1" applyBorder="1" applyAlignment="1">
      <alignment horizontal="center" vertical="center"/>
      <protection/>
    </xf>
    <xf numFmtId="4" fontId="9" fillId="0" borderId="58" xfId="19" applyNumberFormat="1" applyFont="1" applyBorder="1" applyAlignment="1">
      <alignment vertical="center"/>
      <protection/>
    </xf>
    <xf numFmtId="4" fontId="9" fillId="0" borderId="68" xfId="19" applyNumberFormat="1" applyFont="1" applyBorder="1" applyAlignment="1">
      <alignment vertical="center"/>
      <protection/>
    </xf>
    <xf numFmtId="4" fontId="9" fillId="0" borderId="59" xfId="19" applyNumberFormat="1" applyFont="1" applyBorder="1" applyAlignment="1">
      <alignment vertical="center"/>
      <protection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" fontId="10" fillId="4" borderId="37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center" wrapText="1"/>
    </xf>
    <xf numFmtId="4" fontId="9" fillId="0" borderId="40" xfId="0" applyNumberFormat="1" applyFont="1" applyFill="1" applyBorder="1" applyAlignment="1">
      <alignment horizontal="right" vertical="center"/>
    </xf>
    <xf numFmtId="4" fontId="9" fillId="0" borderId="41" xfId="0" applyNumberFormat="1" applyFont="1" applyBorder="1" applyAlignment="1">
      <alignment vertical="center"/>
    </xf>
    <xf numFmtId="49" fontId="12" fillId="0" borderId="66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left" vertical="center" wrapText="1"/>
    </xf>
    <xf numFmtId="4" fontId="12" fillId="0" borderId="43" xfId="0" applyNumberFormat="1" applyFont="1" applyFill="1" applyBorder="1" applyAlignment="1">
      <alignment horizontal="right" vertical="center"/>
    </xf>
    <xf numFmtId="4" fontId="12" fillId="0" borderId="69" xfId="0" applyNumberFormat="1" applyFont="1" applyFill="1" applyBorder="1" applyAlignment="1">
      <alignment horizontal="right" vertical="center"/>
    </xf>
    <xf numFmtId="4" fontId="12" fillId="0" borderId="44" xfId="0" applyNumberFormat="1" applyFont="1" applyBorder="1" applyAlignment="1">
      <alignment vertical="center"/>
    </xf>
    <xf numFmtId="49" fontId="12" fillId="0" borderId="70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left" vertical="center" wrapText="1"/>
    </xf>
    <xf numFmtId="4" fontId="12" fillId="0" borderId="71" xfId="0" applyNumberFormat="1" applyFont="1" applyFill="1" applyBorder="1" applyAlignment="1">
      <alignment horizontal="right" vertical="center"/>
    </xf>
    <xf numFmtId="4" fontId="12" fillId="0" borderId="72" xfId="0" applyNumberFormat="1" applyFont="1" applyFill="1" applyBorder="1" applyAlignment="1">
      <alignment horizontal="right" vertical="center"/>
    </xf>
    <xf numFmtId="4" fontId="12" fillId="0" borderId="73" xfId="0" applyNumberFormat="1" applyFont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4" fontId="12" fillId="0" borderId="30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4" fontId="12" fillId="0" borderId="27" xfId="0" applyNumberFormat="1" applyFont="1" applyBorder="1" applyAlignment="1">
      <alignment vertical="center"/>
    </xf>
    <xf numFmtId="4" fontId="9" fillId="0" borderId="41" xfId="0" applyNumberFormat="1" applyFont="1" applyFill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left" vertical="center" wrapText="1"/>
    </xf>
    <xf numFmtId="4" fontId="9" fillId="0" borderId="40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9" fillId="0" borderId="3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4" fontId="10" fillId="5" borderId="31" xfId="0" applyNumberFormat="1" applyFont="1" applyFill="1" applyBorder="1" applyAlignment="1">
      <alignment horizontal="right" vertical="center"/>
    </xf>
    <xf numFmtId="4" fontId="10" fillId="5" borderId="2" xfId="0" applyNumberFormat="1" applyFont="1" applyFill="1" applyBorder="1" applyAlignment="1">
      <alignment horizontal="right" vertical="center"/>
    </xf>
    <xf numFmtId="0" fontId="10" fillId="2" borderId="7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 wrapText="1"/>
    </xf>
    <xf numFmtId="4" fontId="10" fillId="4" borderId="12" xfId="0" applyNumberFormat="1" applyFont="1" applyFill="1" applyBorder="1" applyAlignment="1">
      <alignment vertical="center"/>
    </xf>
    <xf numFmtId="174" fontId="10" fillId="4" borderId="13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/>
    </xf>
    <xf numFmtId="4" fontId="10" fillId="4" borderId="30" xfId="0" applyNumberFormat="1" applyFont="1" applyFill="1" applyBorder="1" applyAlignment="1">
      <alignment vertical="center"/>
    </xf>
    <xf numFmtId="174" fontId="10" fillId="4" borderId="27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174" fontId="9" fillId="0" borderId="5" xfId="0" applyNumberFormat="1" applyFont="1" applyBorder="1" applyAlignment="1">
      <alignment vertical="center"/>
    </xf>
    <xf numFmtId="4" fontId="10" fillId="5" borderId="47" xfId="0" applyNumberFormat="1" applyFont="1" applyFill="1" applyBorder="1" applyAlignment="1">
      <alignment vertical="center"/>
    </xf>
    <xf numFmtId="174" fontId="10" fillId="5" borderId="34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174" fontId="9" fillId="0" borderId="2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vertical="center"/>
    </xf>
    <xf numFmtId="9" fontId="9" fillId="0" borderId="4" xfId="24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 wrapText="1"/>
    </xf>
    <xf numFmtId="4" fontId="10" fillId="4" borderId="6" xfId="0" applyNumberFormat="1" applyFont="1" applyFill="1" applyBorder="1" applyAlignment="1">
      <alignment vertical="center"/>
    </xf>
    <xf numFmtId="174" fontId="10" fillId="4" borderId="7" xfId="0" applyNumberFormat="1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/>
    </xf>
    <xf numFmtId="174" fontId="10" fillId="4" borderId="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174" fontId="10" fillId="4" borderId="27" xfId="0" applyNumberFormat="1" applyFont="1" applyFill="1" applyBorder="1" applyAlignment="1">
      <alignment horizontal="center" vertical="center"/>
    </xf>
    <xf numFmtId="174" fontId="10" fillId="4" borderId="13" xfId="0" applyNumberFormat="1" applyFont="1" applyFill="1" applyBorder="1" applyAlignment="1">
      <alignment vertical="center"/>
    </xf>
    <xf numFmtId="0" fontId="10" fillId="4" borderId="48" xfId="0" applyFont="1" applyFill="1" applyBorder="1" applyAlignment="1">
      <alignment horizontal="center" vertical="center"/>
    </xf>
    <xf numFmtId="0" fontId="10" fillId="0" borderId="0" xfId="18" applyFont="1" applyAlignment="1">
      <alignment horizontal="center" vertical="center"/>
      <protection/>
    </xf>
    <xf numFmtId="0" fontId="10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4" fontId="10" fillId="5" borderId="15" xfId="0" applyNumberFormat="1" applyFont="1" applyFill="1" applyBorder="1" applyAlignment="1">
      <alignment vertical="center"/>
    </xf>
    <xf numFmtId="174" fontId="10" fillId="5" borderId="16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174" fontId="9" fillId="0" borderId="5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3" fontId="9" fillId="0" borderId="27" xfId="0" applyNumberFormat="1" applyFont="1" applyBorder="1" applyAlignment="1">
      <alignment horizontal="center" vertical="center"/>
    </xf>
    <xf numFmtId="0" fontId="9" fillId="0" borderId="0" xfId="18" applyFont="1" applyAlignment="1">
      <alignment vertical="center"/>
      <protection/>
    </xf>
    <xf numFmtId="0" fontId="9" fillId="0" borderId="0" xfId="18" applyFont="1" applyAlignment="1">
      <alignment horizontal="right" vertical="center"/>
      <protection/>
    </xf>
    <xf numFmtId="0" fontId="10" fillId="2" borderId="51" xfId="18" applyFont="1" applyFill="1" applyBorder="1" applyAlignment="1">
      <alignment horizontal="center" vertical="center"/>
      <protection/>
    </xf>
    <xf numFmtId="0" fontId="10" fillId="2" borderId="52" xfId="18" applyFont="1" applyFill="1" applyBorder="1" applyAlignment="1">
      <alignment horizontal="center" vertical="center"/>
      <protection/>
    </xf>
    <xf numFmtId="0" fontId="10" fillId="2" borderId="52" xfId="18" applyFont="1" applyFill="1" applyBorder="1" applyAlignment="1">
      <alignment horizontal="center" vertical="center" wrapText="1"/>
      <protection/>
    </xf>
    <xf numFmtId="0" fontId="10" fillId="2" borderId="74" xfId="18" applyFont="1" applyFill="1" applyBorder="1" applyAlignment="1">
      <alignment horizontal="center" vertical="center" wrapText="1"/>
      <protection/>
    </xf>
    <xf numFmtId="0" fontId="28" fillId="2" borderId="14" xfId="18" applyFont="1" applyFill="1" applyBorder="1" applyAlignment="1">
      <alignment horizontal="center" vertical="center"/>
      <protection/>
    </xf>
    <xf numFmtId="0" fontId="28" fillId="2" borderId="15" xfId="18" applyFont="1" applyFill="1" applyBorder="1" applyAlignment="1">
      <alignment horizontal="center" vertical="center"/>
      <protection/>
    </xf>
    <xf numFmtId="0" fontId="28" fillId="2" borderId="15" xfId="18" applyFont="1" applyFill="1" applyBorder="1" applyAlignment="1">
      <alignment horizontal="center" vertical="center" wrapText="1"/>
      <protection/>
    </xf>
    <xf numFmtId="0" fontId="28" fillId="2" borderId="16" xfId="18" applyFont="1" applyFill="1" applyBorder="1" applyAlignment="1">
      <alignment horizontal="center" vertical="center" wrapText="1"/>
      <protection/>
    </xf>
    <xf numFmtId="0" fontId="28" fillId="0" borderId="0" xfId="18" applyFont="1" applyAlignment="1">
      <alignment horizontal="center" vertical="center"/>
      <protection/>
    </xf>
    <xf numFmtId="0" fontId="10" fillId="4" borderId="11" xfId="18" applyFont="1" applyFill="1" applyBorder="1" applyAlignment="1">
      <alignment horizontal="center" vertical="center"/>
      <protection/>
    </xf>
    <xf numFmtId="0" fontId="10" fillId="4" borderId="12" xfId="18" applyFont="1" applyFill="1" applyBorder="1" applyAlignment="1">
      <alignment vertical="center"/>
      <protection/>
    </xf>
    <xf numFmtId="0" fontId="10" fillId="4" borderId="12" xfId="18" applyFont="1" applyFill="1" applyBorder="1" applyAlignment="1">
      <alignment vertical="center" wrapText="1"/>
      <protection/>
    </xf>
    <xf numFmtId="4" fontId="10" fillId="4" borderId="12" xfId="18" applyNumberFormat="1" applyFont="1" applyFill="1" applyBorder="1" applyAlignment="1">
      <alignment vertical="center"/>
      <protection/>
    </xf>
    <xf numFmtId="174" fontId="10" fillId="4" borderId="13" xfId="18" applyNumberFormat="1" applyFont="1" applyFill="1" applyBorder="1" applyAlignment="1">
      <alignment horizontal="center" vertical="center"/>
      <protection/>
    </xf>
    <xf numFmtId="0" fontId="10" fillId="0" borderId="0" xfId="18" applyFont="1" applyAlignment="1">
      <alignment vertical="center"/>
      <protection/>
    </xf>
    <xf numFmtId="0" fontId="10" fillId="4" borderId="18" xfId="18" applyFont="1" applyFill="1" applyBorder="1" applyAlignment="1">
      <alignment horizontal="center" vertical="center"/>
      <protection/>
    </xf>
    <xf numFmtId="0" fontId="10" fillId="4" borderId="30" xfId="18" applyFont="1" applyFill="1" applyBorder="1" applyAlignment="1">
      <alignment vertical="center"/>
      <protection/>
    </xf>
    <xf numFmtId="4" fontId="10" fillId="4" borderId="30" xfId="18" applyNumberFormat="1" applyFont="1" applyFill="1" applyBorder="1" applyAlignment="1">
      <alignment vertical="center"/>
      <protection/>
    </xf>
    <xf numFmtId="174" fontId="10" fillId="4" borderId="27" xfId="18" applyNumberFormat="1" applyFont="1" applyFill="1" applyBorder="1" applyAlignment="1">
      <alignment vertical="center"/>
      <protection/>
    </xf>
    <xf numFmtId="0" fontId="9" fillId="0" borderId="21" xfId="18" applyFont="1" applyBorder="1" applyAlignment="1">
      <alignment horizontal="center" vertical="center"/>
      <protection/>
    </xf>
    <xf numFmtId="49" fontId="9" fillId="0" borderId="4" xfId="18" applyNumberFormat="1" applyFont="1" applyBorder="1" applyAlignment="1">
      <alignment horizontal="center" vertical="center"/>
      <protection/>
    </xf>
    <xf numFmtId="0" fontId="9" fillId="0" borderId="4" xfId="18" applyFont="1" applyBorder="1" applyAlignment="1">
      <alignment vertical="center"/>
      <protection/>
    </xf>
    <xf numFmtId="4" fontId="9" fillId="0" borderId="4" xfId="18" applyNumberFormat="1" applyFont="1" applyBorder="1" applyAlignment="1">
      <alignment vertical="center"/>
      <protection/>
    </xf>
    <xf numFmtId="174" fontId="9" fillId="0" borderId="5" xfId="18" applyNumberFormat="1" applyFont="1" applyBorder="1" applyAlignment="1">
      <alignment vertical="center"/>
      <protection/>
    </xf>
    <xf numFmtId="174" fontId="9" fillId="0" borderId="5" xfId="0" applyNumberFormat="1" applyFont="1" applyBorder="1" applyAlignment="1">
      <alignment horizontal="right" vertical="center"/>
    </xf>
    <xf numFmtId="4" fontId="10" fillId="5" borderId="47" xfId="18" applyNumberFormat="1" applyFont="1" applyFill="1" applyBorder="1" applyAlignment="1">
      <alignment vertical="center"/>
      <protection/>
    </xf>
    <xf numFmtId="174" fontId="10" fillId="5" borderId="34" xfId="18" applyNumberFormat="1" applyFont="1" applyFill="1" applyBorder="1" applyAlignment="1">
      <alignment vertical="center"/>
      <protection/>
    </xf>
    <xf numFmtId="0" fontId="9" fillId="0" borderId="4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vertical="center" wrapText="1"/>
      <protection/>
    </xf>
    <xf numFmtId="0" fontId="9" fillId="0" borderId="18" xfId="18" applyFont="1" applyBorder="1" applyAlignment="1">
      <alignment horizontal="center" vertical="center"/>
      <protection/>
    </xf>
    <xf numFmtId="0" fontId="9" fillId="0" borderId="30" xfId="18" applyFont="1" applyBorder="1" applyAlignment="1">
      <alignment horizontal="center" vertical="center"/>
      <protection/>
    </xf>
    <xf numFmtId="0" fontId="9" fillId="0" borderId="30" xfId="18" applyFont="1" applyBorder="1" applyAlignment="1">
      <alignment vertical="center"/>
      <protection/>
    </xf>
    <xf numFmtId="4" fontId="9" fillId="0" borderId="30" xfId="18" applyNumberFormat="1" applyFont="1" applyBorder="1" applyAlignment="1">
      <alignment vertical="center"/>
      <protection/>
    </xf>
    <xf numFmtId="174" fontId="9" fillId="0" borderId="27" xfId="18" applyNumberFormat="1" applyFont="1" applyBorder="1" applyAlignment="1">
      <alignment vertical="center"/>
      <protection/>
    </xf>
    <xf numFmtId="0" fontId="10" fillId="4" borderId="25" xfId="18" applyFont="1" applyFill="1" applyBorder="1" applyAlignment="1">
      <alignment horizontal="center" vertical="center"/>
      <protection/>
    </xf>
    <xf numFmtId="0" fontId="10" fillId="4" borderId="4" xfId="18" applyFont="1" applyFill="1" applyBorder="1" applyAlignment="1">
      <alignment vertical="center"/>
      <protection/>
    </xf>
    <xf numFmtId="0" fontId="10" fillId="4" borderId="4" xfId="18" applyFont="1" applyFill="1" applyBorder="1" applyAlignment="1">
      <alignment vertical="center" wrapText="1"/>
      <protection/>
    </xf>
    <xf numFmtId="4" fontId="10" fillId="4" borderId="4" xfId="18" applyNumberFormat="1" applyFont="1" applyFill="1" applyBorder="1" applyAlignment="1">
      <alignment vertical="center"/>
      <protection/>
    </xf>
    <xf numFmtId="174" fontId="10" fillId="4" borderId="5" xfId="18" applyNumberFormat="1" applyFont="1" applyFill="1" applyBorder="1" applyAlignment="1">
      <alignment horizontal="center" vertical="center"/>
      <protection/>
    </xf>
    <xf numFmtId="4" fontId="10" fillId="5" borderId="15" xfId="18" applyNumberFormat="1" applyFont="1" applyFill="1" applyBorder="1" applyAlignment="1">
      <alignment vertical="center"/>
      <protection/>
    </xf>
    <xf numFmtId="174" fontId="10" fillId="5" borderId="16" xfId="18" applyNumberFormat="1" applyFont="1" applyFill="1" applyBorder="1" applyAlignment="1">
      <alignment vertical="center"/>
      <protection/>
    </xf>
    <xf numFmtId="4" fontId="9" fillId="0" borderId="0" xfId="18" applyNumberFormat="1" applyFont="1" applyAlignment="1">
      <alignment vertical="center"/>
      <protection/>
    </xf>
    <xf numFmtId="174" fontId="10" fillId="2" borderId="13" xfId="0" applyNumberFormat="1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vertical="center" wrapText="1"/>
      <protection/>
    </xf>
    <xf numFmtId="43" fontId="9" fillId="0" borderId="0" xfId="15" applyFont="1" applyAlignment="1">
      <alignment vertical="center" wrapText="1"/>
    </xf>
    <xf numFmtId="0" fontId="10" fillId="0" borderId="0" xfId="21" applyFont="1" applyAlignment="1">
      <alignment horizontal="center" vertical="center" wrapText="1"/>
      <protection/>
    </xf>
    <xf numFmtId="43" fontId="9" fillId="0" borderId="0" xfId="15" applyFont="1" applyAlignment="1">
      <alignment horizontal="right" vertical="center" wrapText="1"/>
    </xf>
    <xf numFmtId="0" fontId="10" fillId="2" borderId="11" xfId="21" applyFont="1" applyFill="1" applyBorder="1" applyAlignment="1">
      <alignment horizontal="center" vertical="center" wrapText="1"/>
      <protection/>
    </xf>
    <xf numFmtId="0" fontId="10" fillId="2" borderId="12" xfId="21" applyFont="1" applyFill="1" applyBorder="1" applyAlignment="1">
      <alignment horizontal="center" vertical="center" wrapText="1"/>
      <protection/>
    </xf>
    <xf numFmtId="43" fontId="10" fillId="2" borderId="12" xfId="15" applyFont="1" applyFill="1" applyBorder="1" applyAlignment="1">
      <alignment horizontal="center" vertical="center" wrapText="1"/>
    </xf>
    <xf numFmtId="43" fontId="10" fillId="2" borderId="28" xfId="15" applyFont="1" applyFill="1" applyBorder="1" applyAlignment="1">
      <alignment horizontal="center" vertical="center" wrapText="1"/>
    </xf>
    <xf numFmtId="0" fontId="10" fillId="2" borderId="13" xfId="21" applyFont="1" applyFill="1" applyBorder="1" applyAlignment="1">
      <alignment horizontal="center" vertical="center" wrapText="1"/>
      <protection/>
    </xf>
    <xf numFmtId="1" fontId="10" fillId="2" borderId="3" xfId="21" applyNumberFormat="1" applyFont="1" applyFill="1" applyBorder="1" applyAlignment="1">
      <alignment horizontal="center" vertical="center" wrapText="1"/>
      <protection/>
    </xf>
    <xf numFmtId="1" fontId="10" fillId="2" borderId="31" xfId="21" applyNumberFormat="1" applyFont="1" applyFill="1" applyBorder="1" applyAlignment="1">
      <alignment horizontal="center" vertical="center" wrapText="1"/>
      <protection/>
    </xf>
    <xf numFmtId="1" fontId="10" fillId="2" borderId="31" xfId="15" applyNumberFormat="1" applyFont="1" applyFill="1" applyBorder="1" applyAlignment="1">
      <alignment horizontal="center" vertical="center" wrapText="1"/>
    </xf>
    <xf numFmtId="1" fontId="10" fillId="2" borderId="1" xfId="15" applyNumberFormat="1" applyFont="1" applyFill="1" applyBorder="1" applyAlignment="1">
      <alignment horizontal="center" vertical="center" wrapText="1"/>
    </xf>
    <xf numFmtId="1" fontId="10" fillId="2" borderId="2" xfId="21" applyNumberFormat="1" applyFont="1" applyFill="1" applyBorder="1" applyAlignment="1">
      <alignment horizontal="center" vertical="center" wrapText="1"/>
      <protection/>
    </xf>
    <xf numFmtId="1" fontId="9" fillId="0" borderId="0" xfId="21" applyNumberFormat="1" applyFont="1" applyAlignment="1">
      <alignment horizontal="center" vertical="center" wrapText="1"/>
      <protection/>
    </xf>
    <xf numFmtId="0" fontId="10" fillId="4" borderId="11" xfId="21" applyFont="1" applyFill="1" applyBorder="1" applyAlignment="1">
      <alignment horizontal="center" vertical="center" wrapText="1"/>
      <protection/>
    </xf>
    <xf numFmtId="0" fontId="10" fillId="4" borderId="12" xfId="21" applyFont="1" applyFill="1" applyBorder="1" applyAlignment="1">
      <alignment vertical="center" wrapText="1"/>
      <protection/>
    </xf>
    <xf numFmtId="43" fontId="10" fillId="4" borderId="12" xfId="15" applyFont="1" applyFill="1" applyBorder="1" applyAlignment="1">
      <alignment vertical="center" wrapText="1"/>
    </xf>
    <xf numFmtId="43" fontId="10" fillId="4" borderId="28" xfId="15" applyFont="1" applyFill="1" applyBorder="1" applyAlignment="1">
      <alignment vertical="center" wrapText="1"/>
    </xf>
    <xf numFmtId="169" fontId="10" fillId="4" borderId="13" xfId="21" applyNumberFormat="1" applyFont="1" applyFill="1" applyBorder="1" applyAlignment="1">
      <alignment vertical="center" wrapText="1"/>
      <protection/>
    </xf>
    <xf numFmtId="0" fontId="10" fillId="0" borderId="0" xfId="21" applyFont="1" applyAlignment="1">
      <alignment vertical="center" wrapText="1"/>
      <protection/>
    </xf>
    <xf numFmtId="0" fontId="10" fillId="4" borderId="25" xfId="21" applyFont="1" applyFill="1" applyBorder="1" applyAlignment="1">
      <alignment horizontal="center" vertical="center" wrapText="1"/>
      <protection/>
    </xf>
    <xf numFmtId="0" fontId="10" fillId="4" borderId="22" xfId="21" applyFont="1" applyFill="1" applyBorder="1" applyAlignment="1">
      <alignment vertical="center" wrapText="1"/>
      <protection/>
    </xf>
    <xf numFmtId="43" fontId="10" fillId="4" borderId="22" xfId="15" applyFont="1" applyFill="1" applyBorder="1" applyAlignment="1">
      <alignment vertical="center" wrapText="1"/>
    </xf>
    <xf numFmtId="169" fontId="10" fillId="4" borderId="5" xfId="21" applyNumberFormat="1" applyFont="1" applyFill="1" applyBorder="1" applyAlignment="1">
      <alignment vertical="center" wrapText="1"/>
      <protection/>
    </xf>
    <xf numFmtId="0" fontId="9" fillId="0" borderId="25" xfId="21" applyFont="1" applyBorder="1" applyAlignment="1">
      <alignment horizontal="center" vertical="center" wrapText="1"/>
      <protection/>
    </xf>
    <xf numFmtId="0" fontId="9" fillId="0" borderId="22" xfId="21" applyFont="1" applyBorder="1" applyAlignment="1">
      <alignment vertical="center" wrapText="1"/>
      <protection/>
    </xf>
    <xf numFmtId="43" fontId="9" fillId="0" borderId="22" xfId="15" applyFont="1" applyBorder="1" applyAlignment="1">
      <alignment vertical="center" wrapText="1"/>
    </xf>
    <xf numFmtId="169" fontId="9" fillId="0" borderId="5" xfId="21" applyNumberFormat="1" applyFont="1" applyBorder="1" applyAlignment="1">
      <alignment vertical="center" wrapText="1"/>
      <protection/>
    </xf>
    <xf numFmtId="0" fontId="9" fillId="0" borderId="48" xfId="21" applyFont="1" applyBorder="1" applyAlignment="1">
      <alignment horizontal="center" vertical="center" wrapText="1"/>
      <protection/>
    </xf>
    <xf numFmtId="0" fontId="9" fillId="0" borderId="26" xfId="21" applyFont="1" applyBorder="1" applyAlignment="1">
      <alignment vertical="center" wrapText="1"/>
      <protection/>
    </xf>
    <xf numFmtId="43" fontId="9" fillId="0" borderId="26" xfId="15" applyFont="1" applyBorder="1" applyAlignment="1">
      <alignment vertical="center" wrapText="1"/>
    </xf>
    <xf numFmtId="169" fontId="9" fillId="0" borderId="27" xfId="21" applyNumberFormat="1" applyFont="1" applyBorder="1" applyAlignment="1">
      <alignment vertical="center" wrapText="1"/>
      <protection/>
    </xf>
    <xf numFmtId="0" fontId="10" fillId="4" borderId="64" xfId="21" applyFont="1" applyFill="1" applyBorder="1" applyAlignment="1">
      <alignment horizontal="center" vertical="center" wrapText="1"/>
      <protection/>
    </xf>
    <xf numFmtId="0" fontId="10" fillId="4" borderId="19" xfId="21" applyFont="1" applyFill="1" applyBorder="1" applyAlignment="1">
      <alignment vertical="center" wrapText="1"/>
      <protection/>
    </xf>
    <xf numFmtId="43" fontId="10" fillId="4" borderId="19" xfId="15" applyFont="1" applyFill="1" applyBorder="1" applyAlignment="1">
      <alignment vertical="center" wrapText="1"/>
    </xf>
    <xf numFmtId="169" fontId="10" fillId="4" borderId="20" xfId="21" applyNumberFormat="1" applyFont="1" applyFill="1" applyBorder="1" applyAlignment="1">
      <alignment vertical="center" wrapText="1"/>
      <protection/>
    </xf>
    <xf numFmtId="0" fontId="9" fillId="0" borderId="18" xfId="21" applyFont="1" applyBorder="1" applyAlignment="1">
      <alignment horizontal="center" vertical="center" wrapText="1"/>
      <protection/>
    </xf>
    <xf numFmtId="169" fontId="9" fillId="0" borderId="5" xfId="21" applyNumberFormat="1" applyFont="1" applyBorder="1" applyAlignment="1">
      <alignment horizontal="right" vertical="center" wrapText="1"/>
      <protection/>
    </xf>
    <xf numFmtId="0" fontId="10" fillId="4" borderId="9" xfId="21" applyFont="1" applyFill="1" applyBorder="1" applyAlignment="1">
      <alignment horizontal="center" vertical="center" wrapText="1"/>
      <protection/>
    </xf>
    <xf numFmtId="0" fontId="10" fillId="4" borderId="10" xfId="21" applyFont="1" applyFill="1" applyBorder="1" applyAlignment="1">
      <alignment vertical="center" wrapText="1"/>
      <protection/>
    </xf>
    <xf numFmtId="43" fontId="10" fillId="4" borderId="10" xfId="15" applyFont="1" applyFill="1" applyBorder="1" applyAlignment="1">
      <alignment vertical="center" wrapText="1"/>
    </xf>
    <xf numFmtId="169" fontId="10" fillId="4" borderId="7" xfId="21" applyNumberFormat="1" applyFont="1" applyFill="1" applyBorder="1" applyAlignment="1">
      <alignment vertical="center" wrapText="1"/>
      <protection/>
    </xf>
    <xf numFmtId="0" fontId="10" fillId="4" borderId="8" xfId="21" applyFont="1" applyFill="1" applyBorder="1" applyAlignment="1">
      <alignment horizontal="center" vertical="center" wrapText="1"/>
      <protection/>
    </xf>
    <xf numFmtId="0" fontId="10" fillId="4" borderId="6" xfId="21" applyFont="1" applyFill="1" applyBorder="1" applyAlignment="1">
      <alignment vertical="center" wrapText="1"/>
      <protection/>
    </xf>
    <xf numFmtId="43" fontId="10" fillId="4" borderId="6" xfId="15" applyFont="1" applyFill="1" applyBorder="1" applyAlignment="1">
      <alignment vertical="center" wrapText="1"/>
    </xf>
    <xf numFmtId="169" fontId="10" fillId="4" borderId="7" xfId="21" applyNumberFormat="1" applyFont="1" applyFill="1" applyBorder="1" applyAlignment="1">
      <alignment horizontal="right" vertical="center" wrapText="1"/>
      <protection/>
    </xf>
    <xf numFmtId="0" fontId="10" fillId="4" borderId="3" xfId="21" applyFont="1" applyFill="1" applyBorder="1" applyAlignment="1">
      <alignment horizontal="center" vertical="center" wrapText="1"/>
      <protection/>
    </xf>
    <xf numFmtId="0" fontId="10" fillId="4" borderId="31" xfId="21" applyFont="1" applyFill="1" applyBorder="1" applyAlignment="1">
      <alignment vertical="center" wrapText="1"/>
      <protection/>
    </xf>
    <xf numFmtId="43" fontId="10" fillId="4" borderId="1" xfId="15" applyFont="1" applyFill="1" applyBorder="1" applyAlignment="1">
      <alignment vertical="center" wrapText="1"/>
    </xf>
    <xf numFmtId="169" fontId="10" fillId="4" borderId="2" xfId="21" applyNumberFormat="1" applyFont="1" applyFill="1" applyBorder="1" applyAlignment="1">
      <alignment horizontal="right" vertical="center" wrapText="1"/>
      <protection/>
    </xf>
    <xf numFmtId="0" fontId="10" fillId="2" borderId="17" xfId="21" applyFont="1" applyFill="1" applyBorder="1" applyAlignment="1">
      <alignment horizontal="center" vertical="center" wrapText="1"/>
      <protection/>
    </xf>
    <xf numFmtId="0" fontId="10" fillId="2" borderId="28" xfId="21" applyFont="1" applyFill="1" applyBorder="1" applyAlignment="1">
      <alignment horizontal="center" vertical="center" wrapText="1"/>
      <protection/>
    </xf>
    <xf numFmtId="0" fontId="10" fillId="4" borderId="48" xfId="21" applyFont="1" applyFill="1" applyBorder="1" applyAlignment="1">
      <alignment horizontal="center" vertical="center" wrapText="1"/>
      <protection/>
    </xf>
    <xf numFmtId="0" fontId="10" fillId="4" borderId="26" xfId="21" applyFont="1" applyFill="1" applyBorder="1" applyAlignment="1">
      <alignment vertical="center" wrapText="1"/>
      <protection/>
    </xf>
    <xf numFmtId="43" fontId="10" fillId="4" borderId="26" xfId="15" applyFont="1" applyFill="1" applyBorder="1" applyAlignment="1">
      <alignment vertical="center" wrapText="1"/>
    </xf>
    <xf numFmtId="169" fontId="10" fillId="4" borderId="27" xfId="21" applyNumberFormat="1" applyFont="1" applyFill="1" applyBorder="1" applyAlignment="1">
      <alignment vertical="center" wrapText="1"/>
      <protection/>
    </xf>
    <xf numFmtId="169" fontId="9" fillId="0" borderId="27" xfId="21" applyNumberFormat="1" applyFont="1" applyBorder="1" applyAlignment="1">
      <alignment horizontal="right" vertical="center" wrapText="1"/>
      <protection/>
    </xf>
    <xf numFmtId="169" fontId="10" fillId="4" borderId="27" xfId="21" applyNumberFormat="1" applyFont="1" applyFill="1" applyBorder="1" applyAlignment="1">
      <alignment horizontal="right" vertical="center" wrapText="1"/>
      <protection/>
    </xf>
    <xf numFmtId="1" fontId="10" fillId="2" borderId="36" xfId="21" applyNumberFormat="1" applyFont="1" applyFill="1" applyBorder="1" applyAlignment="1">
      <alignment horizontal="center" vertical="center" wrapText="1"/>
      <protection/>
    </xf>
    <xf numFmtId="1" fontId="10" fillId="2" borderId="1" xfId="21" applyNumberFormat="1" applyFont="1" applyFill="1" applyBorder="1" applyAlignment="1">
      <alignment horizontal="center" vertical="center" wrapText="1"/>
      <protection/>
    </xf>
    <xf numFmtId="1" fontId="10" fillId="0" borderId="0" xfId="21" applyNumberFormat="1" applyFont="1" applyAlignment="1">
      <alignment horizontal="center" vertical="center" wrapText="1"/>
      <protection/>
    </xf>
    <xf numFmtId="0" fontId="10" fillId="4" borderId="76" xfId="21" applyFont="1" applyFill="1" applyBorder="1" applyAlignment="1">
      <alignment horizontal="center" vertical="center" wrapText="1"/>
      <protection/>
    </xf>
    <xf numFmtId="0" fontId="10" fillId="4" borderId="29" xfId="21" applyFont="1" applyFill="1" applyBorder="1" applyAlignment="1">
      <alignment vertical="center" wrapText="1"/>
      <protection/>
    </xf>
    <xf numFmtId="43" fontId="10" fillId="4" borderId="29" xfId="15" applyFont="1" applyFill="1" applyBorder="1" applyAlignment="1">
      <alignment vertical="center" wrapText="1"/>
    </xf>
    <xf numFmtId="169" fontId="10" fillId="4" borderId="16" xfId="21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0" fillId="4" borderId="28" xfId="0" applyFont="1" applyFill="1" applyBorder="1" applyAlignment="1">
      <alignment vertical="center" wrapText="1"/>
    </xf>
    <xf numFmtId="4" fontId="10" fillId="4" borderId="28" xfId="0" applyNumberFormat="1" applyFont="1" applyFill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10" fillId="5" borderId="33" xfId="0" applyNumberFormat="1" applyFont="1" applyFill="1" applyBorder="1" applyAlignment="1">
      <alignment horizontal="right" vertical="center"/>
    </xf>
    <xf numFmtId="0" fontId="10" fillId="4" borderId="28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4" fontId="10" fillId="4" borderId="33" xfId="0" applyNumberFormat="1" applyFont="1" applyFill="1" applyBorder="1" applyAlignment="1">
      <alignment horizontal="right" vertical="center"/>
    </xf>
    <xf numFmtId="174" fontId="9" fillId="0" borderId="2" xfId="0" applyNumberFormat="1" applyFont="1" applyBorder="1" applyAlignment="1">
      <alignment vertical="center"/>
    </xf>
    <xf numFmtId="4" fontId="10" fillId="5" borderId="22" xfId="0" applyNumberFormat="1" applyFont="1" applyFill="1" applyBorder="1" applyAlignment="1">
      <alignment horizontal="right" vertical="center"/>
    </xf>
    <xf numFmtId="174" fontId="10" fillId="5" borderId="5" xfId="0" applyNumberFormat="1" applyFont="1" applyFill="1" applyBorder="1" applyAlignment="1">
      <alignment vertical="center"/>
    </xf>
    <xf numFmtId="0" fontId="10" fillId="4" borderId="33" xfId="0" applyFont="1" applyFill="1" applyBorder="1" applyAlignment="1">
      <alignment vertical="center" wrapText="1"/>
    </xf>
    <xf numFmtId="4" fontId="10" fillId="4" borderId="47" xfId="0" applyNumberFormat="1" applyFont="1" applyFill="1" applyBorder="1" applyAlignment="1">
      <alignment horizontal="right" vertical="center"/>
    </xf>
    <xf numFmtId="174" fontId="10" fillId="4" borderId="34" xfId="0" applyNumberFormat="1" applyFont="1" applyFill="1" applyBorder="1" applyAlignment="1">
      <alignment horizontal="center" vertical="center"/>
    </xf>
    <xf numFmtId="4" fontId="10" fillId="5" borderId="47" xfId="0" applyNumberFormat="1" applyFont="1" applyFill="1" applyBorder="1" applyAlignment="1">
      <alignment horizontal="right" vertical="center"/>
    </xf>
    <xf numFmtId="169" fontId="10" fillId="5" borderId="34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19" fillId="2" borderId="60" xfId="0" applyNumberFormat="1" applyFont="1" applyFill="1" applyBorder="1" applyAlignment="1">
      <alignment vertical="center" wrapText="1"/>
    </xf>
    <xf numFmtId="4" fontId="9" fillId="2" borderId="60" xfId="0" applyNumberFormat="1" applyFont="1" applyFill="1" applyBorder="1" applyAlignment="1">
      <alignment vertical="center"/>
    </xf>
    <xf numFmtId="4" fontId="9" fillId="2" borderId="20" xfId="0" applyNumberFormat="1" applyFont="1" applyFill="1" applyBorder="1" applyAlignment="1">
      <alignment vertical="center"/>
    </xf>
    <xf numFmtId="3" fontId="19" fillId="0" borderId="30" xfId="0" applyNumberFormat="1" applyFont="1" applyBorder="1" applyAlignment="1">
      <alignment vertical="center" wrapText="1"/>
    </xf>
    <xf numFmtId="4" fontId="9" fillId="0" borderId="27" xfId="0" applyNumberFormat="1" applyFont="1" applyBorder="1" applyAlignment="1">
      <alignment vertical="center"/>
    </xf>
    <xf numFmtId="3" fontId="18" fillId="2" borderId="60" xfId="0" applyNumberFormat="1" applyFont="1" applyFill="1" applyBorder="1" applyAlignment="1">
      <alignment vertical="center" wrapText="1"/>
    </xf>
    <xf numFmtId="4" fontId="12" fillId="2" borderId="60" xfId="0" applyNumberFormat="1" applyFont="1" applyFill="1" applyBorder="1" applyAlignment="1">
      <alignment vertical="center"/>
    </xf>
    <xf numFmtId="4" fontId="12" fillId="2" borderId="20" xfId="0" applyNumberFormat="1" applyFont="1" applyFill="1" applyBorder="1" applyAlignment="1">
      <alignment vertical="center" wrapText="1"/>
    </xf>
    <xf numFmtId="3" fontId="18" fillId="0" borderId="30" xfId="0" applyNumberFormat="1" applyFont="1" applyBorder="1" applyAlignment="1">
      <alignment vertical="center" wrapText="1"/>
    </xf>
    <xf numFmtId="4" fontId="12" fillId="0" borderId="30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3" fontId="11" fillId="2" borderId="4" xfId="0" applyNumberFormat="1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vertical="center"/>
    </xf>
    <xf numFmtId="4" fontId="12" fillId="0" borderId="30" xfId="0" applyNumberFormat="1" applyFont="1" applyFill="1" applyBorder="1" applyAlignment="1">
      <alignment vertical="center"/>
    </xf>
    <xf numFmtId="172" fontId="12" fillId="0" borderId="26" xfId="0" applyNumberFormat="1" applyFont="1" applyBorder="1" applyAlignment="1">
      <alignment horizontal="right" vertical="center"/>
    </xf>
    <xf numFmtId="195" fontId="12" fillId="0" borderId="27" xfId="0" applyNumberFormat="1" applyFont="1" applyBorder="1" applyAlignment="1">
      <alignment vertical="center"/>
    </xf>
    <xf numFmtId="49" fontId="12" fillId="0" borderId="30" xfId="0" applyNumberFormat="1" applyFont="1" applyBorder="1" applyAlignment="1">
      <alignment horizontal="center" vertical="top"/>
    </xf>
    <xf numFmtId="49" fontId="12" fillId="0" borderId="3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horizontal="right" vertical="top"/>
    </xf>
    <xf numFmtId="4" fontId="12" fillId="0" borderId="0" xfId="0" applyNumberFormat="1" applyFont="1" applyAlignment="1">
      <alignment vertical="top"/>
    </xf>
    <xf numFmtId="169" fontId="12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9" fontId="18" fillId="0" borderId="0" xfId="0" applyNumberFormat="1" applyFont="1" applyBorder="1" applyAlignment="1">
      <alignment vertical="center"/>
    </xf>
    <xf numFmtId="49" fontId="16" fillId="0" borderId="49" xfId="0" applyNumberFormat="1" applyFont="1" applyBorder="1" applyAlignment="1">
      <alignment vertical="center"/>
    </xf>
    <xf numFmtId="4" fontId="16" fillId="0" borderId="49" xfId="0" applyNumberFormat="1" applyFont="1" applyBorder="1" applyAlignment="1">
      <alignment vertical="center"/>
    </xf>
    <xf numFmtId="169" fontId="18" fillId="0" borderId="49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/>
    </xf>
    <xf numFmtId="49" fontId="15" fillId="0" borderId="49" xfId="0" applyNumberFormat="1" applyFont="1" applyBorder="1" applyAlignment="1">
      <alignment vertical="center" wrapText="1"/>
    </xf>
    <xf numFmtId="4" fontId="15" fillId="0" borderId="49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9" fontId="15" fillId="0" borderId="49" xfId="0" applyNumberFormat="1" applyFont="1" applyBorder="1" applyAlignment="1">
      <alignment vertical="center"/>
    </xf>
    <xf numFmtId="174" fontId="9" fillId="0" borderId="27" xfId="0" applyNumberFormat="1" applyFont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vertical="center" wrapText="1"/>
    </xf>
    <xf numFmtId="4" fontId="10" fillId="4" borderId="52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10" fillId="4" borderId="77" xfId="0" applyFont="1" applyFill="1" applyBorder="1" applyAlignment="1">
      <alignment horizontal="center" vertical="center"/>
    </xf>
    <xf numFmtId="4" fontId="10" fillId="4" borderId="78" xfId="0" applyNumberFormat="1" applyFont="1" applyFill="1" applyBorder="1" applyAlignment="1">
      <alignment horizontal="right" vertical="center"/>
    </xf>
    <xf numFmtId="174" fontId="10" fillId="4" borderId="74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74" fontId="9" fillId="0" borderId="0" xfId="0" applyNumberFormat="1" applyFont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horizontal="right" vertical="center"/>
    </xf>
    <xf numFmtId="174" fontId="10" fillId="4" borderId="7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4" fontId="10" fillId="5" borderId="34" xfId="0" applyNumberFormat="1" applyFont="1" applyFill="1" applyBorder="1" applyAlignment="1">
      <alignment horizontal="right" vertical="center"/>
    </xf>
    <xf numFmtId="174" fontId="12" fillId="0" borderId="5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174" fontId="9" fillId="0" borderId="2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vertical="center" wrapText="1"/>
    </xf>
    <xf numFmtId="4" fontId="10" fillId="4" borderId="22" xfId="0" applyNumberFormat="1" applyFont="1" applyFill="1" applyBorder="1" applyAlignment="1">
      <alignment horizontal="right" vertical="center"/>
    </xf>
    <xf numFmtId="49" fontId="32" fillId="0" borderId="21" xfId="0" applyNumberFormat="1" applyFont="1" applyBorder="1" applyAlignment="1">
      <alignment horizontal="center" vertical="top"/>
    </xf>
    <xf numFmtId="49" fontId="32" fillId="0" borderId="4" xfId="0" applyNumberFormat="1" applyFont="1" applyBorder="1" applyAlignment="1">
      <alignment horizontal="center" vertical="top"/>
    </xf>
    <xf numFmtId="0" fontId="32" fillId="0" borderId="4" xfId="0" applyFont="1" applyBorder="1" applyAlignment="1">
      <alignment horizontal="center" vertical="top" wrapText="1"/>
    </xf>
    <xf numFmtId="49" fontId="32" fillId="0" borderId="23" xfId="0" applyNumberFormat="1" applyFont="1" applyBorder="1" applyAlignment="1">
      <alignment vertical="top" wrapText="1"/>
    </xf>
    <xf numFmtId="4" fontId="32" fillId="0" borderId="4" xfId="0" applyNumberFormat="1" applyFont="1" applyBorder="1" applyAlignment="1">
      <alignment vertical="top"/>
    </xf>
    <xf numFmtId="169" fontId="32" fillId="0" borderId="24" xfId="0" applyNumberFormat="1" applyFont="1" applyFill="1" applyBorder="1" applyAlignment="1">
      <alignment horizontal="right" vertical="top"/>
    </xf>
    <xf numFmtId="0" fontId="33" fillId="0" borderId="0" xfId="0" applyFont="1" applyAlignment="1">
      <alignment vertical="top"/>
    </xf>
    <xf numFmtId="49" fontId="34" fillId="0" borderId="21" xfId="0" applyNumberFormat="1" applyFont="1" applyBorder="1" applyAlignment="1">
      <alignment horizontal="center" vertical="top"/>
    </xf>
    <xf numFmtId="49" fontId="34" fillId="0" borderId="4" xfId="0" applyNumberFormat="1" applyFont="1" applyBorder="1" applyAlignment="1">
      <alignment horizontal="center" vertical="top"/>
    </xf>
    <xf numFmtId="49" fontId="34" fillId="0" borderId="4" xfId="0" applyNumberFormat="1" applyFont="1" applyBorder="1" applyAlignment="1">
      <alignment horizontal="center" vertical="top" wrapText="1"/>
    </xf>
    <xf numFmtId="49" fontId="34" fillId="0" borderId="23" xfId="0" applyNumberFormat="1" applyFont="1" applyBorder="1" applyAlignment="1">
      <alignment vertical="top" wrapText="1"/>
    </xf>
    <xf numFmtId="4" fontId="34" fillId="0" borderId="23" xfId="0" applyNumberFormat="1" applyFont="1" applyBorder="1" applyAlignment="1">
      <alignment vertical="top"/>
    </xf>
    <xf numFmtId="4" fontId="34" fillId="0" borderId="4" xfId="0" applyNumberFormat="1" applyFont="1" applyBorder="1" applyAlignment="1">
      <alignment vertical="top"/>
    </xf>
    <xf numFmtId="169" fontId="34" fillId="0" borderId="24" xfId="0" applyNumberFormat="1" applyFont="1" applyFill="1" applyBorder="1" applyAlignment="1">
      <alignment horizontal="right" vertical="top"/>
    </xf>
    <xf numFmtId="4" fontId="12" fillId="2" borderId="4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 wrapText="1"/>
    </xf>
    <xf numFmtId="3" fontId="18" fillId="0" borderId="79" xfId="0" applyNumberFormat="1" applyFont="1" applyBorder="1" applyAlignment="1">
      <alignment vertical="center" wrapText="1"/>
    </xf>
    <xf numFmtId="4" fontId="12" fillId="0" borderId="79" xfId="0" applyNumberFormat="1" applyFont="1" applyBorder="1" applyAlignment="1">
      <alignment vertical="center"/>
    </xf>
    <xf numFmtId="4" fontId="12" fillId="0" borderId="80" xfId="0" applyNumberFormat="1" applyFont="1" applyBorder="1" applyAlignment="1">
      <alignment vertical="center" wrapText="1"/>
    </xf>
    <xf numFmtId="0" fontId="9" fillId="0" borderId="8" xfId="22" applyFont="1" applyFill="1" applyBorder="1" applyAlignment="1">
      <alignment horizontal="center" vertical="center"/>
      <protection/>
    </xf>
    <xf numFmtId="169" fontId="12" fillId="0" borderId="24" xfId="0" applyNumberFormat="1" applyFont="1" applyFill="1" applyBorder="1" applyAlignment="1">
      <alignment horizontal="right" vertical="top"/>
    </xf>
    <xf numFmtId="169" fontId="12" fillId="0" borderId="24" xfId="0" applyNumberFormat="1" applyFont="1" applyBorder="1" applyAlignment="1">
      <alignment vertical="center"/>
    </xf>
    <xf numFmtId="169" fontId="15" fillId="0" borderId="24" xfId="0" applyNumberFormat="1" applyFont="1" applyBorder="1" applyAlignment="1">
      <alignment vertical="center"/>
    </xf>
    <xf numFmtId="0" fontId="9" fillId="0" borderId="6" xfId="0" applyFont="1" applyFill="1" applyBorder="1" applyAlignment="1">
      <alignment vertical="top" wrapText="1"/>
    </xf>
    <xf numFmtId="4" fontId="10" fillId="2" borderId="7" xfId="0" applyNumberFormat="1" applyFont="1" applyFill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0" fillId="2" borderId="5" xfId="0" applyNumberFormat="1" applyFont="1" applyFill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9" fillId="0" borderId="22" xfId="0" applyNumberFormat="1" applyFont="1" applyBorder="1" applyAlignment="1" applyProtection="1">
      <alignment/>
      <protection hidden="1"/>
    </xf>
    <xf numFmtId="49" fontId="12" fillId="0" borderId="22" xfId="0" applyNumberFormat="1" applyFont="1" applyBorder="1" applyAlignment="1">
      <alignment vertical="center" wrapText="1"/>
    </xf>
    <xf numFmtId="174" fontId="12" fillId="0" borderId="5" xfId="0" applyNumberFormat="1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9" fontId="12" fillId="0" borderId="22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" fontId="10" fillId="4" borderId="7" xfId="22" applyNumberFormat="1" applyFont="1" applyFill="1" applyBorder="1" applyAlignment="1">
      <alignment vertical="center"/>
      <protection/>
    </xf>
    <xf numFmtId="0" fontId="10" fillId="2" borderId="7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2" borderId="28" xfId="0" applyFont="1" applyFill="1" applyBorder="1" applyAlignment="1">
      <alignment vertical="center"/>
    </xf>
    <xf numFmtId="0" fontId="10" fillId="2" borderId="81" xfId="0" applyFont="1" applyFill="1" applyBorder="1" applyAlignment="1">
      <alignment vertical="center"/>
    </xf>
    <xf numFmtId="0" fontId="10" fillId="5" borderId="8" xfId="22" applyFont="1" applyFill="1" applyBorder="1" applyAlignment="1">
      <alignment horizontal="center" vertical="center"/>
      <protection/>
    </xf>
    <xf numFmtId="0" fontId="10" fillId="5" borderId="6" xfId="22" applyFont="1" applyFill="1" applyBorder="1" applyAlignment="1">
      <alignment horizontal="center" vertical="center"/>
      <protection/>
    </xf>
    <xf numFmtId="0" fontId="10" fillId="2" borderId="82" xfId="22" applyFont="1" applyFill="1" applyBorder="1" applyAlignment="1">
      <alignment horizontal="center" vertical="center" wrapText="1"/>
      <protection/>
    </xf>
    <xf numFmtId="4" fontId="10" fillId="5" borderId="83" xfId="22" applyNumberFormat="1" applyFont="1" applyFill="1" applyBorder="1" applyAlignment="1">
      <alignment horizontal="center" vertical="center"/>
      <protection/>
    </xf>
    <xf numFmtId="4" fontId="10" fillId="4" borderId="55" xfId="22" applyNumberFormat="1" applyFont="1" applyFill="1" applyBorder="1" applyAlignment="1">
      <alignment horizontal="center" vertical="center"/>
      <protection/>
    </xf>
    <xf numFmtId="0" fontId="10" fillId="4" borderId="9" xfId="22" applyFont="1" applyFill="1" applyBorder="1" applyAlignment="1">
      <alignment horizontal="center" vertical="center"/>
      <protection/>
    </xf>
    <xf numFmtId="0" fontId="10" fillId="4" borderId="55" xfId="22" applyFont="1" applyFill="1" applyBorder="1" applyAlignment="1">
      <alignment horizontal="center" vertical="center"/>
      <protection/>
    </xf>
    <xf numFmtId="0" fontId="10" fillId="5" borderId="76" xfId="22" applyFont="1" applyFill="1" applyBorder="1" applyAlignment="1">
      <alignment horizontal="center" vertical="center"/>
      <protection/>
    </xf>
    <xf numFmtId="0" fontId="10" fillId="5" borderId="84" xfId="22" applyFont="1" applyFill="1" applyBorder="1" applyAlignment="1">
      <alignment horizontal="center" vertical="center"/>
      <protection/>
    </xf>
    <xf numFmtId="0" fontId="10" fillId="3" borderId="82" xfId="22" applyFont="1" applyFill="1" applyBorder="1" applyAlignment="1">
      <alignment horizontal="center" vertical="center" wrapText="1"/>
      <protection/>
    </xf>
    <xf numFmtId="0" fontId="10" fillId="5" borderId="14" xfId="22" applyFont="1" applyFill="1" applyBorder="1" applyAlignment="1">
      <alignment horizontal="center" vertical="center"/>
      <protection/>
    </xf>
    <xf numFmtId="0" fontId="10" fillId="5" borderId="15" xfId="22" applyFont="1" applyFill="1" applyBorder="1" applyAlignment="1">
      <alignment horizontal="center" vertical="center"/>
      <protection/>
    </xf>
    <xf numFmtId="0" fontId="10" fillId="2" borderId="51" xfId="22" applyFont="1" applyFill="1" applyBorder="1" applyAlignment="1">
      <alignment horizontal="center" vertical="center" wrapText="1"/>
      <protection/>
    </xf>
    <xf numFmtId="0" fontId="10" fillId="2" borderId="18" xfId="22" applyFont="1" applyFill="1" applyBorder="1" applyAlignment="1">
      <alignment horizontal="center" vertical="center" wrapText="1"/>
      <protection/>
    </xf>
    <xf numFmtId="0" fontId="10" fillId="2" borderId="28" xfId="22" applyFont="1" applyFill="1" applyBorder="1" applyAlignment="1">
      <alignment horizontal="center" vertical="center" wrapText="1"/>
      <protection/>
    </xf>
    <xf numFmtId="0" fontId="10" fillId="2" borderId="81" xfId="22" applyFont="1" applyFill="1" applyBorder="1" applyAlignment="1">
      <alignment horizontal="center" vertical="center" wrapText="1"/>
      <protection/>
    </xf>
    <xf numFmtId="4" fontId="10" fillId="5" borderId="10" xfId="22" applyNumberFormat="1" applyFont="1" applyFill="1" applyBorder="1" applyAlignment="1">
      <alignment horizontal="center" vertical="center"/>
      <protection/>
    </xf>
    <xf numFmtId="4" fontId="10" fillId="5" borderId="55" xfId="22" applyNumberFormat="1" applyFont="1" applyFill="1" applyBorder="1" applyAlignment="1">
      <alignment horizontal="center" vertical="center"/>
      <protection/>
    </xf>
    <xf numFmtId="0" fontId="10" fillId="2" borderId="52" xfId="22" applyFont="1" applyFill="1" applyBorder="1" applyAlignment="1">
      <alignment horizontal="center" vertical="center" wrapText="1"/>
      <protection/>
    </xf>
    <xf numFmtId="0" fontId="10" fillId="2" borderId="30" xfId="22" applyFont="1" applyFill="1" applyBorder="1" applyAlignment="1">
      <alignment horizontal="center" vertical="center" wrapText="1"/>
      <protection/>
    </xf>
    <xf numFmtId="0" fontId="10" fillId="4" borderId="8" xfId="22" applyFont="1" applyFill="1" applyBorder="1" applyAlignment="1">
      <alignment horizontal="center" vertical="center"/>
      <protection/>
    </xf>
    <xf numFmtId="0" fontId="10" fillId="4" borderId="6" xfId="22" applyFont="1" applyFill="1" applyBorder="1" applyAlignment="1">
      <alignment horizontal="center" vertical="center"/>
      <protection/>
    </xf>
    <xf numFmtId="0" fontId="10" fillId="3" borderId="52" xfId="22" applyFont="1" applyFill="1" applyBorder="1" applyAlignment="1">
      <alignment horizontal="center" vertical="center" wrapText="1"/>
      <protection/>
    </xf>
    <xf numFmtId="0" fontId="10" fillId="3" borderId="30" xfId="22" applyFont="1" applyFill="1" applyBorder="1" applyAlignment="1">
      <alignment horizontal="center" vertical="center" wrapText="1"/>
      <protection/>
    </xf>
    <xf numFmtId="0" fontId="10" fillId="3" borderId="28" xfId="22" applyFont="1" applyFill="1" applyBorder="1" applyAlignment="1">
      <alignment horizontal="center" vertical="center" wrapText="1"/>
      <protection/>
    </xf>
    <xf numFmtId="0" fontId="10" fillId="3" borderId="81" xfId="22" applyFont="1" applyFill="1" applyBorder="1" applyAlignment="1">
      <alignment horizontal="center" vertical="center" wrapText="1"/>
      <protection/>
    </xf>
    <xf numFmtId="4" fontId="10" fillId="5" borderId="29" xfId="22" applyNumberFormat="1" applyFont="1" applyFill="1" applyBorder="1" applyAlignment="1">
      <alignment horizontal="center" vertical="center"/>
      <protection/>
    </xf>
    <xf numFmtId="4" fontId="10" fillId="5" borderId="84" xfId="22" applyNumberFormat="1" applyFont="1" applyFill="1" applyBorder="1" applyAlignment="1">
      <alignment horizontal="center" vertical="center"/>
      <protection/>
    </xf>
    <xf numFmtId="4" fontId="10" fillId="5" borderId="85" xfId="22" applyNumberFormat="1" applyFont="1" applyFill="1" applyBorder="1" applyAlignment="1">
      <alignment horizontal="center" vertical="center"/>
      <protection/>
    </xf>
    <xf numFmtId="0" fontId="10" fillId="0" borderId="0" xfId="22" applyFont="1" applyAlignment="1">
      <alignment horizontal="center" vertical="center" wrapText="1"/>
      <protection/>
    </xf>
    <xf numFmtId="4" fontId="10" fillId="4" borderId="10" xfId="22" applyNumberFormat="1" applyFont="1" applyFill="1" applyBorder="1" applyAlignment="1">
      <alignment horizontal="center" vertical="center"/>
      <protection/>
    </xf>
    <xf numFmtId="4" fontId="10" fillId="4" borderId="83" xfId="22" applyNumberFormat="1" applyFont="1" applyFill="1" applyBorder="1" applyAlignment="1">
      <alignment horizontal="center" vertical="center"/>
      <protection/>
    </xf>
    <xf numFmtId="0" fontId="10" fillId="3" borderId="51" xfId="22" applyFont="1" applyFill="1" applyBorder="1" applyAlignment="1">
      <alignment horizontal="center" vertical="center" wrapText="1"/>
      <protection/>
    </xf>
    <xf numFmtId="0" fontId="10" fillId="3" borderId="18" xfId="2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49" fontId="10" fillId="2" borderId="77" xfId="0" applyNumberFormat="1" applyFont="1" applyFill="1" applyBorder="1" applyAlignment="1">
      <alignment horizontal="center" vertical="center"/>
    </xf>
    <xf numFmtId="49" fontId="10" fillId="2" borderId="48" xfId="0" applyNumberFormat="1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4" borderId="17" xfId="0" applyNumberFormat="1" applyFont="1" applyFill="1" applyBorder="1" applyAlignment="1">
      <alignment horizontal="center" vertical="center"/>
    </xf>
    <xf numFmtId="49" fontId="10" fillId="4" borderId="37" xfId="0" applyNumberFormat="1" applyFont="1" applyFill="1" applyBorder="1" applyAlignment="1">
      <alignment horizontal="center" vertical="center"/>
    </xf>
    <xf numFmtId="49" fontId="10" fillId="4" borderId="81" xfId="0" applyNumberFormat="1" applyFont="1" applyFill="1" applyBorder="1" applyAlignment="1">
      <alignment horizontal="center" vertical="center"/>
    </xf>
    <xf numFmtId="49" fontId="10" fillId="5" borderId="86" xfId="0" applyNumberFormat="1" applyFont="1" applyFill="1" applyBorder="1" applyAlignment="1">
      <alignment horizontal="center" vertical="center"/>
    </xf>
    <xf numFmtId="49" fontId="10" fillId="5" borderId="87" xfId="0" applyNumberFormat="1" applyFont="1" applyFill="1" applyBorder="1" applyAlignment="1">
      <alignment horizontal="center" vertical="center"/>
    </xf>
    <xf numFmtId="49" fontId="10" fillId="5" borderId="88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right" vertical="top"/>
    </xf>
    <xf numFmtId="169" fontId="12" fillId="0" borderId="5" xfId="0" applyNumberFormat="1" applyFont="1" applyFill="1" applyBorder="1" applyAlignment="1">
      <alignment horizontal="right" vertical="top"/>
    </xf>
    <xf numFmtId="49" fontId="10" fillId="4" borderId="48" xfId="0" applyNumberFormat="1" applyFont="1" applyFill="1" applyBorder="1" applyAlignment="1">
      <alignment horizontal="center" vertical="center"/>
    </xf>
    <xf numFmtId="49" fontId="10" fillId="4" borderId="49" xfId="0" applyNumberFormat="1" applyFont="1" applyFill="1" applyBorder="1" applyAlignment="1">
      <alignment horizontal="center" vertical="center"/>
    </xf>
    <xf numFmtId="49" fontId="10" fillId="4" borderId="50" xfId="0" applyNumberFormat="1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14" fillId="4" borderId="89" xfId="0" applyNumberFormat="1" applyFont="1" applyFill="1" applyBorder="1" applyAlignment="1">
      <alignment horizontal="left" vertical="center"/>
    </xf>
    <xf numFmtId="49" fontId="14" fillId="4" borderId="90" xfId="0" applyNumberFormat="1" applyFont="1" applyFill="1" applyBorder="1" applyAlignment="1">
      <alignment horizontal="left" vertical="center"/>
    </xf>
    <xf numFmtId="49" fontId="14" fillId="4" borderId="35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  <protection hidden="1"/>
    </xf>
    <xf numFmtId="49" fontId="10" fillId="4" borderId="9" xfId="0" applyNumberFormat="1" applyFont="1" applyFill="1" applyBorder="1" applyAlignment="1">
      <alignment horizontal="center" vertical="center"/>
    </xf>
    <xf numFmtId="49" fontId="10" fillId="4" borderId="54" xfId="0" applyNumberFormat="1" applyFont="1" applyFill="1" applyBorder="1" applyAlignment="1">
      <alignment horizontal="center" vertical="center"/>
    </xf>
    <xf numFmtId="49" fontId="10" fillId="4" borderId="55" xfId="0" applyNumberFormat="1" applyFont="1" applyFill="1" applyBorder="1" applyAlignment="1">
      <alignment horizontal="center" vertical="center"/>
    </xf>
    <xf numFmtId="49" fontId="10" fillId="4" borderId="18" xfId="0" applyNumberFormat="1" applyFont="1" applyFill="1" applyBorder="1" applyAlignment="1">
      <alignment horizontal="center" vertical="center"/>
    </xf>
    <xf numFmtId="49" fontId="10" fillId="4" borderId="30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5" borderId="48" xfId="0" applyFont="1" applyFill="1" applyBorder="1" applyAlignment="1">
      <alignment horizontal="left" vertical="center"/>
    </xf>
    <xf numFmtId="0" fontId="14" fillId="5" borderId="49" xfId="0" applyFont="1" applyFill="1" applyBorder="1" applyAlignment="1">
      <alignment horizontal="left" vertical="center"/>
    </xf>
    <xf numFmtId="0" fontId="14" fillId="5" borderId="50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wrapText="1"/>
    </xf>
    <xf numFmtId="0" fontId="10" fillId="0" borderId="35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91" xfId="0" applyFont="1" applyFill="1" applyBorder="1" applyAlignment="1">
      <alignment horizontal="left" vertical="center" wrapText="1"/>
    </xf>
    <xf numFmtId="0" fontId="14" fillId="5" borderId="92" xfId="0" applyFont="1" applyFill="1" applyBorder="1" applyAlignment="1">
      <alignment horizontal="left" vertical="center"/>
    </xf>
    <xf numFmtId="0" fontId="14" fillId="5" borderId="61" xfId="0" applyFont="1" applyFill="1" applyBorder="1" applyAlignment="1">
      <alignment horizontal="left" vertical="center"/>
    </xf>
    <xf numFmtId="0" fontId="14" fillId="5" borderId="93" xfId="0" applyFont="1" applyFill="1" applyBorder="1" applyAlignment="1">
      <alignment horizontal="left" vertical="center"/>
    </xf>
    <xf numFmtId="0" fontId="10" fillId="5" borderId="36" xfId="0" applyFont="1" applyFill="1" applyBorder="1" applyAlignment="1">
      <alignment horizontal="left" vertical="center"/>
    </xf>
    <xf numFmtId="0" fontId="10" fillId="5" borderId="35" xfId="0" applyFont="1" applyFill="1" applyBorder="1" applyAlignment="1">
      <alignment horizontal="left" vertical="center"/>
    </xf>
    <xf numFmtId="0" fontId="10" fillId="5" borderId="56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49" fontId="9" fillId="0" borderId="9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49" fontId="10" fillId="5" borderId="3" xfId="0" applyNumberFormat="1" applyFont="1" applyFill="1" applyBorder="1" applyAlignment="1">
      <alignment horizontal="center" vertical="center"/>
    </xf>
    <xf numFmtId="49" fontId="10" fillId="5" borderId="3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49" fontId="9" fillId="0" borderId="79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3" fontId="9" fillId="0" borderId="79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4" borderId="48" xfId="0" applyNumberFormat="1" applyFont="1" applyFill="1" applyBorder="1" applyAlignment="1">
      <alignment horizontal="center" vertical="center"/>
    </xf>
    <xf numFmtId="49" fontId="10" fillId="4" borderId="49" xfId="0" applyNumberFormat="1" applyFont="1" applyFill="1" applyBorder="1" applyAlignment="1">
      <alignment horizontal="center" vertical="center"/>
    </xf>
    <xf numFmtId="49" fontId="10" fillId="4" borderId="50" xfId="0" applyNumberFormat="1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/>
    </xf>
    <xf numFmtId="49" fontId="10" fillId="4" borderId="37" xfId="0" applyNumberFormat="1" applyFont="1" applyFill="1" applyBorder="1" applyAlignment="1">
      <alignment horizontal="center" vertical="center"/>
    </xf>
    <xf numFmtId="49" fontId="10" fillId="4" borderId="81" xfId="0" applyNumberFormat="1" applyFont="1" applyFill="1" applyBorder="1" applyAlignment="1">
      <alignment horizontal="center" vertical="center"/>
    </xf>
    <xf numFmtId="0" fontId="10" fillId="4" borderId="36" xfId="19" applyFont="1" applyFill="1" applyBorder="1" applyAlignment="1">
      <alignment horizontal="center" vertical="center"/>
      <protection/>
    </xf>
    <xf numFmtId="0" fontId="10" fillId="4" borderId="35" xfId="19" applyFont="1" applyFill="1" applyBorder="1" applyAlignment="1">
      <alignment horizontal="center" vertical="center"/>
      <protection/>
    </xf>
    <xf numFmtId="0" fontId="10" fillId="4" borderId="56" xfId="19" applyFont="1" applyFill="1" applyBorder="1" applyAlignment="1">
      <alignment horizontal="center" vertical="center"/>
      <protection/>
    </xf>
    <xf numFmtId="0" fontId="10" fillId="0" borderId="0" xfId="19" applyFont="1" applyAlignment="1">
      <alignment horizontal="center"/>
      <protection/>
    </xf>
    <xf numFmtId="0" fontId="10" fillId="5" borderId="86" xfId="0" applyFont="1" applyFill="1" applyBorder="1" applyAlignment="1">
      <alignment horizontal="center" vertical="center"/>
    </xf>
    <xf numFmtId="0" fontId="10" fillId="5" borderId="87" xfId="0" applyFont="1" applyFill="1" applyBorder="1" applyAlignment="1">
      <alignment horizontal="center" vertical="center"/>
    </xf>
    <xf numFmtId="0" fontId="10" fillId="5" borderId="8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0" borderId="0" xfId="18" applyFont="1" applyAlignment="1">
      <alignment horizontal="center" vertical="center"/>
      <protection/>
    </xf>
    <xf numFmtId="0" fontId="10" fillId="5" borderId="46" xfId="18" applyFont="1" applyFill="1" applyBorder="1" applyAlignment="1">
      <alignment horizontal="center" vertical="center"/>
      <protection/>
    </xf>
    <xf numFmtId="0" fontId="10" fillId="5" borderId="47" xfId="18" applyFont="1" applyFill="1" applyBorder="1" applyAlignment="1">
      <alignment horizontal="center" vertical="center"/>
      <protection/>
    </xf>
    <xf numFmtId="0" fontId="10" fillId="5" borderId="14" xfId="18" applyFont="1" applyFill="1" applyBorder="1" applyAlignment="1">
      <alignment horizontal="center" vertical="center"/>
      <protection/>
    </xf>
    <xf numFmtId="0" fontId="10" fillId="5" borderId="15" xfId="18" applyFont="1" applyFill="1" applyBorder="1" applyAlignment="1">
      <alignment horizontal="center" vertical="center"/>
      <protection/>
    </xf>
    <xf numFmtId="0" fontId="10" fillId="5" borderId="33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0" borderId="0" xfId="21" applyFont="1" applyAlignment="1">
      <alignment horizontal="center" vertical="center" wrapText="1"/>
      <protection/>
    </xf>
    <xf numFmtId="0" fontId="10" fillId="0" borderId="0" xfId="20" applyFont="1" applyAlignment="1">
      <alignment horizontal="right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fundusze" xfId="18"/>
    <cellStyle name="Normalny_niewygasy 2006" xfId="19"/>
    <cellStyle name="Normalny_tabele2007" xfId="20"/>
    <cellStyle name="Normalny_zaklady opieki zdrowotnej" xfId="21"/>
    <cellStyle name="Normalny_Zmiany w budżecie 2006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view="pageBreakPreview" zoomScaleSheetLayoutView="100" workbookViewId="0" topLeftCell="A15">
      <selection activeCell="A15" sqref="A1:IV16384"/>
    </sheetView>
  </sheetViews>
  <sheetFormatPr defaultColWidth="9.00390625" defaultRowHeight="12.75"/>
  <cols>
    <col min="1" max="1" width="14.375" style="27" customWidth="1"/>
    <col min="2" max="2" width="17.00390625" style="27" customWidth="1"/>
    <col min="3" max="3" width="13.75390625" style="24" customWidth="1"/>
    <col min="4" max="4" width="13.875" style="24" customWidth="1"/>
    <col min="5" max="5" width="14.25390625" style="24" customWidth="1"/>
    <col min="6" max="6" width="13.625" style="24" customWidth="1"/>
    <col min="7" max="7" width="17.25390625" style="24" customWidth="1"/>
    <col min="8" max="8" width="5.25390625" style="24" customWidth="1"/>
    <col min="9" max="9" width="13.875" style="24" customWidth="1"/>
    <col min="10" max="10" width="13.375" style="24" customWidth="1"/>
    <col min="11" max="16384" width="9.125" style="24" customWidth="1"/>
  </cols>
  <sheetData>
    <row r="1" spans="1:6" ht="26.25" customHeight="1">
      <c r="A1" s="24"/>
      <c r="B1" s="24"/>
      <c r="F1" s="25" t="s">
        <v>445</v>
      </c>
    </row>
    <row r="2" spans="1:6" ht="26.25" customHeight="1">
      <c r="A2" s="26"/>
      <c r="B2" s="26"/>
      <c r="C2" s="26"/>
      <c r="D2" s="26"/>
      <c r="E2" s="26"/>
      <c r="F2" s="26"/>
    </row>
    <row r="3" spans="1:6" ht="36" customHeight="1">
      <c r="A3" s="1359" t="s">
        <v>121</v>
      </c>
      <c r="B3" s="1359"/>
      <c r="C3" s="1359"/>
      <c r="D3" s="1359"/>
      <c r="E3" s="1359"/>
      <c r="F3" s="1359"/>
    </row>
    <row r="4" spans="6:8" ht="18" customHeight="1" thickBot="1">
      <c r="F4" s="28" t="s">
        <v>1035</v>
      </c>
      <c r="G4" s="1359"/>
      <c r="H4" s="1359"/>
    </row>
    <row r="5" spans="1:8" s="29" customFormat="1" ht="18" customHeight="1">
      <c r="A5" s="1362" t="s">
        <v>284</v>
      </c>
      <c r="B5" s="1352" t="s">
        <v>1018</v>
      </c>
      <c r="C5" s="1354" t="s">
        <v>141</v>
      </c>
      <c r="D5" s="1355"/>
      <c r="E5" s="1354" t="s">
        <v>142</v>
      </c>
      <c r="F5" s="1339"/>
      <c r="G5" s="1359"/>
      <c r="H5" s="1359"/>
    </row>
    <row r="6" spans="1:6" s="32" customFormat="1" ht="18" customHeight="1">
      <c r="A6" s="1363"/>
      <c r="B6" s="1353"/>
      <c r="C6" s="30" t="s">
        <v>285</v>
      </c>
      <c r="D6" s="30" t="s">
        <v>286</v>
      </c>
      <c r="E6" s="30" t="s">
        <v>285</v>
      </c>
      <c r="F6" s="31" t="s">
        <v>286</v>
      </c>
    </row>
    <row r="7" spans="1:6" s="37" customFormat="1" ht="13.5" customHeight="1">
      <c r="A7" s="33">
        <v>1</v>
      </c>
      <c r="B7" s="34">
        <v>2</v>
      </c>
      <c r="C7" s="35">
        <v>3</v>
      </c>
      <c r="D7" s="35">
        <v>4</v>
      </c>
      <c r="E7" s="35">
        <v>5</v>
      </c>
      <c r="F7" s="36">
        <v>6</v>
      </c>
    </row>
    <row r="8" spans="1:6" s="32" customFormat="1" ht="18" customHeight="1">
      <c r="A8" s="1335" t="s">
        <v>287</v>
      </c>
      <c r="B8" s="1336"/>
      <c r="C8" s="1360">
        <v>216963417</v>
      </c>
      <c r="D8" s="1334"/>
      <c r="E8" s="1360">
        <v>238163417</v>
      </c>
      <c r="F8" s="1361"/>
    </row>
    <row r="9" spans="1:10" s="22" customFormat="1" ht="18" customHeight="1">
      <c r="A9" s="1300" t="s">
        <v>199</v>
      </c>
      <c r="B9" s="49" t="s">
        <v>200</v>
      </c>
      <c r="C9" s="50">
        <v>0</v>
      </c>
      <c r="D9" s="50">
        <v>0</v>
      </c>
      <c r="E9" s="50">
        <v>-923305</v>
      </c>
      <c r="F9" s="51">
        <f>-E9</f>
        <v>923305</v>
      </c>
      <c r="I9" s="23"/>
      <c r="J9" s="23"/>
    </row>
    <row r="10" spans="1:10" ht="18" customHeight="1">
      <c r="A10" s="1300" t="s">
        <v>201</v>
      </c>
      <c r="B10" s="49" t="s">
        <v>202</v>
      </c>
      <c r="C10" s="50">
        <v>-993000</v>
      </c>
      <c r="D10" s="50">
        <v>4745670</v>
      </c>
      <c r="E10" s="50">
        <v>-1093000</v>
      </c>
      <c r="F10" s="51">
        <v>874120</v>
      </c>
      <c r="H10" s="22"/>
      <c r="I10" s="23"/>
      <c r="J10" s="23"/>
    </row>
    <row r="11" spans="1:10" s="22" customFormat="1" ht="18" customHeight="1">
      <c r="A11" s="1300" t="s">
        <v>203</v>
      </c>
      <c r="B11" s="49" t="s">
        <v>204</v>
      </c>
      <c r="C11" s="50">
        <v>0</v>
      </c>
      <c r="D11" s="50">
        <v>0</v>
      </c>
      <c r="E11" s="50">
        <v>-790890</v>
      </c>
      <c r="F11" s="51">
        <f>-E11</f>
        <v>790890</v>
      </c>
      <c r="I11" s="23"/>
      <c r="J11" s="23"/>
    </row>
    <row r="12" spans="1:10" s="22" customFormat="1" ht="18" customHeight="1">
      <c r="A12" s="1300" t="s">
        <v>205</v>
      </c>
      <c r="B12" s="49" t="s">
        <v>206</v>
      </c>
      <c r="C12" s="50">
        <v>0</v>
      </c>
      <c r="D12" s="50">
        <v>0</v>
      </c>
      <c r="E12" s="50">
        <v>-478870</v>
      </c>
      <c r="F12" s="51">
        <f>-E12</f>
        <v>478870</v>
      </c>
      <c r="I12" s="23"/>
      <c r="J12" s="23"/>
    </row>
    <row r="13" spans="1:10" s="22" customFormat="1" ht="18" customHeight="1">
      <c r="A13" s="1300" t="s">
        <v>207</v>
      </c>
      <c r="B13" s="49" t="s">
        <v>208</v>
      </c>
      <c r="C13" s="50">
        <v>0</v>
      </c>
      <c r="D13" s="50">
        <v>0</v>
      </c>
      <c r="E13" s="50">
        <v>-896437</v>
      </c>
      <c r="F13" s="51">
        <f>-E13</f>
        <v>896437</v>
      </c>
      <c r="I13" s="23"/>
      <c r="J13" s="23"/>
    </row>
    <row r="14" spans="1:10" ht="18" customHeight="1">
      <c r="A14" s="1300" t="s">
        <v>207</v>
      </c>
      <c r="B14" s="49" t="s">
        <v>209</v>
      </c>
      <c r="C14" s="50">
        <v>0</v>
      </c>
      <c r="D14" s="50">
        <v>33695</v>
      </c>
      <c r="E14" s="50">
        <v>0</v>
      </c>
      <c r="F14" s="51">
        <f>D14</f>
        <v>33695</v>
      </c>
      <c r="H14" s="22"/>
      <c r="I14" s="23"/>
      <c r="J14" s="23"/>
    </row>
    <row r="15" spans="1:10" s="22" customFormat="1" ht="18" customHeight="1">
      <c r="A15" s="1300" t="s">
        <v>210</v>
      </c>
      <c r="B15" s="49" t="s">
        <v>211</v>
      </c>
      <c r="C15" s="50">
        <v>0</v>
      </c>
      <c r="D15" s="50">
        <v>0</v>
      </c>
      <c r="E15" s="50">
        <v>-6373795</v>
      </c>
      <c r="F15" s="51">
        <f>-E15</f>
        <v>6373795</v>
      </c>
      <c r="I15" s="23"/>
      <c r="J15" s="23"/>
    </row>
    <row r="16" spans="1:10" ht="18" customHeight="1">
      <c r="A16" s="48" t="s">
        <v>212</v>
      </c>
      <c r="B16" s="49" t="s">
        <v>213</v>
      </c>
      <c r="C16" s="50">
        <v>-32831980</v>
      </c>
      <c r="D16" s="50">
        <v>8128131</v>
      </c>
      <c r="E16" s="50">
        <v>-33226202</v>
      </c>
      <c r="F16" s="51">
        <v>8522353</v>
      </c>
      <c r="H16" s="22"/>
      <c r="I16" s="23"/>
      <c r="J16" s="23"/>
    </row>
    <row r="17" spans="1:10" ht="18" customHeight="1">
      <c r="A17" s="48" t="s">
        <v>214</v>
      </c>
      <c r="B17" s="49" t="s">
        <v>215</v>
      </c>
      <c r="C17" s="50">
        <v>0</v>
      </c>
      <c r="D17" s="50">
        <v>114175</v>
      </c>
      <c r="E17" s="50">
        <v>0</v>
      </c>
      <c r="F17" s="51">
        <f>D17</f>
        <v>114175</v>
      </c>
      <c r="H17" s="22"/>
      <c r="I17" s="23"/>
      <c r="J17" s="23"/>
    </row>
    <row r="18" spans="1:10" s="22" customFormat="1" ht="18" customHeight="1">
      <c r="A18" s="48" t="s">
        <v>216</v>
      </c>
      <c r="B18" s="49" t="s">
        <v>217</v>
      </c>
      <c r="C18" s="50">
        <v>0</v>
      </c>
      <c r="D18" s="50">
        <v>0</v>
      </c>
      <c r="E18" s="50">
        <v>-175923</v>
      </c>
      <c r="F18" s="51">
        <f>-E18</f>
        <v>175923</v>
      </c>
      <c r="I18" s="23"/>
      <c r="J18" s="23"/>
    </row>
    <row r="19" spans="1:10" ht="18" customHeight="1">
      <c r="A19" s="48" t="s">
        <v>218</v>
      </c>
      <c r="B19" s="49" t="s">
        <v>219</v>
      </c>
      <c r="C19" s="50">
        <v>0</v>
      </c>
      <c r="D19" s="50">
        <v>190000</v>
      </c>
      <c r="E19" s="50">
        <v>0</v>
      </c>
      <c r="F19" s="51">
        <f>D19</f>
        <v>190000</v>
      </c>
      <c r="H19" s="22"/>
      <c r="I19" s="23"/>
      <c r="J19" s="23"/>
    </row>
    <row r="20" spans="1:10" s="22" customFormat="1" ht="18" customHeight="1">
      <c r="A20" s="48" t="s">
        <v>218</v>
      </c>
      <c r="B20" s="49" t="s">
        <v>220</v>
      </c>
      <c r="C20" s="50">
        <v>0</v>
      </c>
      <c r="D20" s="50">
        <v>0</v>
      </c>
      <c r="E20" s="50">
        <v>-899983</v>
      </c>
      <c r="F20" s="51">
        <f>-E20</f>
        <v>899983</v>
      </c>
      <c r="I20" s="23"/>
      <c r="J20" s="23"/>
    </row>
    <row r="21" spans="1:10" ht="18" customHeight="1">
      <c r="A21" s="48" t="s">
        <v>218</v>
      </c>
      <c r="B21" s="49" t="s">
        <v>221</v>
      </c>
      <c r="C21" s="50">
        <v>-64000</v>
      </c>
      <c r="D21" s="50">
        <v>256394</v>
      </c>
      <c r="E21" s="50">
        <f>C21</f>
        <v>-64000</v>
      </c>
      <c r="F21" s="51">
        <f>D21</f>
        <v>256394</v>
      </c>
      <c r="H21" s="22"/>
      <c r="I21" s="23"/>
      <c r="J21" s="23"/>
    </row>
    <row r="22" spans="1:10" ht="18" customHeight="1">
      <c r="A22" s="48" t="s">
        <v>222</v>
      </c>
      <c r="B22" s="49" t="s">
        <v>223</v>
      </c>
      <c r="C22" s="50">
        <v>0</v>
      </c>
      <c r="D22" s="50">
        <v>0</v>
      </c>
      <c r="E22" s="50">
        <v>-787884</v>
      </c>
      <c r="F22" s="51">
        <f>-E22</f>
        <v>787884</v>
      </c>
      <c r="G22" s="22"/>
      <c r="H22" s="22"/>
      <c r="I22" s="23"/>
      <c r="J22" s="23"/>
    </row>
    <row r="23" spans="1:10" ht="18" customHeight="1">
      <c r="A23" s="48" t="s">
        <v>222</v>
      </c>
      <c r="B23" s="49" t="s">
        <v>224</v>
      </c>
      <c r="C23" s="50">
        <v>0</v>
      </c>
      <c r="D23" s="50">
        <v>16017.75</v>
      </c>
      <c r="E23" s="50">
        <v>0</v>
      </c>
      <c r="F23" s="51">
        <f>D23</f>
        <v>16017.75</v>
      </c>
      <c r="H23" s="22"/>
      <c r="I23" s="23"/>
      <c r="J23" s="23"/>
    </row>
    <row r="24" spans="1:10" s="22" customFormat="1" ht="18" customHeight="1">
      <c r="A24" s="48" t="s">
        <v>225</v>
      </c>
      <c r="B24" s="49" t="s">
        <v>226</v>
      </c>
      <c r="C24" s="50">
        <v>0</v>
      </c>
      <c r="D24" s="50">
        <v>0</v>
      </c>
      <c r="E24" s="50">
        <v>-101472</v>
      </c>
      <c r="F24" s="51">
        <f>-E24</f>
        <v>101472</v>
      </c>
      <c r="I24" s="23"/>
      <c r="J24" s="23"/>
    </row>
    <row r="25" spans="1:10" s="52" customFormat="1" ht="18" customHeight="1">
      <c r="A25" s="48" t="s">
        <v>227</v>
      </c>
      <c r="B25" s="49" t="s">
        <v>228</v>
      </c>
      <c r="C25" s="50">
        <v>0</v>
      </c>
      <c r="D25" s="50">
        <v>226381</v>
      </c>
      <c r="E25" s="50">
        <v>0</v>
      </c>
      <c r="F25" s="51">
        <f>D25</f>
        <v>226381</v>
      </c>
      <c r="H25" s="22"/>
      <c r="I25" s="23"/>
      <c r="J25" s="23"/>
    </row>
    <row r="26" spans="1:10" s="22" customFormat="1" ht="18" customHeight="1">
      <c r="A26" s="48" t="s">
        <v>229</v>
      </c>
      <c r="B26" s="49" t="s">
        <v>230</v>
      </c>
      <c r="C26" s="50">
        <v>0</v>
      </c>
      <c r="D26" s="50">
        <v>0</v>
      </c>
      <c r="E26" s="50">
        <v>-58694</v>
      </c>
      <c r="F26" s="51">
        <f>-E26</f>
        <v>58694</v>
      </c>
      <c r="I26" s="23"/>
      <c r="J26" s="23"/>
    </row>
    <row r="27" spans="1:10" s="52" customFormat="1" ht="18" customHeight="1">
      <c r="A27" s="48" t="s">
        <v>229</v>
      </c>
      <c r="B27" s="49" t="s">
        <v>231</v>
      </c>
      <c r="C27" s="53">
        <v>0</v>
      </c>
      <c r="D27" s="50">
        <v>27296</v>
      </c>
      <c r="E27" s="53">
        <v>0</v>
      </c>
      <c r="F27" s="51">
        <f>D27</f>
        <v>27296</v>
      </c>
      <c r="H27" s="22"/>
      <c r="I27" s="23"/>
      <c r="J27" s="23"/>
    </row>
    <row r="28" spans="1:10" s="22" customFormat="1" ht="18" customHeight="1">
      <c r="A28" s="48" t="s">
        <v>232</v>
      </c>
      <c r="B28" s="49" t="s">
        <v>233</v>
      </c>
      <c r="C28" s="50">
        <v>0</v>
      </c>
      <c r="D28" s="50">
        <v>0</v>
      </c>
      <c r="E28" s="50">
        <v>-292244</v>
      </c>
      <c r="F28" s="51">
        <f>-E28</f>
        <v>292244</v>
      </c>
      <c r="I28" s="23"/>
      <c r="J28" s="23"/>
    </row>
    <row r="29" spans="1:10" s="52" customFormat="1" ht="18" customHeight="1">
      <c r="A29" s="48" t="s">
        <v>234</v>
      </c>
      <c r="B29" s="49" t="s">
        <v>239</v>
      </c>
      <c r="C29" s="50">
        <v>-14748464</v>
      </c>
      <c r="D29" s="50">
        <v>2918622</v>
      </c>
      <c r="E29" s="50">
        <v>-9773660</v>
      </c>
      <c r="F29" s="51">
        <v>3947829</v>
      </c>
      <c r="H29" s="22"/>
      <c r="I29" s="23"/>
      <c r="J29" s="23"/>
    </row>
    <row r="30" spans="1:10" s="52" customFormat="1" ht="18" customHeight="1">
      <c r="A30" s="48" t="s">
        <v>234</v>
      </c>
      <c r="B30" s="49" t="s">
        <v>235</v>
      </c>
      <c r="C30" s="50">
        <v>0</v>
      </c>
      <c r="D30" s="50">
        <v>0</v>
      </c>
      <c r="E30" s="50">
        <v>-81527</v>
      </c>
      <c r="F30" s="51">
        <f>-E30</f>
        <v>81527</v>
      </c>
      <c r="H30" s="22"/>
      <c r="I30" s="23"/>
      <c r="J30" s="23"/>
    </row>
    <row r="31" spans="1:10" s="52" customFormat="1" ht="18" customHeight="1">
      <c r="A31" s="48" t="s">
        <v>236</v>
      </c>
      <c r="B31" s="49" t="s">
        <v>237</v>
      </c>
      <c r="C31" s="50">
        <v>0</v>
      </c>
      <c r="D31" s="50">
        <v>93962</v>
      </c>
      <c r="E31" s="50">
        <v>0</v>
      </c>
      <c r="F31" s="51">
        <f>D31</f>
        <v>93962</v>
      </c>
      <c r="H31" s="22"/>
      <c r="I31" s="23"/>
      <c r="J31" s="23"/>
    </row>
    <row r="32" spans="1:10" s="52" customFormat="1" ht="18" customHeight="1">
      <c r="A32" s="48" t="s">
        <v>236</v>
      </c>
      <c r="B32" s="49" t="s">
        <v>238</v>
      </c>
      <c r="C32" s="50">
        <v>0</v>
      </c>
      <c r="D32" s="50">
        <v>0</v>
      </c>
      <c r="E32" s="50">
        <v>-3898616</v>
      </c>
      <c r="F32" s="51">
        <f>-E32</f>
        <v>3898616</v>
      </c>
      <c r="H32" s="22"/>
      <c r="I32" s="23"/>
      <c r="J32" s="23"/>
    </row>
    <row r="33" spans="1:6" s="32" customFormat="1" ht="18" customHeight="1">
      <c r="A33" s="1335" t="s">
        <v>1295</v>
      </c>
      <c r="B33" s="1336"/>
      <c r="C33" s="54">
        <f>SUM(C9,C10,C11,C12,C13,C14,C15,C16,C17,C18,C19,C20,C21,C22,C23,C24,C25,C26,C27,C28,C29,C30,C31,C32)</f>
        <v>-48637444</v>
      </c>
      <c r="D33" s="54">
        <f>SUM(D9,D10,D11,D12,D13,D14,D15,D16,D17,D18,D19,D20,D21,D22,D23,D24,D25,D26,D27,D28,D29,D30,D31,D32)</f>
        <v>16750343.75</v>
      </c>
      <c r="E33" s="54">
        <f>SUM(E9,E10,E11,E12,E13,E14,E15,E16,E17,E18,E19,E20,E21,E22,E23,E24,E25,E26,E27,E28,E29,E30,E31,E32)</f>
        <v>-59916502</v>
      </c>
      <c r="F33" s="1316">
        <f>SUM(F9,F10,F11,F12,F13,F14,F15,F16,F17,F18,F19,F20,F21,F22,F23,F24,F25,F26,F27,F28,F29,F30,F31,F32)</f>
        <v>30061862.75</v>
      </c>
    </row>
    <row r="34" spans="1:6" s="32" customFormat="1" ht="18" customHeight="1">
      <c r="A34" s="1335" t="s">
        <v>288</v>
      </c>
      <c r="B34" s="1336"/>
      <c r="C34" s="1360">
        <f>SUM(C33:D33)</f>
        <v>-31887100.25</v>
      </c>
      <c r="D34" s="1334"/>
      <c r="E34" s="1360">
        <f>SUM(E33:F33)</f>
        <v>-29854639.25</v>
      </c>
      <c r="F34" s="1361"/>
    </row>
    <row r="35" spans="1:6" s="32" customFormat="1" ht="18" customHeight="1" thickBot="1">
      <c r="A35" s="1337" t="s">
        <v>289</v>
      </c>
      <c r="B35" s="1338"/>
      <c r="C35" s="1356">
        <f>SUM(C8,C34)</f>
        <v>185076316.75</v>
      </c>
      <c r="D35" s="1357"/>
      <c r="E35" s="1356">
        <f>SUM(E8,E34)</f>
        <v>208308777.75</v>
      </c>
      <c r="F35" s="1358"/>
    </row>
    <row r="36" ht="44.25" customHeight="1"/>
  </sheetData>
  <sheetProtection password="CF93" sheet="1" objects="1" scenarios="1" selectLockedCells="1" selectUnlockedCells="1"/>
  <mergeCells count="17">
    <mergeCell ref="G4:G5"/>
    <mergeCell ref="H4:H5"/>
    <mergeCell ref="E5:F5"/>
    <mergeCell ref="C34:D34"/>
    <mergeCell ref="E34:F34"/>
    <mergeCell ref="C35:D35"/>
    <mergeCell ref="E35:F35"/>
    <mergeCell ref="C8:D8"/>
    <mergeCell ref="A8:B8"/>
    <mergeCell ref="A35:B35"/>
    <mergeCell ref="A33:B33"/>
    <mergeCell ref="A34:B34"/>
    <mergeCell ref="A3:F3"/>
    <mergeCell ref="E8:F8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105"/>
  <sheetViews>
    <sheetView view="pageBreakPreview" zoomScaleSheetLayoutView="100" workbookViewId="0" topLeftCell="A1">
      <selection activeCell="G1" sqref="G1:I16384"/>
    </sheetView>
  </sheetViews>
  <sheetFormatPr defaultColWidth="9.00390625" defaultRowHeight="12.75"/>
  <cols>
    <col min="1" max="1" width="3.375" style="55" customWidth="1"/>
    <col min="2" max="2" width="7.375" style="55" customWidth="1"/>
    <col min="3" max="3" width="42.625" style="56" customWidth="1"/>
    <col min="4" max="4" width="12.25390625" style="56" customWidth="1"/>
    <col min="5" max="5" width="12.625" style="56" customWidth="1"/>
    <col min="6" max="6" width="6.125" style="56" customWidth="1"/>
    <col min="7" max="7" width="6.125" style="567" customWidth="1"/>
    <col min="8" max="8" width="16.625" style="568" customWidth="1"/>
    <col min="9" max="9" width="14.125" style="56" customWidth="1"/>
    <col min="10" max="16384" width="9.125" style="56" customWidth="1"/>
  </cols>
  <sheetData>
    <row r="1" spans="5:6" ht="13.5">
      <c r="E1" s="1413" t="s">
        <v>450</v>
      </c>
      <c r="F1" s="1413"/>
    </row>
    <row r="2" spans="5:6" ht="13.5">
      <c r="E2" s="58"/>
      <c r="F2" s="58"/>
    </row>
    <row r="3" spans="1:6" ht="13.5">
      <c r="A3" s="1374" t="s">
        <v>830</v>
      </c>
      <c r="B3" s="1374"/>
      <c r="C3" s="1374"/>
      <c r="D3" s="1374"/>
      <c r="E3" s="1374"/>
      <c r="F3" s="1374"/>
    </row>
    <row r="4" spans="1:6" ht="11.25" customHeight="1">
      <c r="A4" s="20"/>
      <c r="B4" s="20"/>
      <c r="C4" s="20"/>
      <c r="D4" s="20"/>
      <c r="E4" s="20"/>
      <c r="F4" s="20"/>
    </row>
    <row r="5" spans="1:6" ht="28.5" customHeight="1" thickBot="1">
      <c r="A5" s="1420" t="s">
        <v>102</v>
      </c>
      <c r="B5" s="1421"/>
      <c r="C5" s="1421"/>
      <c r="D5" s="1421"/>
      <c r="E5" s="1421"/>
      <c r="F5" s="569" t="s">
        <v>1035</v>
      </c>
    </row>
    <row r="6" spans="1:8" s="576" customFormat="1" ht="17.25" customHeight="1">
      <c r="A6" s="570" t="s">
        <v>1299</v>
      </c>
      <c r="B6" s="571" t="s">
        <v>1036</v>
      </c>
      <c r="C6" s="572" t="s">
        <v>1216</v>
      </c>
      <c r="D6" s="61" t="s">
        <v>1038</v>
      </c>
      <c r="E6" s="573" t="s">
        <v>1039</v>
      </c>
      <c r="F6" s="62" t="s">
        <v>306</v>
      </c>
      <c r="G6" s="574"/>
      <c r="H6" s="575"/>
    </row>
    <row r="7" spans="1:8" s="583" customFormat="1" ht="11.25" customHeight="1">
      <c r="A7" s="577">
        <v>1</v>
      </c>
      <c r="B7" s="578">
        <v>2</v>
      </c>
      <c r="C7" s="578">
        <v>3</v>
      </c>
      <c r="D7" s="578">
        <v>4</v>
      </c>
      <c r="E7" s="579">
        <v>5</v>
      </c>
      <c r="F7" s="580">
        <v>6</v>
      </c>
      <c r="G7" s="581"/>
      <c r="H7" s="582"/>
    </row>
    <row r="8" spans="1:6" ht="18" customHeight="1">
      <c r="A8" s="1403" t="s">
        <v>774</v>
      </c>
      <c r="B8" s="1404"/>
      <c r="C8" s="1405"/>
      <c r="D8" s="584">
        <f>SUM(D9,D10)</f>
        <v>1561045</v>
      </c>
      <c r="E8" s="584">
        <f>SUM(E9,E10)</f>
        <v>1095000</v>
      </c>
      <c r="F8" s="585">
        <f>E8/D8*100</f>
        <v>70.14531932135203</v>
      </c>
    </row>
    <row r="9" spans="1:6" ht="40.5" customHeight="1">
      <c r="A9" s="80" t="s">
        <v>1302</v>
      </c>
      <c r="B9" s="77">
        <v>70001</v>
      </c>
      <c r="C9" s="76" t="s">
        <v>784</v>
      </c>
      <c r="D9" s="586">
        <f>SUM(9W!D67)</f>
        <v>731045</v>
      </c>
      <c r="E9" s="586">
        <f>SUM(9W!E67)</f>
        <v>515000</v>
      </c>
      <c r="F9" s="587">
        <f>E9/D9*100</f>
        <v>70.44709969974488</v>
      </c>
    </row>
    <row r="10" spans="1:6" ht="67.5" customHeight="1" thickBot="1">
      <c r="A10" s="588" t="s">
        <v>1303</v>
      </c>
      <c r="B10" s="589">
        <v>92605</v>
      </c>
      <c r="C10" s="590" t="s">
        <v>829</v>
      </c>
      <c r="D10" s="591">
        <v>830000</v>
      </c>
      <c r="E10" s="591">
        <v>580000</v>
      </c>
      <c r="F10" s="592">
        <f>E10/D10*100</f>
        <v>69.87951807228916</v>
      </c>
    </row>
    <row r="11" spans="1:6" ht="17.25" customHeight="1" thickBot="1" thickTop="1">
      <c r="A11" s="1406" t="s">
        <v>778</v>
      </c>
      <c r="B11" s="1407"/>
      <c r="C11" s="1408"/>
      <c r="D11" s="593">
        <f>SUM(D8)</f>
        <v>1561045</v>
      </c>
      <c r="E11" s="593">
        <f>SUM(E8)</f>
        <v>1095000</v>
      </c>
      <c r="F11" s="594">
        <f>E11/D11*100</f>
        <v>70.14531932135203</v>
      </c>
    </row>
    <row r="12" ht="30.75" customHeight="1">
      <c r="F12" s="595"/>
    </row>
    <row r="13" spans="1:8" s="567" customFormat="1" ht="43.5" customHeight="1" thickBot="1">
      <c r="A13" s="1402" t="s">
        <v>1266</v>
      </c>
      <c r="B13" s="1402"/>
      <c r="C13" s="1402"/>
      <c r="D13" s="1402"/>
      <c r="E13" s="1402"/>
      <c r="F13" s="1402"/>
      <c r="H13" s="568"/>
    </row>
    <row r="14" spans="1:8" s="576" customFormat="1" ht="19.5" customHeight="1">
      <c r="A14" s="59" t="s">
        <v>1299</v>
      </c>
      <c r="B14" s="60" t="s">
        <v>1036</v>
      </c>
      <c r="C14" s="572" t="s">
        <v>1216</v>
      </c>
      <c r="D14" s="61" t="s">
        <v>1038</v>
      </c>
      <c r="E14" s="573" t="s">
        <v>1039</v>
      </c>
      <c r="F14" s="62" t="s">
        <v>306</v>
      </c>
      <c r="G14" s="574"/>
      <c r="H14" s="575"/>
    </row>
    <row r="15" spans="1:8" s="612" customFormat="1" ht="10.5" customHeight="1">
      <c r="A15" s="577">
        <v>1</v>
      </c>
      <c r="B15" s="578">
        <v>2</v>
      </c>
      <c r="C15" s="578">
        <v>3</v>
      </c>
      <c r="D15" s="578">
        <v>4</v>
      </c>
      <c r="E15" s="579">
        <v>5</v>
      </c>
      <c r="F15" s="580">
        <v>6</v>
      </c>
      <c r="G15" s="66"/>
      <c r="H15" s="611"/>
    </row>
    <row r="16" spans="1:6" ht="18.75" customHeight="1">
      <c r="A16" s="1403" t="s">
        <v>774</v>
      </c>
      <c r="B16" s="1404"/>
      <c r="C16" s="1405"/>
      <c r="D16" s="584">
        <f>SUM(D17,D18,D19,D20,D21,D22,D23,D24,D25,D26,D27,D28,D29,D30)</f>
        <v>9032537</v>
      </c>
      <c r="E16" s="584">
        <f>SUM(E17,E18,E19,E20,E21,E22,E23,E24,E25,E26,E27,E28,E29,E30)</f>
        <v>5165291.6899999995</v>
      </c>
      <c r="F16" s="585">
        <f>E16/D16*100</f>
        <v>57.185391988983824</v>
      </c>
    </row>
    <row r="17" spans="1:9" ht="30" customHeight="1">
      <c r="A17" s="80" t="s">
        <v>1302</v>
      </c>
      <c r="B17" s="77">
        <v>80101</v>
      </c>
      <c r="C17" s="76" t="s">
        <v>903</v>
      </c>
      <c r="D17" s="597">
        <v>289424</v>
      </c>
      <c r="E17" s="606">
        <v>133866.37</v>
      </c>
      <c r="F17" s="587">
        <f aca="true" t="shared" si="0" ref="F17:F46">E17/D17*100</f>
        <v>46.25268464260047</v>
      </c>
      <c r="G17" s="568"/>
      <c r="I17" s="1422"/>
    </row>
    <row r="18" spans="1:9" ht="24" customHeight="1">
      <c r="A18" s="80" t="s">
        <v>1303</v>
      </c>
      <c r="B18" s="77">
        <v>80101</v>
      </c>
      <c r="C18" s="596" t="s">
        <v>407</v>
      </c>
      <c r="D18" s="597">
        <v>16961</v>
      </c>
      <c r="E18" s="606">
        <v>5920.38</v>
      </c>
      <c r="F18" s="587">
        <f t="shared" si="0"/>
        <v>34.90584281587171</v>
      </c>
      <c r="G18" s="568"/>
      <c r="I18" s="1422"/>
    </row>
    <row r="19" spans="1:9" ht="30.75" customHeight="1">
      <c r="A19" s="80" t="s">
        <v>75</v>
      </c>
      <c r="B19" s="77">
        <v>80103</v>
      </c>
      <c r="C19" s="76" t="s">
        <v>425</v>
      </c>
      <c r="D19" s="597">
        <f>9W!D182</f>
        <v>73338</v>
      </c>
      <c r="E19" s="597">
        <f>9W!E182</f>
        <v>19070.64</v>
      </c>
      <c r="F19" s="587">
        <f t="shared" si="0"/>
        <v>26.003763396874746</v>
      </c>
      <c r="G19" s="568"/>
      <c r="H19" s="598"/>
      <c r="I19" s="55"/>
    </row>
    <row r="20" spans="1:7" ht="24" customHeight="1">
      <c r="A20" s="80" t="s">
        <v>83</v>
      </c>
      <c r="B20" s="77">
        <v>80104</v>
      </c>
      <c r="C20" s="596" t="s">
        <v>974</v>
      </c>
      <c r="D20" s="597">
        <v>5149597</v>
      </c>
      <c r="E20" s="597">
        <v>3029400</v>
      </c>
      <c r="F20" s="587">
        <f t="shared" si="0"/>
        <v>58.82790439717904</v>
      </c>
      <c r="G20" s="599"/>
    </row>
    <row r="21" spans="1:7" ht="24" customHeight="1">
      <c r="A21" s="80" t="s">
        <v>84</v>
      </c>
      <c r="B21" s="77">
        <v>80104</v>
      </c>
      <c r="C21" s="596" t="s">
        <v>1149</v>
      </c>
      <c r="D21" s="597">
        <v>90756</v>
      </c>
      <c r="E21" s="606">
        <v>36069</v>
      </c>
      <c r="F21" s="587">
        <f t="shared" si="0"/>
        <v>39.74282692053418</v>
      </c>
      <c r="G21" s="599"/>
    </row>
    <row r="22" spans="1:6" ht="30" customHeight="1">
      <c r="A22" s="80" t="s">
        <v>85</v>
      </c>
      <c r="B22" s="77">
        <v>80110</v>
      </c>
      <c r="C22" s="76" t="s">
        <v>786</v>
      </c>
      <c r="D22" s="597">
        <v>189616</v>
      </c>
      <c r="E22" s="606">
        <v>81752.34</v>
      </c>
      <c r="F22" s="587">
        <f t="shared" si="0"/>
        <v>43.11468441481731</v>
      </c>
    </row>
    <row r="23" spans="1:6" ht="24.75" customHeight="1">
      <c r="A23" s="80" t="s">
        <v>133</v>
      </c>
      <c r="B23" s="77">
        <v>80110</v>
      </c>
      <c r="C23" s="596" t="s">
        <v>787</v>
      </c>
      <c r="D23" s="586">
        <v>101994</v>
      </c>
      <c r="E23" s="600">
        <v>34890.12</v>
      </c>
      <c r="F23" s="587">
        <f t="shared" si="0"/>
        <v>34.208012236013886</v>
      </c>
    </row>
    <row r="24" spans="1:6" ht="24.75" customHeight="1">
      <c r="A24" s="80" t="s">
        <v>134</v>
      </c>
      <c r="B24" s="77">
        <v>80110</v>
      </c>
      <c r="C24" s="596" t="s">
        <v>408</v>
      </c>
      <c r="D24" s="586">
        <v>18962</v>
      </c>
      <c r="E24" s="600">
        <v>7867.38</v>
      </c>
      <c r="F24" s="587">
        <f t="shared" si="0"/>
        <v>41.49024364518511</v>
      </c>
    </row>
    <row r="25" spans="1:6" ht="24.75" customHeight="1">
      <c r="A25" s="80" t="s">
        <v>86</v>
      </c>
      <c r="B25" s="77">
        <v>80110</v>
      </c>
      <c r="C25" s="596" t="s">
        <v>788</v>
      </c>
      <c r="D25" s="586">
        <v>217784</v>
      </c>
      <c r="E25" s="600">
        <v>115575.46</v>
      </c>
      <c r="F25" s="587">
        <f t="shared" si="0"/>
        <v>53.06884803291335</v>
      </c>
    </row>
    <row r="26" spans="1:6" ht="24.75" customHeight="1">
      <c r="A26" s="80" t="s">
        <v>88</v>
      </c>
      <c r="B26" s="601">
        <v>85153</v>
      </c>
      <c r="C26" s="605" t="s">
        <v>1151</v>
      </c>
      <c r="D26" s="603">
        <v>1440</v>
      </c>
      <c r="E26" s="604">
        <v>280</v>
      </c>
      <c r="F26" s="587">
        <f t="shared" si="0"/>
        <v>19.444444444444446</v>
      </c>
    </row>
    <row r="27" spans="1:6" ht="24.75" customHeight="1">
      <c r="A27" s="80" t="s">
        <v>135</v>
      </c>
      <c r="B27" s="601">
        <v>85154</v>
      </c>
      <c r="C27" s="605" t="s">
        <v>1151</v>
      </c>
      <c r="D27" s="603">
        <v>5200</v>
      </c>
      <c r="E27" s="603">
        <v>2600</v>
      </c>
      <c r="F27" s="587">
        <f>E27/D27*100</f>
        <v>50</v>
      </c>
    </row>
    <row r="28" spans="1:6" ht="24" customHeight="1">
      <c r="A28" s="80" t="s">
        <v>89</v>
      </c>
      <c r="B28" s="77">
        <v>92109</v>
      </c>
      <c r="C28" s="596" t="s">
        <v>1217</v>
      </c>
      <c r="D28" s="586">
        <f>9W!D375</f>
        <v>1329000</v>
      </c>
      <c r="E28" s="586">
        <f>9W!E375</f>
        <v>668000</v>
      </c>
      <c r="F28" s="587">
        <f t="shared" si="0"/>
        <v>50.26335590669676</v>
      </c>
    </row>
    <row r="29" spans="1:6" ht="24.75" customHeight="1">
      <c r="A29" s="80" t="s">
        <v>90</v>
      </c>
      <c r="B29" s="77">
        <v>92116</v>
      </c>
      <c r="C29" s="596" t="s">
        <v>975</v>
      </c>
      <c r="D29" s="586">
        <f>SUM(9W!D382)</f>
        <v>1156000</v>
      </c>
      <c r="E29" s="586">
        <f>SUM(9W!E382)</f>
        <v>830000</v>
      </c>
      <c r="F29" s="587">
        <f t="shared" si="0"/>
        <v>71.79930795847751</v>
      </c>
    </row>
    <row r="30" spans="1:6" ht="24.75" customHeight="1">
      <c r="A30" s="80" t="s">
        <v>136</v>
      </c>
      <c r="B30" s="77">
        <v>92118</v>
      </c>
      <c r="C30" s="596" t="s">
        <v>976</v>
      </c>
      <c r="D30" s="586">
        <f>SUM(9W!D389)</f>
        <v>392465</v>
      </c>
      <c r="E30" s="586">
        <f>SUM(9W!E389)</f>
        <v>200000</v>
      </c>
      <c r="F30" s="587">
        <f t="shared" si="0"/>
        <v>50.959958212834266</v>
      </c>
    </row>
    <row r="31" spans="1:6" ht="18" customHeight="1">
      <c r="A31" s="1414" t="s">
        <v>776</v>
      </c>
      <c r="B31" s="1415"/>
      <c r="C31" s="1416"/>
      <c r="D31" s="632">
        <f>SUM(D32,D33,D34,D35,D36,D37,D38,D39,D40,D41,D42,D43,D44,D45)</f>
        <v>3223170</v>
      </c>
      <c r="E31" s="632">
        <f>SUM(E32,E33,E34,E35,E36,E37,E38,E39,E40,E41,E42,E43,E44,E45)</f>
        <v>1345082.68</v>
      </c>
      <c r="F31" s="633">
        <f t="shared" si="0"/>
        <v>41.731670374196824</v>
      </c>
    </row>
    <row r="32" spans="1:9" ht="30" customHeight="1">
      <c r="A32" s="80" t="s">
        <v>1302</v>
      </c>
      <c r="B32" s="77">
        <v>80120</v>
      </c>
      <c r="C32" s="76" t="s">
        <v>922</v>
      </c>
      <c r="D32" s="597">
        <v>224280</v>
      </c>
      <c r="E32" s="606">
        <v>84454.96</v>
      </c>
      <c r="F32" s="587">
        <f t="shared" si="0"/>
        <v>37.656037096486536</v>
      </c>
      <c r="I32" s="75"/>
    </row>
    <row r="33" spans="1:6" ht="28.5" customHeight="1">
      <c r="A33" s="80" t="s">
        <v>1303</v>
      </c>
      <c r="B33" s="77">
        <v>80120</v>
      </c>
      <c r="C33" s="596" t="s">
        <v>923</v>
      </c>
      <c r="D33" s="586">
        <v>307604</v>
      </c>
      <c r="E33" s="600">
        <v>157100.54</v>
      </c>
      <c r="F33" s="587">
        <f t="shared" si="0"/>
        <v>51.07233325964552</v>
      </c>
    </row>
    <row r="34" spans="1:6" ht="30" customHeight="1">
      <c r="A34" s="70" t="s">
        <v>75</v>
      </c>
      <c r="B34" s="601">
        <v>80120</v>
      </c>
      <c r="C34" s="605" t="s">
        <v>409</v>
      </c>
      <c r="D34" s="603">
        <v>141156</v>
      </c>
      <c r="E34" s="604">
        <v>74792.74</v>
      </c>
      <c r="F34" s="607">
        <f t="shared" si="0"/>
        <v>52.98587378503217</v>
      </c>
    </row>
    <row r="35" spans="1:6" ht="30" customHeight="1">
      <c r="A35" s="70" t="s">
        <v>83</v>
      </c>
      <c r="B35" s="601">
        <v>80120</v>
      </c>
      <c r="C35" s="605" t="s">
        <v>519</v>
      </c>
      <c r="D35" s="603">
        <v>132714</v>
      </c>
      <c r="E35" s="604">
        <v>40093.99</v>
      </c>
      <c r="F35" s="607">
        <f t="shared" si="0"/>
        <v>30.210821767108214</v>
      </c>
    </row>
    <row r="36" spans="1:6" ht="42.75" customHeight="1">
      <c r="A36" s="80" t="s">
        <v>84</v>
      </c>
      <c r="B36" s="77">
        <v>80120</v>
      </c>
      <c r="C36" s="76" t="s">
        <v>1150</v>
      </c>
      <c r="D36" s="586">
        <v>192340</v>
      </c>
      <c r="E36" s="600">
        <v>98769.36</v>
      </c>
      <c r="F36" s="587">
        <f t="shared" si="0"/>
        <v>51.35144015805345</v>
      </c>
    </row>
    <row r="37" spans="1:6" ht="30" customHeight="1">
      <c r="A37" s="80" t="s">
        <v>85</v>
      </c>
      <c r="B37" s="77">
        <v>80120</v>
      </c>
      <c r="C37" s="76" t="s">
        <v>410</v>
      </c>
      <c r="D37" s="586">
        <v>71530</v>
      </c>
      <c r="E37" s="600">
        <v>23584.7</v>
      </c>
      <c r="F37" s="587">
        <f t="shared" si="0"/>
        <v>32.971760100657065</v>
      </c>
    </row>
    <row r="38" spans="1:6" ht="30" customHeight="1">
      <c r="A38" s="80" t="s">
        <v>133</v>
      </c>
      <c r="B38" s="77">
        <v>80120</v>
      </c>
      <c r="C38" s="76" t="s">
        <v>411</v>
      </c>
      <c r="D38" s="586">
        <v>69381</v>
      </c>
      <c r="E38" s="600">
        <v>19705.14</v>
      </c>
      <c r="F38" s="587">
        <f t="shared" si="0"/>
        <v>28.401349072512648</v>
      </c>
    </row>
    <row r="39" spans="1:6" ht="30" customHeight="1">
      <c r="A39" s="80" t="s">
        <v>134</v>
      </c>
      <c r="B39" s="77">
        <v>80130</v>
      </c>
      <c r="C39" s="76" t="s">
        <v>520</v>
      </c>
      <c r="D39" s="586">
        <v>56034</v>
      </c>
      <c r="E39" s="600">
        <v>9418.24</v>
      </c>
      <c r="F39" s="587">
        <f>E39/D39*100</f>
        <v>16.80808080808081</v>
      </c>
    </row>
    <row r="40" spans="1:10" s="748" customFormat="1" ht="30" customHeight="1">
      <c r="A40" s="80" t="s">
        <v>86</v>
      </c>
      <c r="B40" s="77">
        <v>80130</v>
      </c>
      <c r="C40" s="76" t="s">
        <v>822</v>
      </c>
      <c r="D40" s="597">
        <v>616471</v>
      </c>
      <c r="E40" s="606">
        <v>283305.96</v>
      </c>
      <c r="F40" s="587">
        <f t="shared" si="0"/>
        <v>45.95608876978804</v>
      </c>
      <c r="G40" s="567"/>
      <c r="H40" s="568"/>
      <c r="I40" s="75"/>
      <c r="J40" s="56"/>
    </row>
    <row r="41" spans="1:6" ht="30" customHeight="1">
      <c r="A41" s="80" t="s">
        <v>88</v>
      </c>
      <c r="B41" s="77">
        <v>80130</v>
      </c>
      <c r="C41" s="76" t="s">
        <v>828</v>
      </c>
      <c r="D41" s="586">
        <v>332697</v>
      </c>
      <c r="E41" s="600">
        <v>163605.05</v>
      </c>
      <c r="F41" s="587">
        <f t="shared" si="0"/>
        <v>49.175390821077436</v>
      </c>
    </row>
    <row r="42" spans="1:8" ht="30" customHeight="1">
      <c r="A42" s="70" t="s">
        <v>135</v>
      </c>
      <c r="B42" s="601">
        <v>85111</v>
      </c>
      <c r="C42" s="605" t="s">
        <v>1269</v>
      </c>
      <c r="D42" s="603">
        <f>SUM(9W!D552)</f>
        <v>162400</v>
      </c>
      <c r="E42" s="603">
        <f>SUM(9W!E552)</f>
        <v>26770</v>
      </c>
      <c r="F42" s="607">
        <f t="shared" si="0"/>
        <v>16.48399014778325</v>
      </c>
      <c r="H42" s="56"/>
    </row>
    <row r="43" spans="1:6" ht="30" customHeight="1">
      <c r="A43" s="80" t="s">
        <v>89</v>
      </c>
      <c r="B43" s="77">
        <v>85117</v>
      </c>
      <c r="C43" s="76" t="s">
        <v>805</v>
      </c>
      <c r="D43" s="586">
        <f>SUM(9W!D561)</f>
        <v>67140</v>
      </c>
      <c r="E43" s="586">
        <f>SUM(9W!E561)</f>
        <v>35000</v>
      </c>
      <c r="F43" s="587">
        <f t="shared" si="0"/>
        <v>52.12987786714328</v>
      </c>
    </row>
    <row r="44" spans="1:6" ht="30" customHeight="1">
      <c r="A44" s="80" t="s">
        <v>90</v>
      </c>
      <c r="B44" s="608">
        <v>85311</v>
      </c>
      <c r="C44" s="609" t="s">
        <v>106</v>
      </c>
      <c r="D44" s="610">
        <f>SUM(9W!D600)</f>
        <v>50302</v>
      </c>
      <c r="E44" s="610">
        <f>SUM(9W!E600)</f>
        <v>13700</v>
      </c>
      <c r="F44" s="607">
        <f>E44/D44*100</f>
        <v>27.235497594529047</v>
      </c>
    </row>
    <row r="45" spans="1:6" ht="39.75" customHeight="1" thickBot="1">
      <c r="A45" s="588" t="s">
        <v>136</v>
      </c>
      <c r="B45" s="589">
        <v>85419</v>
      </c>
      <c r="C45" s="590" t="s">
        <v>558</v>
      </c>
      <c r="D45" s="591">
        <f>SUM(9W!D667)</f>
        <v>799121</v>
      </c>
      <c r="E45" s="591">
        <f>SUM(9W!E667)</f>
        <v>314782</v>
      </c>
      <c r="F45" s="592">
        <f t="shared" si="0"/>
        <v>39.391030895196096</v>
      </c>
    </row>
    <row r="46" spans="1:6" ht="18.75" customHeight="1" thickBot="1" thickTop="1">
      <c r="A46" s="1406" t="s">
        <v>777</v>
      </c>
      <c r="B46" s="1407"/>
      <c r="C46" s="1408"/>
      <c r="D46" s="593">
        <f>SUM(D16,D31)</f>
        <v>12255707</v>
      </c>
      <c r="E46" s="593">
        <f>SUM(E16,E31)</f>
        <v>6510374.369999999</v>
      </c>
      <c r="F46" s="594">
        <f t="shared" si="0"/>
        <v>53.121165266108264</v>
      </c>
    </row>
    <row r="47" ht="35.25" customHeight="1"/>
    <row r="48" spans="1:6" ht="39" customHeight="1" thickBot="1">
      <c r="A48" s="1402" t="s">
        <v>110</v>
      </c>
      <c r="B48" s="1402"/>
      <c r="C48" s="1402"/>
      <c r="D48" s="1402"/>
      <c r="E48" s="1402"/>
      <c r="F48" s="1402"/>
    </row>
    <row r="49" spans="1:8" s="576" customFormat="1" ht="20.25" customHeight="1">
      <c r="A49" s="59" t="s">
        <v>1299</v>
      </c>
      <c r="B49" s="60" t="s">
        <v>1036</v>
      </c>
      <c r="C49" s="572" t="s">
        <v>1216</v>
      </c>
      <c r="D49" s="61" t="s">
        <v>1038</v>
      </c>
      <c r="E49" s="573" t="s">
        <v>1039</v>
      </c>
      <c r="F49" s="62" t="s">
        <v>306</v>
      </c>
      <c r="G49" s="574"/>
      <c r="H49" s="575"/>
    </row>
    <row r="50" spans="1:8" s="612" customFormat="1" ht="9.75" customHeight="1">
      <c r="A50" s="577">
        <v>1</v>
      </c>
      <c r="B50" s="578">
        <v>2</v>
      </c>
      <c r="C50" s="578">
        <v>3</v>
      </c>
      <c r="D50" s="578">
        <v>4</v>
      </c>
      <c r="E50" s="579">
        <v>5</v>
      </c>
      <c r="F50" s="580">
        <v>6</v>
      </c>
      <c r="G50" s="66"/>
      <c r="H50" s="611"/>
    </row>
    <row r="51" spans="1:6" ht="15.75" customHeight="1">
      <c r="A51" s="1403" t="s">
        <v>774</v>
      </c>
      <c r="B51" s="1404"/>
      <c r="C51" s="1405"/>
      <c r="D51" s="584">
        <f>SUM(D52,D53,D54,D55,D56,D57,D58,D59,D60,D61,D62,D63,D64,D65)</f>
        <v>1691514</v>
      </c>
      <c r="E51" s="584">
        <f>SUM(E52,E53,E54,E55,E56,E57,E58,E59,E60,E61,E62,E63,E64,E65)</f>
        <v>648965.02</v>
      </c>
      <c r="F51" s="585">
        <f>E51/D51*100</f>
        <v>38.365926619584585</v>
      </c>
    </row>
    <row r="52" spans="1:6" ht="24" customHeight="1">
      <c r="A52" s="80" t="s">
        <v>1302</v>
      </c>
      <c r="B52" s="77">
        <v>75095</v>
      </c>
      <c r="C52" s="596" t="s">
        <v>177</v>
      </c>
      <c r="D52" s="586">
        <f>SUM(9W!D116)</f>
        <v>6436</v>
      </c>
      <c r="E52" s="586">
        <f>SUM(9W!E116)</f>
        <v>3236</v>
      </c>
      <c r="F52" s="587">
        <f aca="true" t="shared" si="1" ref="F52:F70">E52/D52*100</f>
        <v>50.27967681789932</v>
      </c>
    </row>
    <row r="53" spans="1:6" ht="24" customHeight="1">
      <c r="A53" s="80" t="s">
        <v>1303</v>
      </c>
      <c r="B53" s="77">
        <v>80113</v>
      </c>
      <c r="C53" s="596" t="s">
        <v>1289</v>
      </c>
      <c r="D53" s="586">
        <f>SUM(9W!D201)</f>
        <v>11000</v>
      </c>
      <c r="E53" s="586">
        <f>SUM(9W!E201)</f>
        <v>6600</v>
      </c>
      <c r="F53" s="587">
        <f t="shared" si="1"/>
        <v>60</v>
      </c>
    </row>
    <row r="54" spans="1:6" ht="24" customHeight="1">
      <c r="A54" s="80" t="s">
        <v>75</v>
      </c>
      <c r="B54" s="77">
        <v>80195</v>
      </c>
      <c r="C54" s="596" t="s">
        <v>1218</v>
      </c>
      <c r="D54" s="586">
        <f>SUM(9W!D217)</f>
        <v>14000</v>
      </c>
      <c r="E54" s="586">
        <f>SUM(9W!E217)</f>
        <v>10000</v>
      </c>
      <c r="F54" s="587">
        <f t="shared" si="1"/>
        <v>71.42857142857143</v>
      </c>
    </row>
    <row r="55" spans="1:6" ht="24" customHeight="1">
      <c r="A55" s="80" t="s">
        <v>83</v>
      </c>
      <c r="B55" s="77">
        <v>85149</v>
      </c>
      <c r="C55" s="596" t="s">
        <v>512</v>
      </c>
      <c r="D55" s="586">
        <v>9200</v>
      </c>
      <c r="E55" s="586">
        <v>4000</v>
      </c>
      <c r="F55" s="587">
        <f t="shared" si="1"/>
        <v>43.47826086956522</v>
      </c>
    </row>
    <row r="56" spans="1:6" ht="42" customHeight="1">
      <c r="A56" s="80" t="s">
        <v>84</v>
      </c>
      <c r="B56" s="77">
        <v>85152</v>
      </c>
      <c r="C56" s="76" t="s">
        <v>803</v>
      </c>
      <c r="D56" s="586">
        <f>SUM(9W!D233)</f>
        <v>8000</v>
      </c>
      <c r="E56" s="586">
        <f>SUM(9W!E233)</f>
        <v>8000</v>
      </c>
      <c r="F56" s="587">
        <f t="shared" si="1"/>
        <v>100</v>
      </c>
    </row>
    <row r="57" spans="1:6" ht="30" customHeight="1">
      <c r="A57" s="80" t="s">
        <v>85</v>
      </c>
      <c r="B57" s="601">
        <v>85153</v>
      </c>
      <c r="C57" s="605" t="s">
        <v>802</v>
      </c>
      <c r="D57" s="603">
        <v>5200</v>
      </c>
      <c r="E57" s="603">
        <v>0</v>
      </c>
      <c r="F57" s="607">
        <f t="shared" si="1"/>
        <v>0</v>
      </c>
    </row>
    <row r="58" spans="1:6" ht="24.75" customHeight="1">
      <c r="A58" s="80" t="s">
        <v>133</v>
      </c>
      <c r="B58" s="77">
        <v>85154</v>
      </c>
      <c r="C58" s="596" t="s">
        <v>790</v>
      </c>
      <c r="D58" s="586">
        <v>133528</v>
      </c>
      <c r="E58" s="586">
        <v>97460</v>
      </c>
      <c r="F58" s="587">
        <f t="shared" si="1"/>
        <v>72.98843688215206</v>
      </c>
    </row>
    <row r="59" spans="1:6" ht="24" customHeight="1">
      <c r="A59" s="80" t="s">
        <v>134</v>
      </c>
      <c r="B59" s="601">
        <v>85195</v>
      </c>
      <c r="C59" s="605" t="s">
        <v>412</v>
      </c>
      <c r="D59" s="603">
        <f>SUM(9W!D254)</f>
        <v>20000</v>
      </c>
      <c r="E59" s="603">
        <f>SUM(9W!E254)</f>
        <v>6000</v>
      </c>
      <c r="F59" s="607">
        <f t="shared" si="1"/>
        <v>30</v>
      </c>
    </row>
    <row r="60" spans="1:6" ht="24" customHeight="1">
      <c r="A60" s="80" t="s">
        <v>86</v>
      </c>
      <c r="B60" s="613">
        <v>85203</v>
      </c>
      <c r="C60" s="614" t="s">
        <v>675</v>
      </c>
      <c r="D60" s="597">
        <f>SUM(9W!D269)</f>
        <v>131000</v>
      </c>
      <c r="E60" s="597">
        <f>SUM(9W!E269)</f>
        <v>65496</v>
      </c>
      <c r="F60" s="587">
        <f t="shared" si="1"/>
        <v>49.9969465648855</v>
      </c>
    </row>
    <row r="61" spans="1:6" ht="24" customHeight="1">
      <c r="A61" s="80" t="s">
        <v>88</v>
      </c>
      <c r="B61" s="601">
        <v>85395</v>
      </c>
      <c r="C61" s="602" t="s">
        <v>791</v>
      </c>
      <c r="D61" s="603">
        <f>SUM(9W!D319)</f>
        <v>600000</v>
      </c>
      <c r="E61" s="603">
        <f>SUM(9W!E319)</f>
        <v>253956</v>
      </c>
      <c r="F61" s="607">
        <f t="shared" si="1"/>
        <v>42.326</v>
      </c>
    </row>
    <row r="62" spans="1:6" ht="24" customHeight="1">
      <c r="A62" s="80" t="s">
        <v>135</v>
      </c>
      <c r="B62" s="601">
        <v>90013</v>
      </c>
      <c r="C62" s="602" t="s">
        <v>534</v>
      </c>
      <c r="D62" s="603">
        <f>9W!D359</f>
        <v>188000</v>
      </c>
      <c r="E62" s="603">
        <f>9W!E359</f>
        <v>33523.74</v>
      </c>
      <c r="F62" s="607">
        <f t="shared" si="1"/>
        <v>17.83177659574468</v>
      </c>
    </row>
    <row r="63" spans="1:6" ht="24" customHeight="1">
      <c r="A63" s="80" t="s">
        <v>89</v>
      </c>
      <c r="B63" s="601">
        <v>92120</v>
      </c>
      <c r="C63" s="605" t="s">
        <v>111</v>
      </c>
      <c r="D63" s="603">
        <f>SUM(9W!D396)</f>
        <v>198350</v>
      </c>
      <c r="E63" s="603">
        <f>SUM(9W!E396)</f>
        <v>0</v>
      </c>
      <c r="F63" s="607">
        <f t="shared" si="1"/>
        <v>0</v>
      </c>
    </row>
    <row r="64" spans="1:6" ht="24" customHeight="1">
      <c r="A64" s="80" t="s">
        <v>90</v>
      </c>
      <c r="B64" s="77">
        <v>92195</v>
      </c>
      <c r="C64" s="76" t="s">
        <v>504</v>
      </c>
      <c r="D64" s="586">
        <f>SUM(9W!D403)</f>
        <v>56800</v>
      </c>
      <c r="E64" s="586">
        <f>SUM(9W!E403)</f>
        <v>21450</v>
      </c>
      <c r="F64" s="587">
        <f t="shared" si="1"/>
        <v>37.764084507042256</v>
      </c>
    </row>
    <row r="65" spans="1:6" ht="24" customHeight="1">
      <c r="A65" s="80" t="s">
        <v>136</v>
      </c>
      <c r="B65" s="77">
        <v>92605</v>
      </c>
      <c r="C65" s="596" t="s">
        <v>1214</v>
      </c>
      <c r="D65" s="586">
        <v>310000</v>
      </c>
      <c r="E65" s="586">
        <v>139243.28</v>
      </c>
      <c r="F65" s="587">
        <f t="shared" si="1"/>
        <v>44.91718709677419</v>
      </c>
    </row>
    <row r="66" spans="1:6" ht="17.25" customHeight="1">
      <c r="A66" s="1403" t="s">
        <v>776</v>
      </c>
      <c r="B66" s="1404"/>
      <c r="C66" s="1405"/>
      <c r="D66" s="584">
        <f>SUM(D67,D68,D69)</f>
        <v>899310</v>
      </c>
      <c r="E66" s="584">
        <f>SUM(E67,E68,E69)</f>
        <v>470648.64</v>
      </c>
      <c r="F66" s="585">
        <f t="shared" si="1"/>
        <v>52.33441638589586</v>
      </c>
    </row>
    <row r="67" spans="1:6" ht="30" customHeight="1">
      <c r="A67" s="80" t="s">
        <v>1302</v>
      </c>
      <c r="B67" s="77">
        <v>85201</v>
      </c>
      <c r="C67" s="76" t="s">
        <v>804</v>
      </c>
      <c r="D67" s="586">
        <f>SUM(9W!D571)</f>
        <v>744295</v>
      </c>
      <c r="E67" s="586">
        <f>SUM(9W!E571)</f>
        <v>413843.84</v>
      </c>
      <c r="F67" s="587">
        <f t="shared" si="1"/>
        <v>55.602125501313324</v>
      </c>
    </row>
    <row r="68" spans="1:6" ht="24" customHeight="1">
      <c r="A68" s="80" t="s">
        <v>1303</v>
      </c>
      <c r="B68" s="613">
        <v>85204</v>
      </c>
      <c r="C68" s="614" t="s">
        <v>676</v>
      </c>
      <c r="D68" s="597">
        <f>SUM(9W!D585)</f>
        <v>122015</v>
      </c>
      <c r="E68" s="597">
        <f>SUM(9W!E585)</f>
        <v>40304.8</v>
      </c>
      <c r="F68" s="587">
        <f>E68/D68*100</f>
        <v>33.032659918862436</v>
      </c>
    </row>
    <row r="69" spans="1:6" ht="24.75" customHeight="1" thickBot="1">
      <c r="A69" s="588" t="s">
        <v>75</v>
      </c>
      <c r="B69" s="615">
        <v>85321</v>
      </c>
      <c r="C69" s="616" t="s">
        <v>507</v>
      </c>
      <c r="D69" s="617">
        <f>SUM(9W!D604)</f>
        <v>33000</v>
      </c>
      <c r="E69" s="617">
        <f>SUM(9W!E604)</f>
        <v>16500</v>
      </c>
      <c r="F69" s="592">
        <f>E69/D69*100</f>
        <v>50</v>
      </c>
    </row>
    <row r="70" spans="1:6" ht="18" customHeight="1" thickBot="1" thickTop="1">
      <c r="A70" s="1406" t="s">
        <v>777</v>
      </c>
      <c r="B70" s="1407"/>
      <c r="C70" s="1408"/>
      <c r="D70" s="593">
        <f>SUM(D51,D66)</f>
        <v>2590824</v>
      </c>
      <c r="E70" s="593">
        <f>SUM(E51,E66)</f>
        <v>1119613.6600000001</v>
      </c>
      <c r="F70" s="594">
        <f t="shared" si="1"/>
        <v>43.21457806473926</v>
      </c>
    </row>
    <row r="71" ht="33.75" customHeight="1"/>
    <row r="72" spans="1:6" ht="15" customHeight="1" thickBot="1">
      <c r="A72" s="1409" t="s">
        <v>1267</v>
      </c>
      <c r="B72" s="1409"/>
      <c r="C72" s="1409"/>
      <c r="D72" s="1409"/>
      <c r="E72" s="1409"/>
      <c r="F72" s="1409"/>
    </row>
    <row r="73" spans="1:6" ht="17.25" customHeight="1">
      <c r="A73" s="59" t="s">
        <v>1299</v>
      </c>
      <c r="B73" s="60" t="s">
        <v>1036</v>
      </c>
      <c r="C73" s="572" t="s">
        <v>1216</v>
      </c>
      <c r="D73" s="61" t="s">
        <v>1038</v>
      </c>
      <c r="E73" s="573" t="s">
        <v>1039</v>
      </c>
      <c r="F73" s="62" t="s">
        <v>1040</v>
      </c>
    </row>
    <row r="74" spans="1:6" ht="12" customHeight="1">
      <c r="A74" s="577">
        <v>1</v>
      </c>
      <c r="B74" s="578">
        <v>2</v>
      </c>
      <c r="C74" s="578">
        <v>3</v>
      </c>
      <c r="D74" s="578">
        <v>4</v>
      </c>
      <c r="E74" s="579">
        <v>5</v>
      </c>
      <c r="F74" s="580">
        <v>6</v>
      </c>
    </row>
    <row r="75" spans="1:6" ht="18" customHeight="1">
      <c r="A75" s="1403" t="s">
        <v>776</v>
      </c>
      <c r="B75" s="1404"/>
      <c r="C75" s="1405"/>
      <c r="D75" s="584">
        <f>SUM(D76,D77)</f>
        <v>109500</v>
      </c>
      <c r="E75" s="584">
        <f>SUM(E76,E77)</f>
        <v>109500</v>
      </c>
      <c r="F75" s="585">
        <f>E75/D75*100</f>
        <v>100</v>
      </c>
    </row>
    <row r="76" spans="1:6" ht="24" customHeight="1">
      <c r="A76" s="80" t="s">
        <v>1302</v>
      </c>
      <c r="B76" s="77">
        <v>75405</v>
      </c>
      <c r="C76" s="76" t="s">
        <v>1268</v>
      </c>
      <c r="D76" s="586">
        <f>SUM(9W!D478)</f>
        <v>102500</v>
      </c>
      <c r="E76" s="586">
        <f>SUM(9W!E478)</f>
        <v>102500</v>
      </c>
      <c r="F76" s="587">
        <f>E76/D76*100</f>
        <v>100</v>
      </c>
    </row>
    <row r="77" spans="1:6" ht="24" customHeight="1" thickBot="1">
      <c r="A77" s="588" t="s">
        <v>1303</v>
      </c>
      <c r="B77" s="589">
        <v>75406</v>
      </c>
      <c r="C77" s="590" t="s">
        <v>1268</v>
      </c>
      <c r="D77" s="591">
        <f>9W!D485</f>
        <v>7000</v>
      </c>
      <c r="E77" s="591">
        <f>9W!E485</f>
        <v>7000</v>
      </c>
      <c r="F77" s="592">
        <f>E77/D77*100</f>
        <v>100</v>
      </c>
    </row>
    <row r="78" spans="1:6" ht="17.25" customHeight="1" thickBot="1" thickTop="1">
      <c r="A78" s="1406" t="s">
        <v>778</v>
      </c>
      <c r="B78" s="1407"/>
      <c r="C78" s="1408"/>
      <c r="D78" s="593">
        <f>SUM(D75)</f>
        <v>109500</v>
      </c>
      <c r="E78" s="593">
        <f>SUM(E75)</f>
        <v>109500</v>
      </c>
      <c r="F78" s="594">
        <f>E78/D78*100</f>
        <v>100</v>
      </c>
    </row>
    <row r="79" ht="30" customHeight="1"/>
    <row r="80" spans="1:7" ht="27.75" customHeight="1" thickBot="1">
      <c r="A80" s="1402" t="s">
        <v>112</v>
      </c>
      <c r="B80" s="1402"/>
      <c r="C80" s="1402"/>
      <c r="D80" s="1402"/>
      <c r="E80" s="1402"/>
      <c r="F80" s="1402"/>
      <c r="G80" s="618"/>
    </row>
    <row r="81" spans="1:6" ht="20.25" customHeight="1">
      <c r="A81" s="59" t="s">
        <v>1299</v>
      </c>
      <c r="B81" s="60" t="s">
        <v>1036</v>
      </c>
      <c r="C81" s="572" t="s">
        <v>1216</v>
      </c>
      <c r="D81" s="61" t="s">
        <v>1038</v>
      </c>
      <c r="E81" s="573" t="s">
        <v>1039</v>
      </c>
      <c r="F81" s="62" t="s">
        <v>1040</v>
      </c>
    </row>
    <row r="82" spans="1:8" s="612" customFormat="1" ht="10.5" customHeight="1">
      <c r="A82" s="577">
        <v>1</v>
      </c>
      <c r="B82" s="578">
        <v>2</v>
      </c>
      <c r="C82" s="578">
        <v>3</v>
      </c>
      <c r="D82" s="578">
        <v>4</v>
      </c>
      <c r="E82" s="579">
        <v>5</v>
      </c>
      <c r="F82" s="580">
        <v>6</v>
      </c>
      <c r="G82" s="66"/>
      <c r="H82" s="611"/>
    </row>
    <row r="83" spans="1:6" ht="18.75" customHeight="1">
      <c r="A83" s="1403" t="s">
        <v>774</v>
      </c>
      <c r="B83" s="1404"/>
      <c r="C83" s="1405"/>
      <c r="D83" s="584">
        <f>SUM(D84,D85,D86,D87,D88,D89)</f>
        <v>3644620</v>
      </c>
      <c r="E83" s="584">
        <f>SUM(E84,E85,E86,E87,E88,E89)</f>
        <v>1094862.88</v>
      </c>
      <c r="F83" s="585">
        <f>E83/D83*100</f>
        <v>30.040522194357706</v>
      </c>
    </row>
    <row r="84" spans="1:6" ht="24" customHeight="1">
      <c r="A84" s="80" t="s">
        <v>1302</v>
      </c>
      <c r="B84" s="77">
        <v>70001</v>
      </c>
      <c r="C84" s="76" t="s">
        <v>72</v>
      </c>
      <c r="D84" s="586">
        <f>SUM(9W!D70)</f>
        <v>1271120</v>
      </c>
      <c r="E84" s="586">
        <f>SUM(9W!E70)</f>
        <v>47271</v>
      </c>
      <c r="F84" s="587">
        <f aca="true" t="shared" si="2" ref="F84:F94">E84/D84*100</f>
        <v>3.718846371703694</v>
      </c>
    </row>
    <row r="85" spans="1:6" ht="24" customHeight="1">
      <c r="A85" s="80" t="s">
        <v>1303</v>
      </c>
      <c r="B85" s="77">
        <v>80104</v>
      </c>
      <c r="C85" s="76" t="s">
        <v>974</v>
      </c>
      <c r="D85" s="586">
        <f>SUM(9W!D189)</f>
        <v>885000</v>
      </c>
      <c r="E85" s="586">
        <f>SUM(9W!E189)</f>
        <v>180000</v>
      </c>
      <c r="F85" s="587">
        <f t="shared" si="2"/>
        <v>20.33898305084746</v>
      </c>
    </row>
    <row r="86" spans="1:6" ht="24" customHeight="1">
      <c r="A86" s="80" t="s">
        <v>75</v>
      </c>
      <c r="B86" s="77">
        <v>92109</v>
      </c>
      <c r="C86" s="596" t="s">
        <v>1217</v>
      </c>
      <c r="D86" s="586">
        <f>SUM(9W!D378)</f>
        <v>1090000</v>
      </c>
      <c r="E86" s="586">
        <f>SUM(9W!E378)</f>
        <v>578591.88</v>
      </c>
      <c r="F86" s="587">
        <f t="shared" si="2"/>
        <v>53.081823853211006</v>
      </c>
    </row>
    <row r="87" spans="1:6" ht="24" customHeight="1">
      <c r="A87" s="80" t="s">
        <v>83</v>
      </c>
      <c r="B87" s="77">
        <v>92116</v>
      </c>
      <c r="C87" s="596" t="s">
        <v>975</v>
      </c>
      <c r="D87" s="586">
        <f>9W!D385</f>
        <v>49000</v>
      </c>
      <c r="E87" s="586">
        <f>9W!E385</f>
        <v>49000</v>
      </c>
      <c r="F87" s="587">
        <f>E87/D87*100</f>
        <v>100</v>
      </c>
    </row>
    <row r="88" spans="1:6" ht="24" customHeight="1">
      <c r="A88" s="80" t="s">
        <v>84</v>
      </c>
      <c r="B88" s="77">
        <v>92118</v>
      </c>
      <c r="C88" s="596" t="s">
        <v>976</v>
      </c>
      <c r="D88" s="586">
        <f>SUM(9W!D392)</f>
        <v>109500</v>
      </c>
      <c r="E88" s="586">
        <f>SUM(9W!E392)</f>
        <v>0</v>
      </c>
      <c r="F88" s="587">
        <f t="shared" si="2"/>
        <v>0</v>
      </c>
    </row>
    <row r="89" spans="1:6" ht="24" customHeight="1">
      <c r="A89" s="80" t="s">
        <v>85</v>
      </c>
      <c r="B89" s="77">
        <v>92605</v>
      </c>
      <c r="C89" s="596" t="s">
        <v>505</v>
      </c>
      <c r="D89" s="586">
        <f>SUM(9W!D419)</f>
        <v>240000</v>
      </c>
      <c r="E89" s="586">
        <f>SUM(9W!E419)</f>
        <v>240000</v>
      </c>
      <c r="F89" s="587">
        <f t="shared" si="2"/>
        <v>100</v>
      </c>
    </row>
    <row r="90" spans="1:8" s="567" customFormat="1" ht="20.25" customHeight="1">
      <c r="A90" s="1403" t="s">
        <v>776</v>
      </c>
      <c r="B90" s="1404"/>
      <c r="C90" s="1405"/>
      <c r="D90" s="619">
        <f>SUM(D91,D92,D93)</f>
        <v>406650</v>
      </c>
      <c r="E90" s="619">
        <f>SUM(E91,E92,E93)</f>
        <v>36600</v>
      </c>
      <c r="F90" s="585">
        <f>E90/D90*100</f>
        <v>9.00036886757654</v>
      </c>
      <c r="H90" s="568"/>
    </row>
    <row r="91" spans="1:8" s="567" customFormat="1" ht="20.25" customHeight="1" hidden="1">
      <c r="A91" s="80" t="s">
        <v>1302</v>
      </c>
      <c r="B91" s="77">
        <v>75405</v>
      </c>
      <c r="C91" s="76" t="s">
        <v>113</v>
      </c>
      <c r="D91" s="586">
        <f>SUM(9W!D481)</f>
        <v>0</v>
      </c>
      <c r="E91" s="586">
        <f>SUM(9W!E481)</f>
        <v>0</v>
      </c>
      <c r="F91" s="587" t="e">
        <f>E91/D91*100</f>
        <v>#DIV/0!</v>
      </c>
      <c r="H91" s="568"/>
    </row>
    <row r="92" spans="1:8" ht="31.5" customHeight="1">
      <c r="A92" s="80" t="s">
        <v>1302</v>
      </c>
      <c r="B92" s="77">
        <v>85111</v>
      </c>
      <c r="C92" s="76" t="s">
        <v>1269</v>
      </c>
      <c r="D92" s="586">
        <f>SUM(9W!D555)</f>
        <v>337600</v>
      </c>
      <c r="E92" s="586">
        <f>SUM(9W!E555)</f>
        <v>0</v>
      </c>
      <c r="F92" s="587">
        <f>E92/D92*100</f>
        <v>0</v>
      </c>
      <c r="H92" s="86"/>
    </row>
    <row r="93" spans="1:6" ht="29.25" customHeight="1" thickBot="1">
      <c r="A93" s="588" t="s">
        <v>1303</v>
      </c>
      <c r="B93" s="589">
        <v>85117</v>
      </c>
      <c r="C93" s="590" t="s">
        <v>805</v>
      </c>
      <c r="D93" s="591">
        <f>SUM(9W!D564)</f>
        <v>69050</v>
      </c>
      <c r="E93" s="591">
        <f>SUM(9W!E564)</f>
        <v>36600</v>
      </c>
      <c r="F93" s="592">
        <f>E93/D93*100</f>
        <v>53.00506879073136</v>
      </c>
    </row>
    <row r="94" spans="1:8" s="567" customFormat="1" ht="18" customHeight="1" thickBot="1" thickTop="1">
      <c r="A94" s="1406" t="s">
        <v>777</v>
      </c>
      <c r="B94" s="1407"/>
      <c r="C94" s="1408"/>
      <c r="D94" s="593">
        <f>SUM(D83,D90)</f>
        <v>4051270</v>
      </c>
      <c r="E94" s="593">
        <f>SUM(E83,E90)</f>
        <v>1131462.88</v>
      </c>
      <c r="F94" s="594">
        <f t="shared" si="2"/>
        <v>27.9285972053208</v>
      </c>
      <c r="H94" s="568"/>
    </row>
    <row r="95" spans="1:8" s="574" customFormat="1" ht="21" customHeight="1" thickBot="1">
      <c r="A95" s="620"/>
      <c r="B95" s="620"/>
      <c r="C95" s="620"/>
      <c r="D95" s="621"/>
      <c r="E95" s="621"/>
      <c r="F95" s="622"/>
      <c r="H95" s="575"/>
    </row>
    <row r="96" spans="1:8" s="612" customFormat="1" ht="18" customHeight="1">
      <c r="A96" s="1417" t="s">
        <v>1216</v>
      </c>
      <c r="B96" s="1418"/>
      <c r="C96" s="1419"/>
      <c r="D96" s="623" t="s">
        <v>324</v>
      </c>
      <c r="E96" s="624" t="s">
        <v>325</v>
      </c>
      <c r="F96" s="625" t="s">
        <v>1040</v>
      </c>
      <c r="G96" s="66"/>
      <c r="H96" s="611"/>
    </row>
    <row r="97" spans="1:6" s="568" customFormat="1" ht="22.5" customHeight="1">
      <c r="A97" s="1410" t="s">
        <v>909</v>
      </c>
      <c r="B97" s="1411"/>
      <c r="C97" s="1412"/>
      <c r="D97" s="626">
        <f>SUM(D11,D46,D70,D78)</f>
        <v>16517076</v>
      </c>
      <c r="E97" s="626">
        <f>SUM(E11,E46,E70,E78)</f>
        <v>8834488.03</v>
      </c>
      <c r="F97" s="627">
        <f>E97/D97*100</f>
        <v>53.48699751699393</v>
      </c>
    </row>
    <row r="98" spans="1:6" s="568" customFormat="1" ht="22.5" customHeight="1" thickBot="1">
      <c r="A98" s="1424" t="s">
        <v>108</v>
      </c>
      <c r="B98" s="1425"/>
      <c r="C98" s="1426"/>
      <c r="D98" s="628">
        <f>SUM(D94)</f>
        <v>4051270</v>
      </c>
      <c r="E98" s="628">
        <f>SUM(E94)</f>
        <v>1131462.88</v>
      </c>
      <c r="F98" s="629">
        <f>E98/D98*100</f>
        <v>27.9285972053208</v>
      </c>
    </row>
    <row r="99" spans="1:8" s="567" customFormat="1" ht="22.5" customHeight="1" thickBot="1" thickTop="1">
      <c r="A99" s="1427" t="s">
        <v>801</v>
      </c>
      <c r="B99" s="1428"/>
      <c r="C99" s="1429"/>
      <c r="D99" s="630">
        <f>SUM(D97,D98)</f>
        <v>20568346</v>
      </c>
      <c r="E99" s="630">
        <f>SUM(E97,E98)</f>
        <v>9965950.91</v>
      </c>
      <c r="F99" s="631">
        <f>E99/D99*100</f>
        <v>48.452855227153414</v>
      </c>
      <c r="H99" s="568"/>
    </row>
    <row r="100" spans="1:6" s="574" customFormat="1" ht="106.5" customHeight="1">
      <c r="A100" s="1423" t="s">
        <v>535</v>
      </c>
      <c r="B100" s="1423"/>
      <c r="C100" s="1423"/>
      <c r="D100" s="1423"/>
      <c r="E100" s="1423"/>
      <c r="F100" s="1423"/>
    </row>
    <row r="101" spans="3:5" ht="13.5" hidden="1">
      <c r="C101" s="57" t="s">
        <v>912</v>
      </c>
      <c r="D101" s="75">
        <v>16517076</v>
      </c>
      <c r="E101" s="75">
        <v>8834488.03</v>
      </c>
    </row>
    <row r="102" spans="3:5" ht="13.5" hidden="1">
      <c r="C102" s="57" t="s">
        <v>913</v>
      </c>
      <c r="D102" s="75">
        <v>4051270</v>
      </c>
      <c r="E102" s="75">
        <v>1131462.88</v>
      </c>
    </row>
    <row r="103" spans="4:5" ht="13.5" hidden="1">
      <c r="D103" s="75"/>
      <c r="E103" s="75"/>
    </row>
    <row r="104" spans="3:5" ht="13.5" hidden="1">
      <c r="C104" s="57" t="s">
        <v>103</v>
      </c>
      <c r="D104" s="75">
        <f>D101-D97</f>
        <v>0</v>
      </c>
      <c r="E104" s="75">
        <f>E101-E97</f>
        <v>0</v>
      </c>
    </row>
    <row r="105" spans="3:5" ht="13.5" hidden="1">
      <c r="C105" s="57" t="s">
        <v>105</v>
      </c>
      <c r="D105" s="75">
        <f>D102-D98</f>
        <v>0</v>
      </c>
      <c r="E105" s="75">
        <f>E102-E98</f>
        <v>0</v>
      </c>
    </row>
    <row r="106" ht="13.5" hidden="1"/>
    <row r="107" ht="13.5" hidden="1"/>
    <row r="108" ht="13.5" hidden="1"/>
    <row r="109" ht="13.5" hidden="1"/>
    <row r="110" ht="13.5" hidden="1"/>
    <row r="111" ht="13.5" hidden="1"/>
  </sheetData>
  <sheetProtection password="CF93" sheet="1" objects="1" scenarios="1" selectLockedCells="1" selectUnlockedCells="1"/>
  <mergeCells count="26">
    <mergeCell ref="A96:C96"/>
    <mergeCell ref="A5:E5"/>
    <mergeCell ref="I17:I18"/>
    <mergeCell ref="A100:F100"/>
    <mergeCell ref="A70:C70"/>
    <mergeCell ref="A90:C90"/>
    <mergeCell ref="A98:C98"/>
    <mergeCell ref="A99:C99"/>
    <mergeCell ref="A51:C51"/>
    <mergeCell ref="A66:C66"/>
    <mergeCell ref="A97:C97"/>
    <mergeCell ref="A48:F48"/>
    <mergeCell ref="A80:F80"/>
    <mergeCell ref="E1:F1"/>
    <mergeCell ref="A46:C46"/>
    <mergeCell ref="A16:C16"/>
    <mergeCell ref="A31:C31"/>
    <mergeCell ref="A8:C8"/>
    <mergeCell ref="A11:C11"/>
    <mergeCell ref="A3:F3"/>
    <mergeCell ref="A13:F13"/>
    <mergeCell ref="A83:C83"/>
    <mergeCell ref="A94:C94"/>
    <mergeCell ref="A72:F72"/>
    <mergeCell ref="A75:C75"/>
    <mergeCell ref="A78:C78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view="pageBreakPreview" zoomScaleSheetLayoutView="100" workbookViewId="0" topLeftCell="A1">
      <selection activeCell="J20" sqref="J20"/>
    </sheetView>
  </sheetViews>
  <sheetFormatPr defaultColWidth="9.00390625" defaultRowHeight="12.75"/>
  <cols>
    <col min="1" max="1" width="5.375" style="56" customWidth="1"/>
    <col min="2" max="2" width="9.125" style="56" customWidth="1"/>
    <col min="3" max="3" width="10.125" style="56" customWidth="1"/>
    <col min="4" max="4" width="29.875" style="56" customWidth="1"/>
    <col min="5" max="5" width="14.00390625" style="56" customWidth="1"/>
    <col min="6" max="6" width="10.625" style="56" customWidth="1"/>
    <col min="7" max="7" width="7.375" style="56" customWidth="1"/>
    <col min="8" max="16384" width="9.125" style="56" customWidth="1"/>
  </cols>
  <sheetData>
    <row r="1" spans="5:7" ht="12.75">
      <c r="E1" s="567"/>
      <c r="F1" s="1413" t="s">
        <v>451</v>
      </c>
      <c r="G1" s="1413"/>
    </row>
    <row r="2" ht="24" customHeight="1"/>
    <row r="3" spans="1:7" ht="12.75">
      <c r="A3" s="1374" t="s">
        <v>508</v>
      </c>
      <c r="B3" s="1374"/>
      <c r="C3" s="1374"/>
      <c r="D3" s="1374"/>
      <c r="E3" s="1374"/>
      <c r="F3" s="1374"/>
      <c r="G3" s="1374"/>
    </row>
    <row r="4" spans="1:5" ht="15" customHeight="1">
      <c r="A4" s="20"/>
      <c r="B4" s="20"/>
      <c r="C4" s="20"/>
      <c r="D4" s="20"/>
      <c r="E4" s="20"/>
    </row>
    <row r="5" spans="5:7" ht="13.5" thickBot="1">
      <c r="E5" s="57"/>
      <c r="F5" s="57"/>
      <c r="G5" s="57" t="s">
        <v>1035</v>
      </c>
    </row>
    <row r="6" spans="1:7" s="574" customFormat="1" ht="24" customHeight="1">
      <c r="A6" s="59" t="s">
        <v>1299</v>
      </c>
      <c r="B6" s="60" t="s">
        <v>1215</v>
      </c>
      <c r="C6" s="60" t="s">
        <v>1036</v>
      </c>
      <c r="D6" s="60" t="s">
        <v>779</v>
      </c>
      <c r="E6" s="60" t="s">
        <v>1038</v>
      </c>
      <c r="F6" s="751" t="s">
        <v>1039</v>
      </c>
      <c r="G6" s="752" t="s">
        <v>1040</v>
      </c>
    </row>
    <row r="7" spans="1:7" s="20" customFormat="1" ht="9.75" customHeight="1">
      <c r="A7" s="634">
        <v>1</v>
      </c>
      <c r="B7" s="635">
        <v>2</v>
      </c>
      <c r="C7" s="635">
        <v>3</v>
      </c>
      <c r="D7" s="635">
        <v>4</v>
      </c>
      <c r="E7" s="635">
        <v>5</v>
      </c>
      <c r="F7" s="635">
        <v>6</v>
      </c>
      <c r="G7" s="753">
        <v>7</v>
      </c>
    </row>
    <row r="8" spans="1:7" ht="30" customHeight="1">
      <c r="A8" s="80" t="s">
        <v>1302</v>
      </c>
      <c r="B8" s="77">
        <v>750</v>
      </c>
      <c r="C8" s="77">
        <v>75095</v>
      </c>
      <c r="D8" s="596" t="s">
        <v>780</v>
      </c>
      <c r="E8" s="586">
        <v>4000</v>
      </c>
      <c r="F8" s="586">
        <v>699.89</v>
      </c>
      <c r="G8" s="79">
        <f>F8/E8*100</f>
        <v>17.49725</v>
      </c>
    </row>
    <row r="9" spans="1:7" ht="30" customHeight="1">
      <c r="A9" s="80" t="s">
        <v>1303</v>
      </c>
      <c r="B9" s="77">
        <v>750</v>
      </c>
      <c r="C9" s="77">
        <v>75095</v>
      </c>
      <c r="D9" s="596" t="s">
        <v>781</v>
      </c>
      <c r="E9" s="586">
        <v>6500</v>
      </c>
      <c r="F9" s="586">
        <v>2484.11</v>
      </c>
      <c r="G9" s="79">
        <f>F9/E9*100</f>
        <v>38.217076923076924</v>
      </c>
    </row>
    <row r="10" spans="1:7" ht="30" customHeight="1" thickBot="1">
      <c r="A10" s="588" t="s">
        <v>75</v>
      </c>
      <c r="B10" s="589">
        <v>750</v>
      </c>
      <c r="C10" s="589">
        <v>75095</v>
      </c>
      <c r="D10" s="754" t="s">
        <v>782</v>
      </c>
      <c r="E10" s="591">
        <v>7000</v>
      </c>
      <c r="F10" s="591">
        <v>1482.3</v>
      </c>
      <c r="G10" s="755">
        <f>F10/E10*100</f>
        <v>21.175714285714285</v>
      </c>
    </row>
    <row r="11" spans="1:7" ht="24" customHeight="1" thickBot="1" thickTop="1">
      <c r="A11" s="1430" t="s">
        <v>783</v>
      </c>
      <c r="B11" s="1431"/>
      <c r="C11" s="1431"/>
      <c r="D11" s="1431"/>
      <c r="E11" s="593">
        <f>E10+E9+E8</f>
        <v>17500</v>
      </c>
      <c r="F11" s="593">
        <f>F10+F9+F8</f>
        <v>4666.3</v>
      </c>
      <c r="G11" s="756">
        <f>F11/E11*100</f>
        <v>26.66457142857143</v>
      </c>
    </row>
    <row r="13" ht="12.75">
      <c r="A13" s="86"/>
    </row>
  </sheetData>
  <sheetProtection password="CF93" sheet="1" objects="1" scenarios="1" selectLockedCells="1" selectUnlockedCells="1"/>
  <mergeCells count="3">
    <mergeCell ref="A11:D11"/>
    <mergeCell ref="F1:G1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4">
    <tabColor indexed="42"/>
  </sheetPr>
  <dimension ref="A1:K168"/>
  <sheetViews>
    <sheetView view="pageBreakPreview" zoomScaleSheetLayoutView="100" workbookViewId="0" topLeftCell="A1">
      <selection activeCell="J1" sqref="J1:L16384"/>
    </sheetView>
  </sheetViews>
  <sheetFormatPr defaultColWidth="9.00390625" defaultRowHeight="12.75"/>
  <cols>
    <col min="1" max="1" width="4.75390625" style="638" customWidth="1"/>
    <col min="2" max="2" width="7.125" style="638" customWidth="1"/>
    <col min="3" max="3" width="23.00390625" style="542" customWidth="1"/>
    <col min="4" max="4" width="12.125" style="637" customWidth="1"/>
    <col min="5" max="5" width="12.25390625" style="637" customWidth="1"/>
    <col min="6" max="6" width="5.125" style="637" customWidth="1"/>
    <col min="7" max="7" width="12.125" style="636" customWidth="1"/>
    <col min="8" max="8" width="12.625" style="637" customWidth="1"/>
    <col min="9" max="9" width="5.625" style="636" customWidth="1"/>
    <col min="10" max="10" width="10.25390625" style="636" customWidth="1"/>
    <col min="11" max="11" width="15.875" style="637" customWidth="1"/>
    <col min="12" max="16384" width="9.125" style="637" customWidth="1"/>
  </cols>
  <sheetData>
    <row r="1" spans="8:9" ht="15.75" customHeight="1">
      <c r="H1" s="1433" t="s">
        <v>452</v>
      </c>
      <c r="I1" s="1433"/>
    </row>
    <row r="2" spans="8:9" ht="22.5" customHeight="1">
      <c r="H2" s="639"/>
      <c r="I2" s="639"/>
    </row>
    <row r="3" spans="1:9" ht="18.75" customHeight="1">
      <c r="A3" s="1446" t="s">
        <v>1162</v>
      </c>
      <c r="B3" s="1446"/>
      <c r="C3" s="1446"/>
      <c r="D3" s="1446"/>
      <c r="E3" s="1446"/>
      <c r="F3" s="1446"/>
      <c r="G3" s="1446"/>
      <c r="H3" s="1446"/>
      <c r="I3" s="1446"/>
    </row>
    <row r="4" spans="8:9" ht="12.75" customHeight="1" thickBot="1">
      <c r="H4" s="1436" t="s">
        <v>1035</v>
      </c>
      <c r="I4" s="1436"/>
    </row>
    <row r="5" spans="1:10" s="640" customFormat="1" ht="20.25" customHeight="1">
      <c r="A5" s="1440" t="s">
        <v>1215</v>
      </c>
      <c r="B5" s="1442" t="s">
        <v>1036</v>
      </c>
      <c r="C5" s="1444" t="s">
        <v>1216</v>
      </c>
      <c r="D5" s="1437" t="s">
        <v>946</v>
      </c>
      <c r="E5" s="1438"/>
      <c r="F5" s="1438"/>
      <c r="G5" s="1437" t="s">
        <v>947</v>
      </c>
      <c r="H5" s="1438"/>
      <c r="I5" s="1439"/>
      <c r="J5" s="639"/>
    </row>
    <row r="6" spans="1:10" s="642" customFormat="1" ht="18.75" customHeight="1">
      <c r="A6" s="1441"/>
      <c r="B6" s="1443"/>
      <c r="C6" s="1445"/>
      <c r="D6" s="274" t="s">
        <v>1038</v>
      </c>
      <c r="E6" s="274" t="s">
        <v>1039</v>
      </c>
      <c r="F6" s="274" t="s">
        <v>1040</v>
      </c>
      <c r="G6" s="274" t="s">
        <v>1292</v>
      </c>
      <c r="H6" s="274" t="s">
        <v>1293</v>
      </c>
      <c r="I6" s="641" t="s">
        <v>1040</v>
      </c>
      <c r="J6" s="639"/>
    </row>
    <row r="7" spans="1:11" s="645" customFormat="1" ht="13.5" thickBot="1">
      <c r="A7" s="218">
        <v>1</v>
      </c>
      <c r="B7" s="219">
        <v>2</v>
      </c>
      <c r="C7" s="643">
        <v>3</v>
      </c>
      <c r="D7" s="221">
        <v>4</v>
      </c>
      <c r="E7" s="221">
        <v>5</v>
      </c>
      <c r="F7" s="221">
        <v>6</v>
      </c>
      <c r="G7" s="221">
        <v>7</v>
      </c>
      <c r="H7" s="221">
        <v>8</v>
      </c>
      <c r="I7" s="276">
        <v>9</v>
      </c>
      <c r="J7" s="639"/>
      <c r="K7" s="644"/>
    </row>
    <row r="8" spans="1:10" s="642" customFormat="1" ht="22.5" customHeight="1">
      <c r="A8" s="646" t="s">
        <v>1041</v>
      </c>
      <c r="B8" s="647"/>
      <c r="C8" s="648" t="s">
        <v>492</v>
      </c>
      <c r="D8" s="649">
        <f>SUM(D9)</f>
        <v>16017.75</v>
      </c>
      <c r="E8" s="649">
        <f>SUM(E9)</f>
        <v>16017.75</v>
      </c>
      <c r="F8" s="650">
        <f aca="true" t="shared" si="0" ref="F8:F49">E8/D8*100</f>
        <v>100</v>
      </c>
      <c r="G8" s="656">
        <f>SUM(G9)</f>
        <v>16017.75</v>
      </c>
      <c r="H8" s="656">
        <f>SUM(H9)</f>
        <v>16017.75</v>
      </c>
      <c r="I8" s="805">
        <f>H8/G8*100</f>
        <v>100</v>
      </c>
      <c r="J8" s="639"/>
    </row>
    <row r="9" spans="1:10" s="815" customFormat="1" ht="19.5" customHeight="1">
      <c r="A9" s="651"/>
      <c r="B9" s="652" t="s">
        <v>498</v>
      </c>
      <c r="C9" s="653" t="s">
        <v>1042</v>
      </c>
      <c r="D9" s="654">
        <f>SUM(6D!E10)</f>
        <v>16017.75</v>
      </c>
      <c r="E9" s="654">
        <f>SUM(6D!F10)</f>
        <v>16017.75</v>
      </c>
      <c r="F9" s="655">
        <f t="shared" si="0"/>
        <v>100</v>
      </c>
      <c r="G9" s="657">
        <f>D9</f>
        <v>16017.75</v>
      </c>
      <c r="H9" s="657">
        <v>16017.75</v>
      </c>
      <c r="I9" s="806">
        <f>H9/G9*100</f>
        <v>100</v>
      </c>
      <c r="J9" s="690"/>
    </row>
    <row r="10" spans="1:10" s="645" customFormat="1" ht="20.25" customHeight="1" hidden="1">
      <c r="A10" s="658" t="s">
        <v>1046</v>
      </c>
      <c r="B10" s="659"/>
      <c r="C10" s="660" t="s">
        <v>1047</v>
      </c>
      <c r="D10" s="661">
        <f>SUM(D11)</f>
        <v>0</v>
      </c>
      <c r="E10" s="661">
        <f>SUM(E11)</f>
        <v>0</v>
      </c>
      <c r="F10" s="650" t="e">
        <f t="shared" si="0"/>
        <v>#DIV/0!</v>
      </c>
      <c r="G10" s="662">
        <f>SUM(G11)</f>
        <v>0</v>
      </c>
      <c r="H10" s="662">
        <f>SUM(H11)</f>
        <v>0</v>
      </c>
      <c r="I10" s="805" t="e">
        <f>H10/G10*100</f>
        <v>#DIV/0!</v>
      </c>
      <c r="J10" s="690"/>
    </row>
    <row r="11" spans="1:11" s="815" customFormat="1" ht="51.75" customHeight="1" hidden="1">
      <c r="A11" s="651"/>
      <c r="B11" s="652" t="s">
        <v>1048</v>
      </c>
      <c r="C11" s="653" t="s">
        <v>1108</v>
      </c>
      <c r="D11" s="654">
        <f>SUM(6D!E280,6D!E282)</f>
        <v>0</v>
      </c>
      <c r="E11" s="654">
        <f>SUM(6D!F280,6D!F282)</f>
        <v>0</v>
      </c>
      <c r="F11" s="655" t="e">
        <f t="shared" si="0"/>
        <v>#DIV/0!</v>
      </c>
      <c r="G11" s="667">
        <f>D11</f>
        <v>0</v>
      </c>
      <c r="H11" s="667"/>
      <c r="I11" s="806" t="e">
        <f>H11/G11*100</f>
        <v>#DIV/0!</v>
      </c>
      <c r="J11" s="690"/>
      <c r="K11" s="816"/>
    </row>
    <row r="12" spans="1:10" s="645" customFormat="1" ht="30.75" customHeight="1">
      <c r="A12" s="658" t="s">
        <v>1053</v>
      </c>
      <c r="B12" s="659"/>
      <c r="C12" s="660" t="s">
        <v>1054</v>
      </c>
      <c r="D12" s="661">
        <f>SUM(D13)</f>
        <v>93500</v>
      </c>
      <c r="E12" s="661">
        <f>SUM(E13)</f>
        <v>20331</v>
      </c>
      <c r="F12" s="650">
        <f t="shared" si="0"/>
        <v>21.744385026737966</v>
      </c>
      <c r="G12" s="662">
        <f>SUM(G13)</f>
        <v>93500</v>
      </c>
      <c r="H12" s="662">
        <f>SUM(H13)</f>
        <v>13447.04</v>
      </c>
      <c r="I12" s="805">
        <f>H12/G12*100</f>
        <v>14.381860962566845</v>
      </c>
      <c r="J12" s="690"/>
    </row>
    <row r="13" spans="1:10" ht="29.25" customHeight="1">
      <c r="A13" s="663"/>
      <c r="B13" s="664" t="s">
        <v>1055</v>
      </c>
      <c r="C13" s="665" t="s">
        <v>1056</v>
      </c>
      <c r="D13" s="666">
        <f>SUM(6D!E61,6D!E285,6D!E286)</f>
        <v>93500</v>
      </c>
      <c r="E13" s="666">
        <f>SUM(6D!F61,6D!F285,6D!F286)</f>
        <v>20331</v>
      </c>
      <c r="F13" s="655">
        <f t="shared" si="0"/>
        <v>21.744385026737966</v>
      </c>
      <c r="G13" s="667">
        <f>D13</f>
        <v>93500</v>
      </c>
      <c r="H13" s="667">
        <v>13447.04</v>
      </c>
      <c r="I13" s="807">
        <f aca="true" t="shared" si="1" ref="I13:I39">H13/G13*100</f>
        <v>14.381860962566845</v>
      </c>
      <c r="J13" s="690"/>
    </row>
    <row r="14" spans="1:10" s="640" customFormat="1" ht="23.25" customHeight="1">
      <c r="A14" s="668" t="s">
        <v>1057</v>
      </c>
      <c r="B14" s="669"/>
      <c r="C14" s="670" t="s">
        <v>1058</v>
      </c>
      <c r="D14" s="671">
        <f>SUM(D15,D16,D17)</f>
        <v>445895</v>
      </c>
      <c r="E14" s="671">
        <f>SUM(E15,E16,E17)</f>
        <v>219223</v>
      </c>
      <c r="F14" s="650">
        <f t="shared" si="0"/>
        <v>49.16471366577333</v>
      </c>
      <c r="G14" s="662">
        <f>SUM(G15,G16,G17)</f>
        <v>445895</v>
      </c>
      <c r="H14" s="662">
        <f>SUM(H15,H16,H17)</f>
        <v>200194.59</v>
      </c>
      <c r="I14" s="808">
        <f t="shared" si="1"/>
        <v>44.897249352426016</v>
      </c>
      <c r="J14" s="690"/>
    </row>
    <row r="15" spans="1:10" ht="39" customHeight="1">
      <c r="A15" s="663"/>
      <c r="B15" s="664" t="s">
        <v>1059</v>
      </c>
      <c r="C15" s="665" t="s">
        <v>33</v>
      </c>
      <c r="D15" s="666">
        <f>SUM(6D!E289)</f>
        <v>45000</v>
      </c>
      <c r="E15" s="666">
        <f>SUM(6D!F289)</f>
        <v>7500</v>
      </c>
      <c r="F15" s="655">
        <f t="shared" si="0"/>
        <v>16.666666666666664</v>
      </c>
      <c r="G15" s="667">
        <f>D15</f>
        <v>45000</v>
      </c>
      <c r="H15" s="667">
        <v>0</v>
      </c>
      <c r="I15" s="807">
        <f t="shared" si="1"/>
        <v>0</v>
      </c>
      <c r="J15" s="690"/>
    </row>
    <row r="16" spans="1:10" ht="30" customHeight="1">
      <c r="A16" s="663"/>
      <c r="B16" s="664" t="s">
        <v>1060</v>
      </c>
      <c r="C16" s="665" t="s">
        <v>1061</v>
      </c>
      <c r="D16" s="666">
        <f>SUM(6D!E292)</f>
        <v>11000</v>
      </c>
      <c r="E16" s="666">
        <f>SUM(6D!F292)</f>
        <v>1832</v>
      </c>
      <c r="F16" s="655">
        <f t="shared" si="0"/>
        <v>16.654545454545456</v>
      </c>
      <c r="G16" s="667">
        <f>D16</f>
        <v>11000</v>
      </c>
      <c r="H16" s="667">
        <v>0</v>
      </c>
      <c r="I16" s="807">
        <f t="shared" si="1"/>
        <v>0</v>
      </c>
      <c r="J16" s="690"/>
    </row>
    <row r="17" spans="1:10" ht="19.5" customHeight="1">
      <c r="A17" s="663"/>
      <c r="B17" s="664" t="s">
        <v>1062</v>
      </c>
      <c r="C17" s="672" t="s">
        <v>1066</v>
      </c>
      <c r="D17" s="666">
        <f>SUM(6D!E294)</f>
        <v>389895</v>
      </c>
      <c r="E17" s="666">
        <f>SUM(6D!F294)</f>
        <v>209891</v>
      </c>
      <c r="F17" s="655">
        <f t="shared" si="0"/>
        <v>53.83269854704472</v>
      </c>
      <c r="G17" s="667">
        <f>D17</f>
        <v>389895</v>
      </c>
      <c r="H17" s="667">
        <v>200194.59</v>
      </c>
      <c r="I17" s="807">
        <f t="shared" si="1"/>
        <v>51.34577001500404</v>
      </c>
      <c r="J17" s="690"/>
    </row>
    <row r="18" spans="1:10" s="640" customFormat="1" ht="24.75" customHeight="1">
      <c r="A18" s="668" t="s">
        <v>1069</v>
      </c>
      <c r="B18" s="669"/>
      <c r="C18" s="670" t="s">
        <v>1070</v>
      </c>
      <c r="D18" s="671">
        <f>SUM(D19,D20)</f>
        <v>471800</v>
      </c>
      <c r="E18" s="671">
        <f>SUM(E19,E20)</f>
        <v>247137</v>
      </c>
      <c r="F18" s="650">
        <f t="shared" si="0"/>
        <v>52.38172954641798</v>
      </c>
      <c r="G18" s="662">
        <f>SUM(G19,G20)</f>
        <v>471800</v>
      </c>
      <c r="H18" s="662">
        <f>SUM(H19,H20)</f>
        <v>241048.56</v>
      </c>
      <c r="I18" s="808">
        <f t="shared" si="1"/>
        <v>51.09125900805426</v>
      </c>
      <c r="J18" s="690"/>
    </row>
    <row r="19" spans="1:10" ht="21" customHeight="1">
      <c r="A19" s="663"/>
      <c r="B19" s="664" t="s">
        <v>1071</v>
      </c>
      <c r="C19" s="672" t="s">
        <v>1077</v>
      </c>
      <c r="D19" s="666">
        <f>SUM(6D!E75,6D!E297)</f>
        <v>451800</v>
      </c>
      <c r="E19" s="666">
        <f>SUM(6D!F75,6D!F297)</f>
        <v>228347</v>
      </c>
      <c r="F19" s="655">
        <f t="shared" si="0"/>
        <v>50.541611332447985</v>
      </c>
      <c r="G19" s="667">
        <f>D19</f>
        <v>451800</v>
      </c>
      <c r="H19" s="667">
        <f>E19</f>
        <v>228347</v>
      </c>
      <c r="I19" s="807">
        <f t="shared" si="1"/>
        <v>50.541611332447985</v>
      </c>
      <c r="J19" s="690"/>
    </row>
    <row r="20" spans="1:10" ht="21" customHeight="1">
      <c r="A20" s="663"/>
      <c r="B20" s="664" t="s">
        <v>1081</v>
      </c>
      <c r="C20" s="672" t="s">
        <v>1082</v>
      </c>
      <c r="D20" s="666">
        <f>SUM(6D!E304,6D!E305)</f>
        <v>20000</v>
      </c>
      <c r="E20" s="666">
        <f>SUM(6D!F304,6D!F305)</f>
        <v>18790</v>
      </c>
      <c r="F20" s="655">
        <f t="shared" si="0"/>
        <v>93.95</v>
      </c>
      <c r="G20" s="667">
        <f>D20</f>
        <v>20000</v>
      </c>
      <c r="H20" s="667">
        <v>12701.56</v>
      </c>
      <c r="I20" s="807">
        <f t="shared" si="1"/>
        <v>63.50779999999999</v>
      </c>
      <c r="J20" s="690"/>
    </row>
    <row r="21" spans="1:10" s="640" customFormat="1" ht="63" customHeight="1">
      <c r="A21" s="668" t="s">
        <v>1294</v>
      </c>
      <c r="B21" s="669"/>
      <c r="C21" s="670" t="s">
        <v>1084</v>
      </c>
      <c r="D21" s="671">
        <f>SUM(D22,D23)</f>
        <v>59180</v>
      </c>
      <c r="E21" s="671">
        <f>SUM(E22,E23)</f>
        <v>55730</v>
      </c>
      <c r="F21" s="650">
        <f t="shared" si="0"/>
        <v>94.1703278134505</v>
      </c>
      <c r="G21" s="662">
        <f>SUM(G22,G23)</f>
        <v>59180</v>
      </c>
      <c r="H21" s="662">
        <f>SUM(H22,H23)</f>
        <v>35663.3</v>
      </c>
      <c r="I21" s="808">
        <f t="shared" si="1"/>
        <v>60.26241973639743</v>
      </c>
      <c r="J21" s="690"/>
    </row>
    <row r="22" spans="1:10" ht="44.25" customHeight="1">
      <c r="A22" s="673"/>
      <c r="B22" s="674" t="s">
        <v>1240</v>
      </c>
      <c r="C22" s="665" t="s">
        <v>1243</v>
      </c>
      <c r="D22" s="666">
        <f>SUM(6D!E94)</f>
        <v>6900</v>
      </c>
      <c r="E22" s="666">
        <f>SUM(6D!F94)</f>
        <v>3450</v>
      </c>
      <c r="F22" s="655">
        <f t="shared" si="0"/>
        <v>50</v>
      </c>
      <c r="G22" s="667">
        <f>D22</f>
        <v>6900</v>
      </c>
      <c r="H22" s="667">
        <v>675.65</v>
      </c>
      <c r="I22" s="807">
        <f t="shared" si="1"/>
        <v>9.792028985507246</v>
      </c>
      <c r="J22" s="690"/>
    </row>
    <row r="23" spans="1:10" ht="31.5" customHeight="1">
      <c r="A23" s="673"/>
      <c r="B23" s="674" t="s">
        <v>336</v>
      </c>
      <c r="C23" s="665" t="s">
        <v>357</v>
      </c>
      <c r="D23" s="666">
        <f>6D!E96</f>
        <v>52280</v>
      </c>
      <c r="E23" s="666">
        <f>6D!F96</f>
        <v>52280</v>
      </c>
      <c r="F23" s="655">
        <f>E23/D23*100</f>
        <v>100</v>
      </c>
      <c r="G23" s="667">
        <f>D23</f>
        <v>52280</v>
      </c>
      <c r="H23" s="667">
        <v>34987.65</v>
      </c>
      <c r="I23" s="807">
        <f>H23/G23*100</f>
        <v>66.923584544759</v>
      </c>
      <c r="J23" s="690"/>
    </row>
    <row r="24" spans="1:10" s="640" customFormat="1" ht="42" customHeight="1">
      <c r="A24" s="675" t="s">
        <v>1085</v>
      </c>
      <c r="B24" s="676"/>
      <c r="C24" s="670" t="s">
        <v>1172</v>
      </c>
      <c r="D24" s="671">
        <f>SUM(D25,D26)</f>
        <v>3820449</v>
      </c>
      <c r="E24" s="671">
        <f>SUM(E25,E26)</f>
        <v>2332640</v>
      </c>
      <c r="F24" s="650">
        <f t="shared" si="0"/>
        <v>61.05669778604557</v>
      </c>
      <c r="G24" s="662">
        <f>SUM(G25,G26)</f>
        <v>3820449</v>
      </c>
      <c r="H24" s="662">
        <f>SUM(H25,H26)</f>
        <v>2017020.51</v>
      </c>
      <c r="I24" s="808">
        <f t="shared" si="1"/>
        <v>52.79537850132275</v>
      </c>
      <c r="J24" s="690"/>
    </row>
    <row r="25" spans="1:10" ht="30" customHeight="1">
      <c r="A25" s="673"/>
      <c r="B25" s="674" t="s">
        <v>1086</v>
      </c>
      <c r="C25" s="665" t="s">
        <v>44</v>
      </c>
      <c r="D25" s="666">
        <f>SUM(6D!E308,6D!E309)</f>
        <v>3810449</v>
      </c>
      <c r="E25" s="666">
        <f>SUM(6D!F308,6D!F309)</f>
        <v>2322640</v>
      </c>
      <c r="F25" s="655">
        <f t="shared" si="0"/>
        <v>60.95449643860867</v>
      </c>
      <c r="G25" s="667">
        <f>D25</f>
        <v>3810449</v>
      </c>
      <c r="H25" s="667">
        <v>2012163.15</v>
      </c>
      <c r="I25" s="807">
        <f t="shared" si="1"/>
        <v>52.80645797909905</v>
      </c>
      <c r="J25" s="690"/>
    </row>
    <row r="26" spans="1:10" ht="20.25" customHeight="1">
      <c r="A26" s="663"/>
      <c r="B26" s="664" t="s">
        <v>1087</v>
      </c>
      <c r="C26" s="672" t="s">
        <v>1088</v>
      </c>
      <c r="D26" s="666">
        <f>SUM(6D!E99)</f>
        <v>10000</v>
      </c>
      <c r="E26" s="666">
        <f>SUM(6D!F99)</f>
        <v>10000</v>
      </c>
      <c r="F26" s="677">
        <f t="shared" si="0"/>
        <v>100</v>
      </c>
      <c r="G26" s="667">
        <f>D26</f>
        <v>10000</v>
      </c>
      <c r="H26" s="667">
        <v>4857.36</v>
      </c>
      <c r="I26" s="807">
        <f t="shared" si="1"/>
        <v>48.57359999999999</v>
      </c>
      <c r="J26" s="690"/>
    </row>
    <row r="27" spans="1:10" s="640" customFormat="1" ht="21.75" customHeight="1">
      <c r="A27" s="668" t="s">
        <v>1092</v>
      </c>
      <c r="B27" s="669"/>
      <c r="C27" s="679" t="s">
        <v>1093</v>
      </c>
      <c r="D27" s="671">
        <f>SUM(D28,D29)</f>
        <v>296</v>
      </c>
      <c r="E27" s="671">
        <f>SUM(E28,E29)</f>
        <v>0</v>
      </c>
      <c r="F27" s="650">
        <f t="shared" si="0"/>
        <v>0</v>
      </c>
      <c r="G27" s="662">
        <f>SUM(G28,G29)</f>
        <v>296</v>
      </c>
      <c r="H27" s="662">
        <f>SUM(H28,H29)</f>
        <v>0</v>
      </c>
      <c r="I27" s="808">
        <f t="shared" si="1"/>
        <v>0</v>
      </c>
      <c r="J27" s="690"/>
    </row>
    <row r="28" spans="1:10" ht="20.25" customHeight="1" hidden="1">
      <c r="A28" s="663"/>
      <c r="B28" s="664" t="s">
        <v>1094</v>
      </c>
      <c r="C28" s="672" t="s">
        <v>1095</v>
      </c>
      <c r="D28" s="666">
        <f>SUM(6D!E154)</f>
        <v>0</v>
      </c>
      <c r="E28" s="666">
        <f>SUM(6D!F154)</f>
        <v>0</v>
      </c>
      <c r="F28" s="655" t="e">
        <f t="shared" si="0"/>
        <v>#DIV/0!</v>
      </c>
      <c r="G28" s="667">
        <f>D28</f>
        <v>0</v>
      </c>
      <c r="H28" s="667">
        <f>E28</f>
        <v>0</v>
      </c>
      <c r="I28" s="807" t="e">
        <f t="shared" si="1"/>
        <v>#DIV/0!</v>
      </c>
      <c r="J28" s="690"/>
    </row>
    <row r="29" spans="1:10" ht="20.25" customHeight="1">
      <c r="A29" s="663"/>
      <c r="B29" s="664" t="s">
        <v>585</v>
      </c>
      <c r="C29" s="672" t="s">
        <v>1042</v>
      </c>
      <c r="D29" s="666">
        <f>SUM(6D!E166,6D!E167,6D!E168,6D!E169,6D!E328,6D!E329)</f>
        <v>296</v>
      </c>
      <c r="E29" s="666">
        <f>SUM(6D!F166,6D!F167,6D!F168,6D!F169,6D!F328,6D!F329)</f>
        <v>0</v>
      </c>
      <c r="F29" s="655">
        <f t="shared" si="0"/>
        <v>0</v>
      </c>
      <c r="G29" s="667">
        <f>D29</f>
        <v>296</v>
      </c>
      <c r="H29" s="667">
        <f>E29</f>
        <v>0</v>
      </c>
      <c r="I29" s="807">
        <f t="shared" si="1"/>
        <v>0</v>
      </c>
      <c r="J29" s="690"/>
    </row>
    <row r="30" spans="1:10" s="640" customFormat="1" ht="20.25" customHeight="1">
      <c r="A30" s="668" t="s">
        <v>1101</v>
      </c>
      <c r="B30" s="669"/>
      <c r="C30" s="680" t="s">
        <v>1102</v>
      </c>
      <c r="D30" s="671">
        <f>SUM(D31,D32)</f>
        <v>657000</v>
      </c>
      <c r="E30" s="671">
        <f>SUM(E31,E32)</f>
        <v>395002</v>
      </c>
      <c r="F30" s="650">
        <f t="shared" si="0"/>
        <v>60.1220700152207</v>
      </c>
      <c r="G30" s="662">
        <f>SUM(G31,G32)</f>
        <v>657000</v>
      </c>
      <c r="H30" s="662">
        <f>SUM(H31,H32)</f>
        <v>391461.87</v>
      </c>
      <c r="I30" s="808">
        <f t="shared" si="1"/>
        <v>59.583237442922375</v>
      </c>
      <c r="J30" s="690"/>
    </row>
    <row r="31" spans="1:10" ht="52.5" customHeight="1">
      <c r="A31" s="673"/>
      <c r="B31" s="674" t="s">
        <v>1285</v>
      </c>
      <c r="C31" s="665" t="s">
        <v>489</v>
      </c>
      <c r="D31" s="666">
        <f>SUM(6D!E332)</f>
        <v>654000</v>
      </c>
      <c r="E31" s="666">
        <f>SUM(6D!F332)</f>
        <v>393502</v>
      </c>
      <c r="F31" s="655">
        <f t="shared" si="0"/>
        <v>60.16850152905199</v>
      </c>
      <c r="G31" s="667">
        <f>D31</f>
        <v>654000</v>
      </c>
      <c r="H31" s="667">
        <v>391461.87</v>
      </c>
      <c r="I31" s="807">
        <f t="shared" si="1"/>
        <v>59.85655504587156</v>
      </c>
      <c r="J31" s="690"/>
    </row>
    <row r="32" spans="1:10" ht="21" customHeight="1">
      <c r="A32" s="673"/>
      <c r="B32" s="674" t="s">
        <v>596</v>
      </c>
      <c r="C32" s="665" t="s">
        <v>1042</v>
      </c>
      <c r="D32" s="666">
        <f>SUM(6D!E180,6D!E181)</f>
        <v>3000</v>
      </c>
      <c r="E32" s="666">
        <f>SUM(6D!F180,6D!F181)</f>
        <v>1500</v>
      </c>
      <c r="F32" s="655">
        <f t="shared" si="0"/>
        <v>50</v>
      </c>
      <c r="G32" s="667">
        <f>D32</f>
        <v>3000</v>
      </c>
      <c r="H32" s="667">
        <v>0</v>
      </c>
      <c r="I32" s="807">
        <f t="shared" si="1"/>
        <v>0</v>
      </c>
      <c r="J32" s="690"/>
    </row>
    <row r="33" spans="1:10" s="640" customFormat="1" ht="21" customHeight="1">
      <c r="A33" s="681" t="s">
        <v>264</v>
      </c>
      <c r="B33" s="682"/>
      <c r="C33" s="660" t="s">
        <v>275</v>
      </c>
      <c r="D33" s="661">
        <f>SUM(D34,D35,D36,D37,D38,D39,D40,D41,D42)</f>
        <v>8377900</v>
      </c>
      <c r="E33" s="661">
        <f>SUM(E34,E35,E36,E37,E38,E39,E40,E41,E42)</f>
        <v>4119633</v>
      </c>
      <c r="F33" s="650">
        <f t="shared" si="0"/>
        <v>49.17262082383414</v>
      </c>
      <c r="G33" s="678">
        <f>SUM(G34,G35,G36,G37,G38,G39,G40,G41,G42)</f>
        <v>8377900</v>
      </c>
      <c r="H33" s="678">
        <f>SUM(H34,H35,H36,H37,H38,H39,H40,H41,H42)</f>
        <v>3718194.3100000005</v>
      </c>
      <c r="I33" s="805">
        <f t="shared" si="1"/>
        <v>44.38098222704974</v>
      </c>
      <c r="J33" s="690"/>
    </row>
    <row r="34" spans="1:10" ht="19.5" customHeight="1">
      <c r="A34" s="683"/>
      <c r="B34" s="684" t="s">
        <v>276</v>
      </c>
      <c r="C34" s="653" t="s">
        <v>28</v>
      </c>
      <c r="D34" s="654">
        <f>SUM(6D!E190,6D!E337)</f>
        <v>446900</v>
      </c>
      <c r="E34" s="654">
        <f>SUM(6D!F190,6D!F337)</f>
        <v>231396</v>
      </c>
      <c r="F34" s="655">
        <f t="shared" si="0"/>
        <v>51.77802640411725</v>
      </c>
      <c r="G34" s="657">
        <f aca="true" t="shared" si="2" ref="G34:G42">D34</f>
        <v>446900</v>
      </c>
      <c r="H34" s="657">
        <v>197278.25</v>
      </c>
      <c r="I34" s="806">
        <f t="shared" si="1"/>
        <v>44.143712239874695</v>
      </c>
      <c r="J34" s="690"/>
    </row>
    <row r="35" spans="1:10" ht="78.75" customHeight="1">
      <c r="A35" s="673"/>
      <c r="B35" s="674" t="s">
        <v>266</v>
      </c>
      <c r="C35" s="1304" t="s">
        <v>635</v>
      </c>
      <c r="D35" s="666">
        <f>SUM(6D!E195)</f>
        <v>5704000</v>
      </c>
      <c r="E35" s="666">
        <f>SUM(6D!F195)</f>
        <v>2730914</v>
      </c>
      <c r="F35" s="677">
        <f t="shared" si="0"/>
        <v>47.87717391304348</v>
      </c>
      <c r="G35" s="667">
        <f t="shared" si="2"/>
        <v>5704000</v>
      </c>
      <c r="H35" s="667">
        <v>2564204.89</v>
      </c>
      <c r="I35" s="807">
        <f t="shared" si="1"/>
        <v>44.95450368162693</v>
      </c>
      <c r="J35" s="690"/>
    </row>
    <row r="36" spans="1:10" ht="111.75" customHeight="1">
      <c r="A36" s="683"/>
      <c r="B36" s="684" t="s">
        <v>267</v>
      </c>
      <c r="C36" s="653" t="s">
        <v>391</v>
      </c>
      <c r="D36" s="654">
        <f>SUM(6D!E197)</f>
        <v>84000</v>
      </c>
      <c r="E36" s="654">
        <f>SUM(6D!F197)</f>
        <v>37000</v>
      </c>
      <c r="F36" s="655">
        <f t="shared" si="0"/>
        <v>44.047619047619044</v>
      </c>
      <c r="G36" s="657">
        <f t="shared" si="2"/>
        <v>84000</v>
      </c>
      <c r="H36" s="657">
        <v>29725.72</v>
      </c>
      <c r="I36" s="806">
        <f t="shared" si="1"/>
        <v>35.3877619047619</v>
      </c>
      <c r="J36" s="690"/>
    </row>
    <row r="37" spans="1:10" ht="41.25" customHeight="1">
      <c r="A37" s="673"/>
      <c r="B37" s="674" t="s">
        <v>268</v>
      </c>
      <c r="C37" s="665" t="s">
        <v>481</v>
      </c>
      <c r="D37" s="666">
        <f>SUM(6D!E200,6D!E201)</f>
        <v>1133000</v>
      </c>
      <c r="E37" s="666">
        <f>SUM(6D!F200,6D!F201)</f>
        <v>566502</v>
      </c>
      <c r="F37" s="655">
        <f t="shared" si="0"/>
        <v>50.00017652250662</v>
      </c>
      <c r="G37" s="667">
        <f t="shared" si="2"/>
        <v>1133000</v>
      </c>
      <c r="H37" s="667">
        <v>375409.97</v>
      </c>
      <c r="I37" s="807">
        <f t="shared" si="1"/>
        <v>33.13415445719329</v>
      </c>
      <c r="J37" s="690"/>
    </row>
    <row r="38" spans="1:10" ht="26.25" customHeight="1">
      <c r="A38" s="673"/>
      <c r="B38" s="674" t="s">
        <v>603</v>
      </c>
      <c r="C38" s="685" t="s">
        <v>604</v>
      </c>
      <c r="D38" s="666">
        <f>SUM(6D!E342)</f>
        <v>2200</v>
      </c>
      <c r="E38" s="666">
        <f>SUM(6D!F342)</f>
        <v>2200</v>
      </c>
      <c r="F38" s="655">
        <f t="shared" si="0"/>
        <v>100</v>
      </c>
      <c r="G38" s="667">
        <f t="shared" si="2"/>
        <v>2200</v>
      </c>
      <c r="H38" s="667">
        <f>E38</f>
        <v>2200</v>
      </c>
      <c r="I38" s="807">
        <f t="shared" si="1"/>
        <v>100</v>
      </c>
      <c r="J38" s="690"/>
    </row>
    <row r="39" spans="1:10" ht="21" customHeight="1">
      <c r="A39" s="663"/>
      <c r="B39" s="664" t="s">
        <v>270</v>
      </c>
      <c r="C39" s="672" t="s">
        <v>1113</v>
      </c>
      <c r="D39" s="666">
        <f>SUM(6D!E208)</f>
        <v>573800</v>
      </c>
      <c r="E39" s="666">
        <f>SUM(6D!F208)</f>
        <v>291748</v>
      </c>
      <c r="F39" s="655">
        <f t="shared" si="0"/>
        <v>50.84489369118159</v>
      </c>
      <c r="G39" s="667">
        <f t="shared" si="2"/>
        <v>573800</v>
      </c>
      <c r="H39" s="667">
        <f>E39</f>
        <v>291748</v>
      </c>
      <c r="I39" s="807">
        <f t="shared" si="1"/>
        <v>50.84489369118159</v>
      </c>
      <c r="J39" s="690"/>
    </row>
    <row r="40" spans="1:10" ht="54" customHeight="1" hidden="1">
      <c r="A40" s="663"/>
      <c r="B40" s="664" t="s">
        <v>772</v>
      </c>
      <c r="C40" s="665" t="s">
        <v>773</v>
      </c>
      <c r="D40" s="666">
        <f>SUM(6D!E344)</f>
        <v>0</v>
      </c>
      <c r="E40" s="666">
        <f>SUM(6D!F344)</f>
        <v>0</v>
      </c>
      <c r="F40" s="655" t="e">
        <f t="shared" si="0"/>
        <v>#DIV/0!</v>
      </c>
      <c r="G40" s="667">
        <f t="shared" si="2"/>
        <v>0</v>
      </c>
      <c r="H40" s="667">
        <f>E40</f>
        <v>0</v>
      </c>
      <c r="I40" s="807" t="e">
        <f aca="true" t="shared" si="3" ref="I40:I52">H40/G40*100</f>
        <v>#DIV/0!</v>
      </c>
      <c r="J40" s="690"/>
    </row>
    <row r="41" spans="1:10" ht="39.75" customHeight="1">
      <c r="A41" s="673"/>
      <c r="B41" s="674" t="s">
        <v>272</v>
      </c>
      <c r="C41" s="665" t="s">
        <v>1116</v>
      </c>
      <c r="D41" s="666">
        <f>SUM(6D!E212)</f>
        <v>79000</v>
      </c>
      <c r="E41" s="666">
        <f>SUM(6D!F212)</f>
        <v>39498</v>
      </c>
      <c r="F41" s="655">
        <f t="shared" si="0"/>
        <v>49.99746835443038</v>
      </c>
      <c r="G41" s="667">
        <f t="shared" si="2"/>
        <v>79000</v>
      </c>
      <c r="H41" s="667">
        <v>37585.72</v>
      </c>
      <c r="I41" s="807">
        <f t="shared" si="3"/>
        <v>47.57686075949367</v>
      </c>
      <c r="J41" s="690"/>
    </row>
    <row r="42" spans="1:10" ht="21.75" customHeight="1">
      <c r="A42" s="673"/>
      <c r="B42" s="674" t="s">
        <v>274</v>
      </c>
      <c r="C42" s="665" t="s">
        <v>1042</v>
      </c>
      <c r="D42" s="666">
        <f>SUM(6D!E215,6D!E216)</f>
        <v>355000</v>
      </c>
      <c r="E42" s="666">
        <f>SUM(6D!F215,6D!F216)</f>
        <v>220375</v>
      </c>
      <c r="F42" s="655">
        <f t="shared" si="0"/>
        <v>62.07746478873239</v>
      </c>
      <c r="G42" s="667">
        <f t="shared" si="2"/>
        <v>355000</v>
      </c>
      <c r="H42" s="667">
        <v>220041.76</v>
      </c>
      <c r="I42" s="807">
        <f t="shared" si="3"/>
        <v>61.98359436619718</v>
      </c>
      <c r="J42" s="690"/>
    </row>
    <row r="43" spans="1:10" s="640" customFormat="1" ht="37.5" customHeight="1">
      <c r="A43" s="675" t="s">
        <v>1105</v>
      </c>
      <c r="B43" s="676"/>
      <c r="C43" s="670" t="s">
        <v>605</v>
      </c>
      <c r="D43" s="671">
        <f>SUM(D44,D45)</f>
        <v>39325</v>
      </c>
      <c r="E43" s="671">
        <f>SUM(E44,E45)</f>
        <v>22825</v>
      </c>
      <c r="F43" s="650">
        <f t="shared" si="0"/>
        <v>58.04195804195804</v>
      </c>
      <c r="G43" s="662">
        <f>SUM(G44,G45)</f>
        <v>39325</v>
      </c>
      <c r="H43" s="662">
        <f>SUM(H44,H45)</f>
        <v>22824.239999999998</v>
      </c>
      <c r="I43" s="808">
        <f t="shared" si="3"/>
        <v>58.04002542911634</v>
      </c>
      <c r="J43" s="690"/>
    </row>
    <row r="44" spans="1:10" ht="26.25" customHeight="1">
      <c r="A44" s="673"/>
      <c r="B44" s="674" t="s">
        <v>1115</v>
      </c>
      <c r="C44" s="665" t="s">
        <v>73</v>
      </c>
      <c r="D44" s="666">
        <f>SUM(6D!E347)</f>
        <v>33000</v>
      </c>
      <c r="E44" s="666">
        <f>SUM(6D!F347)</f>
        <v>16500</v>
      </c>
      <c r="F44" s="655">
        <f t="shared" si="0"/>
        <v>50</v>
      </c>
      <c r="G44" s="667">
        <f>D44</f>
        <v>33000</v>
      </c>
      <c r="H44" s="667">
        <f>E44</f>
        <v>16500</v>
      </c>
      <c r="I44" s="807">
        <f t="shared" si="3"/>
        <v>50</v>
      </c>
      <c r="J44" s="690"/>
    </row>
    <row r="45" spans="1:10" ht="20.25" customHeight="1">
      <c r="A45" s="673"/>
      <c r="B45" s="674" t="s">
        <v>358</v>
      </c>
      <c r="C45" s="665" t="s">
        <v>359</v>
      </c>
      <c r="D45" s="666">
        <f>6D!E353</f>
        <v>6325</v>
      </c>
      <c r="E45" s="666">
        <f>6D!F353</f>
        <v>6325</v>
      </c>
      <c r="F45" s="655">
        <f>E45/D45*100</f>
        <v>100</v>
      </c>
      <c r="G45" s="667">
        <f>D45</f>
        <v>6325</v>
      </c>
      <c r="H45" s="667">
        <v>6324.24</v>
      </c>
      <c r="I45" s="807">
        <f>H45/G45*100</f>
        <v>99.9879841897233</v>
      </c>
      <c r="J45" s="690"/>
    </row>
    <row r="46" spans="1:10" s="640" customFormat="1" ht="29.25" customHeight="1">
      <c r="A46" s="675" t="s">
        <v>1117</v>
      </c>
      <c r="B46" s="676"/>
      <c r="C46" s="670" t="s">
        <v>1121</v>
      </c>
      <c r="D46" s="671">
        <f>SUM(D47,D48,D49)</f>
        <v>112577</v>
      </c>
      <c r="E46" s="671">
        <f>SUM(E47,E48,E49)</f>
        <v>85950</v>
      </c>
      <c r="F46" s="650">
        <f t="shared" si="0"/>
        <v>76.34774421062916</v>
      </c>
      <c r="G46" s="662">
        <f>SUM(G47,G48,G49)</f>
        <v>112577</v>
      </c>
      <c r="H46" s="662">
        <f>SUM(H47,H48,H49)</f>
        <v>45251</v>
      </c>
      <c r="I46" s="808">
        <f t="shared" si="3"/>
        <v>40.195599456372086</v>
      </c>
      <c r="J46" s="690"/>
    </row>
    <row r="47" spans="1:10" ht="37.5" customHeight="1" hidden="1">
      <c r="A47" s="673"/>
      <c r="B47" s="674" t="s">
        <v>1123</v>
      </c>
      <c r="C47" s="665" t="s">
        <v>1109</v>
      </c>
      <c r="D47" s="666">
        <f>SUM(6D!E361)</f>
        <v>0</v>
      </c>
      <c r="E47" s="666">
        <f>SUM(6D!F361)</f>
        <v>0</v>
      </c>
      <c r="F47" s="655" t="e">
        <f t="shared" si="0"/>
        <v>#DIV/0!</v>
      </c>
      <c r="G47" s="667">
        <f>D47</f>
        <v>0</v>
      </c>
      <c r="H47" s="667">
        <f>E47</f>
        <v>0</v>
      </c>
      <c r="I47" s="807" t="e">
        <f t="shared" si="3"/>
        <v>#DIV/0!</v>
      </c>
      <c r="J47" s="690"/>
    </row>
    <row r="48" spans="1:10" ht="20.25" customHeight="1">
      <c r="A48" s="673"/>
      <c r="B48" s="674" t="s">
        <v>1174</v>
      </c>
      <c r="C48" s="665" t="s">
        <v>1175</v>
      </c>
      <c r="D48" s="666">
        <f>SUM(6D!E228,6D!E365)</f>
        <v>112577</v>
      </c>
      <c r="E48" s="666">
        <f>SUM(6D!F228,6D!F365)</f>
        <v>85950</v>
      </c>
      <c r="F48" s="655">
        <f t="shared" si="0"/>
        <v>76.34774421062916</v>
      </c>
      <c r="G48" s="667">
        <f>D48</f>
        <v>112577</v>
      </c>
      <c r="H48" s="667">
        <v>45251</v>
      </c>
      <c r="I48" s="807">
        <f t="shared" si="3"/>
        <v>40.195599456372086</v>
      </c>
      <c r="J48" s="690"/>
    </row>
    <row r="49" spans="1:10" ht="20.25" customHeight="1" hidden="1">
      <c r="A49" s="809"/>
      <c r="B49" s="810" t="s">
        <v>618</v>
      </c>
      <c r="C49" s="665" t="s">
        <v>1042</v>
      </c>
      <c r="D49" s="811">
        <f>SUM(6D!E371,6D!E372)</f>
        <v>0</v>
      </c>
      <c r="E49" s="811">
        <f>SUM(6D!F371,6D!F372)</f>
        <v>0</v>
      </c>
      <c r="F49" s="655" t="e">
        <f t="shared" si="0"/>
        <v>#DIV/0!</v>
      </c>
      <c r="G49" s="667">
        <f>D49</f>
        <v>0</v>
      </c>
      <c r="H49" s="667">
        <f>E49</f>
        <v>0</v>
      </c>
      <c r="I49" s="807" t="e">
        <f t="shared" si="3"/>
        <v>#DIV/0!</v>
      </c>
      <c r="J49" s="690"/>
    </row>
    <row r="50" spans="1:10" s="640" customFormat="1" ht="26.25" customHeight="1">
      <c r="A50" s="675" t="s">
        <v>1206</v>
      </c>
      <c r="B50" s="676"/>
      <c r="C50" s="670" t="s">
        <v>1207</v>
      </c>
      <c r="D50" s="671">
        <f>SUM(D51)</f>
        <v>333000</v>
      </c>
      <c r="E50" s="671">
        <f>SUM(E51)</f>
        <v>0</v>
      </c>
      <c r="F50" s="650">
        <f>E50/D50*100</f>
        <v>0</v>
      </c>
      <c r="G50" s="662">
        <f>SUM(G51)</f>
        <v>333000</v>
      </c>
      <c r="H50" s="662">
        <f>SUM(H51)</f>
        <v>0</v>
      </c>
      <c r="I50" s="808">
        <f>H50/G50*100</f>
        <v>0</v>
      </c>
      <c r="J50" s="690"/>
    </row>
    <row r="51" spans="1:10" ht="21" customHeight="1">
      <c r="A51" s="673"/>
      <c r="B51" s="674" t="s">
        <v>1211</v>
      </c>
      <c r="C51" s="665" t="s">
        <v>1212</v>
      </c>
      <c r="D51" s="666">
        <f>SUM(6D!E260)</f>
        <v>333000</v>
      </c>
      <c r="E51" s="666">
        <f>SUM(6D!F260)</f>
        <v>0</v>
      </c>
      <c r="F51" s="655">
        <f>E51/D51*100</f>
        <v>0</v>
      </c>
      <c r="G51" s="667">
        <f>D51</f>
        <v>333000</v>
      </c>
      <c r="H51" s="667">
        <f>E51</f>
        <v>0</v>
      </c>
      <c r="I51" s="807">
        <f>H51/G51*100</f>
        <v>0</v>
      </c>
      <c r="J51" s="690"/>
    </row>
    <row r="52" spans="1:10" s="640" customFormat="1" ht="21.75" customHeight="1" thickBot="1">
      <c r="A52" s="1434" t="s">
        <v>1295</v>
      </c>
      <c r="B52" s="1435"/>
      <c r="C52" s="1435"/>
      <c r="D52" s="686">
        <f>SUM(D8,D10,D12,D14,D18,D21,D24,D27,D30,D33,D43,D46,D50)</f>
        <v>14426939.75</v>
      </c>
      <c r="E52" s="686">
        <f>SUM(E8,E10,E12,E14,E18,E21,E24,E27,E30,E33,E43,E46,E50)</f>
        <v>7514488.75</v>
      </c>
      <c r="F52" s="687">
        <f>E52/D52*100</f>
        <v>52.08650538656335</v>
      </c>
      <c r="G52" s="686">
        <f>SUM(G8,G10,G12,G14,G18,G21,G24,G27,G30,G33,G43,G46,G50)</f>
        <v>14426939.75</v>
      </c>
      <c r="H52" s="686">
        <f>SUM(H8,H10,H12,H14,H18,H21,H24,H27,H30,H33,H43,H46,H50)</f>
        <v>6701123.170000001</v>
      </c>
      <c r="I52" s="812">
        <f t="shared" si="3"/>
        <v>46.448680635822306</v>
      </c>
      <c r="J52" s="690"/>
    </row>
    <row r="53" spans="1:10" s="814" customFormat="1" ht="15" customHeight="1">
      <c r="A53" s="1432" t="s">
        <v>1152</v>
      </c>
      <c r="B53" s="1432"/>
      <c r="C53" s="1432"/>
      <c r="D53" s="1432"/>
      <c r="E53" s="1432"/>
      <c r="F53" s="1432"/>
      <c r="G53" s="1432"/>
      <c r="H53" s="1432"/>
      <c r="I53" s="1432"/>
      <c r="J53" s="813"/>
    </row>
    <row r="54" spans="4:9" ht="12.75">
      <c r="D54" s="688"/>
      <c r="E54" s="688"/>
      <c r="F54" s="689"/>
      <c r="G54" s="690"/>
      <c r="H54" s="688"/>
      <c r="I54" s="691"/>
    </row>
    <row r="55" spans="4:9" ht="12.75">
      <c r="D55" s="688"/>
      <c r="E55" s="688"/>
      <c r="F55" s="688"/>
      <c r="G55" s="688"/>
      <c r="H55" s="688"/>
      <c r="I55" s="692"/>
    </row>
    <row r="56" spans="4:9" ht="12.75">
      <c r="D56" s="540"/>
      <c r="E56" s="540"/>
      <c r="F56" s="689"/>
      <c r="G56" s="692"/>
      <c r="H56" s="540"/>
      <c r="I56" s="691"/>
    </row>
    <row r="57" spans="4:9" ht="12.75">
      <c r="D57" s="540"/>
      <c r="E57" s="540"/>
      <c r="F57" s="689"/>
      <c r="G57" s="692"/>
      <c r="H57" s="540"/>
      <c r="I57" s="691"/>
    </row>
    <row r="58" spans="4:9" ht="12.75">
      <c r="D58" s="540"/>
      <c r="E58" s="540"/>
      <c r="F58" s="689"/>
      <c r="G58" s="692"/>
      <c r="H58" s="540"/>
      <c r="I58" s="691"/>
    </row>
    <row r="59" spans="4:9" ht="12.75">
      <c r="D59" s="540"/>
      <c r="E59" s="540"/>
      <c r="F59" s="689"/>
      <c r="G59" s="692"/>
      <c r="H59" s="540"/>
      <c r="I59" s="691"/>
    </row>
    <row r="60" spans="4:9" ht="12.75">
      <c r="D60" s="540"/>
      <c r="E60" s="540"/>
      <c r="F60" s="689"/>
      <c r="G60" s="692"/>
      <c r="H60" s="540"/>
      <c r="I60" s="691"/>
    </row>
    <row r="61" spans="4:9" ht="12.75">
      <c r="D61" s="540"/>
      <c r="E61" s="543"/>
      <c r="F61" s="689"/>
      <c r="G61" s="692"/>
      <c r="H61" s="540"/>
      <c r="I61" s="691"/>
    </row>
    <row r="62" spans="4:9" ht="12.75">
      <c r="D62" s="540"/>
      <c r="E62" s="543"/>
      <c r="F62" s="689"/>
      <c r="G62" s="692"/>
      <c r="H62" s="540"/>
      <c r="I62" s="691"/>
    </row>
    <row r="63" spans="4:9" ht="12.75">
      <c r="D63" s="540"/>
      <c r="E63" s="540"/>
      <c r="F63" s="689"/>
      <c r="G63" s="692"/>
      <c r="H63" s="540"/>
      <c r="I63" s="691"/>
    </row>
    <row r="64" spans="4:9" ht="12.75">
      <c r="D64" s="540"/>
      <c r="E64" s="540"/>
      <c r="F64" s="689"/>
      <c r="G64" s="692"/>
      <c r="H64" s="540"/>
      <c r="I64" s="691"/>
    </row>
    <row r="65" spans="4:9" ht="12.75">
      <c r="D65" s="540"/>
      <c r="E65" s="540"/>
      <c r="F65" s="689"/>
      <c r="G65" s="692"/>
      <c r="H65" s="540"/>
      <c r="I65" s="691"/>
    </row>
    <row r="66" spans="4:9" ht="12.75">
      <c r="D66" s="540"/>
      <c r="E66" s="540"/>
      <c r="F66" s="689"/>
      <c r="G66" s="692"/>
      <c r="H66" s="540"/>
      <c r="I66" s="691"/>
    </row>
    <row r="67" spans="4:9" ht="12.75">
      <c r="D67" s="540"/>
      <c r="E67" s="540"/>
      <c r="F67" s="689"/>
      <c r="G67" s="692"/>
      <c r="H67" s="540"/>
      <c r="I67" s="691"/>
    </row>
    <row r="68" spans="4:9" ht="12.75">
      <c r="D68" s="540"/>
      <c r="E68" s="540"/>
      <c r="F68" s="689"/>
      <c r="G68" s="692"/>
      <c r="H68" s="540"/>
      <c r="I68" s="691"/>
    </row>
    <row r="69" spans="4:9" ht="12.75">
      <c r="D69" s="540"/>
      <c r="E69" s="540"/>
      <c r="F69" s="689"/>
      <c r="G69" s="692"/>
      <c r="H69" s="540"/>
      <c r="I69" s="691"/>
    </row>
    <row r="70" spans="4:9" ht="12.75">
      <c r="D70" s="540"/>
      <c r="E70" s="540"/>
      <c r="F70" s="689"/>
      <c r="G70" s="692"/>
      <c r="H70" s="540"/>
      <c r="I70" s="691"/>
    </row>
    <row r="71" spans="4:9" ht="12.75">
      <c r="D71" s="540"/>
      <c r="E71" s="540"/>
      <c r="F71" s="689"/>
      <c r="G71" s="692"/>
      <c r="H71" s="540"/>
      <c r="I71" s="691"/>
    </row>
    <row r="72" spans="4:9" ht="12.75">
      <c r="D72" s="540"/>
      <c r="E72" s="540"/>
      <c r="F72" s="689"/>
      <c r="G72" s="692"/>
      <c r="H72" s="540"/>
      <c r="I72" s="691"/>
    </row>
    <row r="73" spans="4:9" ht="12.75">
      <c r="D73" s="540"/>
      <c r="E73" s="540"/>
      <c r="F73" s="689"/>
      <c r="G73" s="692"/>
      <c r="H73" s="540"/>
      <c r="I73" s="691"/>
    </row>
    <row r="74" spans="4:9" ht="12.75">
      <c r="D74" s="540"/>
      <c r="E74" s="540"/>
      <c r="F74" s="689"/>
      <c r="G74" s="692"/>
      <c r="H74" s="540"/>
      <c r="I74" s="691"/>
    </row>
    <row r="75" spans="4:9" ht="12.75">
      <c r="D75" s="540"/>
      <c r="E75" s="540"/>
      <c r="F75" s="689"/>
      <c r="G75" s="692"/>
      <c r="H75" s="540"/>
      <c r="I75" s="691"/>
    </row>
    <row r="76" spans="4:9" ht="12.75">
      <c r="D76" s="540"/>
      <c r="E76" s="540"/>
      <c r="F76" s="689"/>
      <c r="G76" s="692"/>
      <c r="H76" s="540"/>
      <c r="I76" s="691"/>
    </row>
    <row r="77" ht="12.75">
      <c r="I77" s="691"/>
    </row>
    <row r="78" ht="12.75">
      <c r="I78" s="691"/>
    </row>
    <row r="79" ht="12.75">
      <c r="I79" s="691"/>
    </row>
    <row r="80" ht="12.75">
      <c r="I80" s="691"/>
    </row>
    <row r="81" ht="12.75">
      <c r="I81" s="691"/>
    </row>
    <row r="82" ht="12.75">
      <c r="I82" s="691"/>
    </row>
    <row r="83" ht="12.75">
      <c r="I83" s="691"/>
    </row>
    <row r="84" ht="12.75">
      <c r="I84" s="691"/>
    </row>
    <row r="85" ht="12.75">
      <c r="I85" s="691"/>
    </row>
    <row r="86" ht="12.75">
      <c r="I86" s="691"/>
    </row>
    <row r="87" ht="12.75">
      <c r="I87" s="691"/>
    </row>
    <row r="88" ht="12.75">
      <c r="I88" s="691"/>
    </row>
    <row r="89" ht="12.75">
      <c r="I89" s="691"/>
    </row>
    <row r="90" ht="12.75">
      <c r="I90" s="691"/>
    </row>
    <row r="91" ht="12.75">
      <c r="I91" s="691"/>
    </row>
    <row r="92" ht="12.75">
      <c r="I92" s="691"/>
    </row>
    <row r="93" ht="12.75">
      <c r="I93" s="691"/>
    </row>
    <row r="94" ht="12.75">
      <c r="I94" s="691"/>
    </row>
    <row r="95" ht="12.75">
      <c r="I95" s="691"/>
    </row>
    <row r="96" ht="12.75">
      <c r="I96" s="691"/>
    </row>
    <row r="97" ht="12.75">
      <c r="I97" s="691"/>
    </row>
    <row r="98" ht="12.75">
      <c r="I98" s="691"/>
    </row>
    <row r="99" ht="12.75">
      <c r="I99" s="691"/>
    </row>
    <row r="100" ht="12.75">
      <c r="I100" s="691"/>
    </row>
    <row r="101" ht="12.75">
      <c r="I101" s="691"/>
    </row>
    <row r="102" ht="12.75">
      <c r="I102" s="691"/>
    </row>
    <row r="103" ht="12.75">
      <c r="I103" s="691"/>
    </row>
    <row r="104" ht="12.75">
      <c r="I104" s="691"/>
    </row>
    <row r="105" ht="12.75">
      <c r="I105" s="691"/>
    </row>
    <row r="106" ht="12.75">
      <c r="I106" s="691"/>
    </row>
    <row r="107" ht="12.75">
      <c r="I107" s="691"/>
    </row>
    <row r="108" ht="12.75">
      <c r="I108" s="691"/>
    </row>
    <row r="109" ht="12.75">
      <c r="I109" s="691"/>
    </row>
    <row r="110" ht="12.75">
      <c r="I110" s="691"/>
    </row>
    <row r="111" ht="12.75">
      <c r="I111" s="691"/>
    </row>
    <row r="112" ht="12.75">
      <c r="I112" s="691"/>
    </row>
    <row r="113" ht="12.75">
      <c r="I113" s="691"/>
    </row>
    <row r="114" ht="12.75">
      <c r="I114" s="691"/>
    </row>
    <row r="115" ht="12.75">
      <c r="I115" s="691"/>
    </row>
    <row r="116" ht="12.75">
      <c r="I116" s="691"/>
    </row>
    <row r="117" ht="12.75">
      <c r="I117" s="691"/>
    </row>
    <row r="118" ht="12.75">
      <c r="I118" s="691"/>
    </row>
    <row r="119" ht="12.75">
      <c r="I119" s="691"/>
    </row>
    <row r="120" ht="12.75">
      <c r="I120" s="691"/>
    </row>
    <row r="121" ht="12.75">
      <c r="I121" s="691"/>
    </row>
    <row r="122" ht="12.75">
      <c r="I122" s="691"/>
    </row>
    <row r="123" ht="12.75">
      <c r="I123" s="691"/>
    </row>
    <row r="124" ht="12.75">
      <c r="I124" s="691"/>
    </row>
    <row r="125" ht="12.75">
      <c r="I125" s="691"/>
    </row>
    <row r="126" ht="12.75">
      <c r="I126" s="691"/>
    </row>
    <row r="127" ht="12.75">
      <c r="I127" s="691"/>
    </row>
    <row r="128" ht="12.75">
      <c r="I128" s="691"/>
    </row>
    <row r="129" ht="12.75">
      <c r="I129" s="691"/>
    </row>
    <row r="130" ht="12.75">
      <c r="I130" s="691"/>
    </row>
    <row r="131" ht="12.75">
      <c r="I131" s="691"/>
    </row>
    <row r="132" ht="12.75">
      <c r="I132" s="691"/>
    </row>
    <row r="133" ht="12.75">
      <c r="I133" s="691"/>
    </row>
    <row r="134" ht="12.75">
      <c r="I134" s="691"/>
    </row>
    <row r="135" ht="12.75">
      <c r="I135" s="691"/>
    </row>
    <row r="136" ht="12.75">
      <c r="I136" s="691"/>
    </row>
    <row r="137" ht="12.75">
      <c r="I137" s="691"/>
    </row>
    <row r="138" ht="12.75">
      <c r="I138" s="691"/>
    </row>
    <row r="139" ht="12.75">
      <c r="I139" s="691"/>
    </row>
    <row r="140" ht="12.75">
      <c r="I140" s="691"/>
    </row>
    <row r="141" ht="12.75">
      <c r="I141" s="691"/>
    </row>
    <row r="142" ht="12.75">
      <c r="I142" s="691"/>
    </row>
    <row r="143" ht="12.75">
      <c r="I143" s="691"/>
    </row>
    <row r="144" ht="12.75">
      <c r="I144" s="691"/>
    </row>
    <row r="145" ht="12.75">
      <c r="I145" s="691"/>
    </row>
    <row r="146" ht="12.75">
      <c r="I146" s="691"/>
    </row>
    <row r="147" ht="12.75">
      <c r="I147" s="691"/>
    </row>
    <row r="148" ht="12.75">
      <c r="I148" s="691"/>
    </row>
    <row r="149" ht="12.75">
      <c r="I149" s="691"/>
    </row>
    <row r="150" ht="12.75">
      <c r="I150" s="691"/>
    </row>
    <row r="151" ht="12.75">
      <c r="I151" s="691"/>
    </row>
    <row r="152" ht="12.75">
      <c r="I152" s="691"/>
    </row>
    <row r="153" ht="12.75">
      <c r="I153" s="691"/>
    </row>
    <row r="154" ht="12.75">
      <c r="I154" s="691"/>
    </row>
    <row r="155" ht="12.75">
      <c r="I155" s="691"/>
    </row>
    <row r="156" ht="12.75">
      <c r="I156" s="691"/>
    </row>
    <row r="157" ht="12.75">
      <c r="I157" s="691"/>
    </row>
    <row r="158" ht="12.75">
      <c r="I158" s="691"/>
    </row>
    <row r="159" ht="12.75">
      <c r="I159" s="691"/>
    </row>
    <row r="160" ht="12.75">
      <c r="I160" s="691"/>
    </row>
    <row r="161" ht="12.75">
      <c r="I161" s="691"/>
    </row>
    <row r="162" ht="12.75">
      <c r="I162" s="691"/>
    </row>
    <row r="163" ht="12.75">
      <c r="I163" s="691"/>
    </row>
    <row r="164" ht="12.75">
      <c r="I164" s="691"/>
    </row>
    <row r="165" ht="12.75">
      <c r="I165" s="691"/>
    </row>
    <row r="166" ht="12.75">
      <c r="I166" s="691"/>
    </row>
    <row r="167" ht="12.75">
      <c r="I167" s="691"/>
    </row>
    <row r="168" ht="12.75">
      <c r="I168" s="691"/>
    </row>
  </sheetData>
  <sheetProtection password="CF93" sheet="1" objects="1" scenarios="1" selectLockedCells="1" selectUnlockedCells="1"/>
  <mergeCells count="10">
    <mergeCell ref="A53:I53"/>
    <mergeCell ref="H1:I1"/>
    <mergeCell ref="A52:C52"/>
    <mergeCell ref="H4:I4"/>
    <mergeCell ref="D5:F5"/>
    <mergeCell ref="G5:I5"/>
    <mergeCell ref="A5:A6"/>
    <mergeCell ref="B5:B6"/>
    <mergeCell ref="C5:C6"/>
    <mergeCell ref="A3:I3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61"/>
  <sheetViews>
    <sheetView defaultGridColor="0" view="pageBreakPreview" zoomScaleSheetLayoutView="100" colorId="8" workbookViewId="0" topLeftCell="A1">
      <pane ySplit="8" topLeftCell="I48" activePane="bottomLeft" state="frozen"/>
      <selection pane="topLeft" activeCell="A1" sqref="A1"/>
      <selection pane="bottomLeft" activeCell="A60" sqref="A60:IV62"/>
    </sheetView>
  </sheetViews>
  <sheetFormatPr defaultColWidth="9.00390625" defaultRowHeight="12.75"/>
  <cols>
    <col min="1" max="1" width="14.75390625" style="55" customWidth="1"/>
    <col min="2" max="2" width="14.00390625" style="55" customWidth="1"/>
    <col min="3" max="3" width="14.25390625" style="56" customWidth="1"/>
    <col min="4" max="4" width="14.875" style="56" customWidth="1"/>
    <col min="5" max="5" width="13.625" style="56" customWidth="1"/>
    <col min="6" max="6" width="15.625" style="56" customWidth="1"/>
    <col min="7" max="7" width="15.75390625" style="56" customWidth="1"/>
    <col min="8" max="8" width="12.25390625" style="56" customWidth="1"/>
    <col min="9" max="9" width="15.875" style="56" customWidth="1"/>
    <col min="10" max="16384" width="9.125" style="56" customWidth="1"/>
  </cols>
  <sheetData>
    <row r="1" spans="1:10" ht="12.75">
      <c r="A1" s="702"/>
      <c r="B1" s="702"/>
      <c r="C1" s="595"/>
      <c r="D1" s="595"/>
      <c r="E1" s="595"/>
      <c r="F1" s="595"/>
      <c r="G1" s="595"/>
      <c r="H1" s="595"/>
      <c r="I1" s="716" t="s">
        <v>820</v>
      </c>
      <c r="J1" s="574"/>
    </row>
    <row r="2" spans="1:9" ht="21" customHeight="1">
      <c r="A2" s="702"/>
      <c r="B2" s="702"/>
      <c r="C2" s="595"/>
      <c r="D2" s="595"/>
      <c r="E2" s="595"/>
      <c r="F2" s="595"/>
      <c r="G2" s="595"/>
      <c r="H2" s="595"/>
      <c r="I2" s="595"/>
    </row>
    <row r="3" spans="1:9" ht="25.5" customHeight="1">
      <c r="A3" s="1447" t="s">
        <v>1296</v>
      </c>
      <c r="B3" s="1447"/>
      <c r="C3" s="1447"/>
      <c r="D3" s="1447"/>
      <c r="E3" s="1447"/>
      <c r="F3" s="1447"/>
      <c r="G3" s="1447"/>
      <c r="H3" s="1447"/>
      <c r="I3" s="1447"/>
    </row>
    <row r="4" spans="1:9" ht="12" customHeight="1" thickBot="1">
      <c r="A4" s="702"/>
      <c r="B4" s="702"/>
      <c r="C4" s="595"/>
      <c r="D4" s="595"/>
      <c r="E4" s="595"/>
      <c r="F4" s="595"/>
      <c r="G4" s="595"/>
      <c r="H4" s="595"/>
      <c r="I4" s="717" t="s">
        <v>1035</v>
      </c>
    </row>
    <row r="5" spans="1:9" s="55" customFormat="1" ht="17.25" customHeight="1">
      <c r="A5" s="1448" t="s">
        <v>1037</v>
      </c>
      <c r="B5" s="1453" t="s">
        <v>1036</v>
      </c>
      <c r="C5" s="1450" t="s">
        <v>765</v>
      </c>
      <c r="D5" s="1450" t="s">
        <v>766</v>
      </c>
      <c r="E5" s="1450" t="s">
        <v>5</v>
      </c>
      <c r="F5" s="1450"/>
      <c r="G5" s="1450"/>
      <c r="H5" s="1450"/>
      <c r="I5" s="1455"/>
    </row>
    <row r="6" spans="1:9" s="55" customFormat="1" ht="16.5" customHeight="1">
      <c r="A6" s="1449"/>
      <c r="B6" s="1451"/>
      <c r="C6" s="1451"/>
      <c r="D6" s="1452"/>
      <c r="E6" s="1452" t="s">
        <v>767</v>
      </c>
      <c r="F6" s="1452" t="s">
        <v>176</v>
      </c>
      <c r="G6" s="1452"/>
      <c r="H6" s="1452"/>
      <c r="I6" s="1454" t="s">
        <v>768</v>
      </c>
    </row>
    <row r="7" spans="1:9" s="55" customFormat="1" ht="28.5" customHeight="1">
      <c r="A7" s="1449"/>
      <c r="B7" s="1451"/>
      <c r="C7" s="1451"/>
      <c r="D7" s="1452"/>
      <c r="E7" s="1452"/>
      <c r="F7" s="718" t="s">
        <v>769</v>
      </c>
      <c r="G7" s="718" t="s">
        <v>770</v>
      </c>
      <c r="H7" s="718" t="s">
        <v>771</v>
      </c>
      <c r="I7" s="1454"/>
    </row>
    <row r="8" spans="1:9" ht="14.25" customHeight="1">
      <c r="A8" s="80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19">
        <v>9</v>
      </c>
    </row>
    <row r="9" spans="1:9" s="721" customFormat="1" ht="19.5" customHeight="1">
      <c r="A9" s="634" t="s">
        <v>1038</v>
      </c>
      <c r="B9" s="635" t="s">
        <v>326</v>
      </c>
      <c r="C9" s="703">
        <f>SUM(C11,C13,C15,C17,C19,C21,C23,C25,C27,C29,C31)</f>
        <v>7256897.75</v>
      </c>
      <c r="D9" s="703">
        <f aca="true" t="shared" si="0" ref="D9:I9">SUM(D11,D13,D15,D17,D19,D21,D23,D25,D27,D29,D31)</f>
        <v>7256897.75</v>
      </c>
      <c r="E9" s="703">
        <f t="shared" si="0"/>
        <v>7256897.75</v>
      </c>
      <c r="F9" s="703">
        <f t="shared" si="0"/>
        <v>553205</v>
      </c>
      <c r="G9" s="703">
        <f t="shared" si="0"/>
        <v>165793</v>
      </c>
      <c r="H9" s="703">
        <f t="shared" si="0"/>
        <v>6238080</v>
      </c>
      <c r="I9" s="740">
        <f t="shared" si="0"/>
        <v>0</v>
      </c>
    </row>
    <row r="10" spans="1:9" ht="19.5" customHeight="1">
      <c r="A10" s="704" t="s">
        <v>1039</v>
      </c>
      <c r="B10" s="705" t="s">
        <v>326</v>
      </c>
      <c r="C10" s="584">
        <f>SUM(C12,C14,C16,C18,C20,C22,C24,C26,C28,C30,C32)</f>
        <v>3544306.75</v>
      </c>
      <c r="D10" s="584">
        <f aca="true" t="shared" si="1" ref="D10:I10">SUM(D12,D14,D16,D18,D20,D22,D24,D26,D28,D30,D32)</f>
        <v>3316611.7100000004</v>
      </c>
      <c r="E10" s="584">
        <f t="shared" si="1"/>
        <v>3316611.7100000004</v>
      </c>
      <c r="F10" s="584">
        <f t="shared" si="1"/>
        <v>264437.76999999996</v>
      </c>
      <c r="G10" s="584">
        <f t="shared" si="1"/>
        <v>64242.03</v>
      </c>
      <c r="H10" s="584">
        <f t="shared" si="1"/>
        <v>2821384.2800000003</v>
      </c>
      <c r="I10" s="741">
        <f t="shared" si="1"/>
        <v>0</v>
      </c>
    </row>
    <row r="11" spans="1:9" s="721" customFormat="1" ht="19.5" customHeight="1">
      <c r="A11" s="693" t="s">
        <v>1038</v>
      </c>
      <c r="B11" s="698" t="s">
        <v>498</v>
      </c>
      <c r="C11" s="695">
        <f>SUM(6D!E10)</f>
        <v>16017.75</v>
      </c>
      <c r="D11" s="695">
        <f aca="true" t="shared" si="2" ref="D11:D28">SUM(E11,I11)</f>
        <v>16017.75</v>
      </c>
      <c r="E11" s="695">
        <v>16017.75</v>
      </c>
      <c r="F11" s="695">
        <v>0</v>
      </c>
      <c r="G11" s="695">
        <v>0</v>
      </c>
      <c r="H11" s="695">
        <v>0</v>
      </c>
      <c r="I11" s="720">
        <v>0</v>
      </c>
    </row>
    <row r="12" spans="1:9" ht="19.5" customHeight="1">
      <c r="A12" s="80" t="s">
        <v>1039</v>
      </c>
      <c r="B12" s="706" t="s">
        <v>498</v>
      </c>
      <c r="C12" s="586">
        <f>SUM(6D!F10)</f>
        <v>16017.75</v>
      </c>
      <c r="D12" s="586">
        <f t="shared" si="2"/>
        <v>16017.75</v>
      </c>
      <c r="E12" s="586">
        <v>16017.75</v>
      </c>
      <c r="F12" s="586">
        <v>0</v>
      </c>
      <c r="G12" s="586">
        <v>0</v>
      </c>
      <c r="H12" s="586">
        <v>0</v>
      </c>
      <c r="I12" s="722">
        <v>0</v>
      </c>
    </row>
    <row r="13" spans="1:9" s="721" customFormat="1" ht="19.5" customHeight="1">
      <c r="A13" s="693" t="s">
        <v>1038</v>
      </c>
      <c r="B13" s="694">
        <v>75011</v>
      </c>
      <c r="C13" s="695">
        <f>SUM(6D!E75)</f>
        <v>369700</v>
      </c>
      <c r="D13" s="695">
        <f t="shared" si="2"/>
        <v>369700</v>
      </c>
      <c r="E13" s="695">
        <v>369700</v>
      </c>
      <c r="F13" s="695">
        <v>310127</v>
      </c>
      <c r="G13" s="695">
        <v>52998</v>
      </c>
      <c r="H13" s="695">
        <v>0</v>
      </c>
      <c r="I13" s="720">
        <v>0</v>
      </c>
    </row>
    <row r="14" spans="1:9" ht="19.5" customHeight="1">
      <c r="A14" s="80" t="s">
        <v>1039</v>
      </c>
      <c r="B14" s="77">
        <v>75011</v>
      </c>
      <c r="C14" s="586">
        <f>SUM(6D!F75)</f>
        <v>187651</v>
      </c>
      <c r="D14" s="586">
        <f t="shared" si="2"/>
        <v>187651</v>
      </c>
      <c r="E14" s="586">
        <v>187651</v>
      </c>
      <c r="F14" s="586">
        <v>149629.56</v>
      </c>
      <c r="G14" s="586">
        <v>31446.44</v>
      </c>
      <c r="H14" s="586">
        <v>0</v>
      </c>
      <c r="I14" s="722">
        <v>0</v>
      </c>
    </row>
    <row r="15" spans="1:9" s="721" customFormat="1" ht="19.5" customHeight="1">
      <c r="A15" s="693" t="s">
        <v>1038</v>
      </c>
      <c r="B15" s="694">
        <v>75101</v>
      </c>
      <c r="C15" s="695">
        <f>SUM(6D!E94)</f>
        <v>6900</v>
      </c>
      <c r="D15" s="695">
        <f t="shared" si="2"/>
        <v>6900</v>
      </c>
      <c r="E15" s="695">
        <v>6900</v>
      </c>
      <c r="F15" s="695">
        <v>5865</v>
      </c>
      <c r="G15" s="695">
        <v>1035</v>
      </c>
      <c r="H15" s="695">
        <v>0</v>
      </c>
      <c r="I15" s="720">
        <v>0</v>
      </c>
    </row>
    <row r="16" spans="1:9" s="724" customFormat="1" ht="19.5" customHeight="1">
      <c r="A16" s="80" t="s">
        <v>1039</v>
      </c>
      <c r="B16" s="696">
        <v>75101</v>
      </c>
      <c r="C16" s="597">
        <f>SUM(6D!F94)</f>
        <v>3450</v>
      </c>
      <c r="D16" s="697">
        <f t="shared" si="2"/>
        <v>675.65</v>
      </c>
      <c r="E16" s="697">
        <v>675.65</v>
      </c>
      <c r="F16" s="697">
        <v>675.65</v>
      </c>
      <c r="G16" s="697">
        <v>0</v>
      </c>
      <c r="H16" s="697">
        <v>0</v>
      </c>
      <c r="I16" s="723">
        <v>0</v>
      </c>
    </row>
    <row r="17" spans="1:9" s="721" customFormat="1" ht="19.5" customHeight="1">
      <c r="A17" s="693" t="s">
        <v>1038</v>
      </c>
      <c r="B17" s="694">
        <v>75113</v>
      </c>
      <c r="C17" s="695">
        <f>SUM(6D!E96)</f>
        <v>52280</v>
      </c>
      <c r="D17" s="695">
        <f>SUM(E17,I17)</f>
        <v>52280</v>
      </c>
      <c r="E17" s="695">
        <v>52280</v>
      </c>
      <c r="F17" s="695">
        <v>19976</v>
      </c>
      <c r="G17" s="695">
        <v>3156</v>
      </c>
      <c r="H17" s="695">
        <v>0</v>
      </c>
      <c r="I17" s="720">
        <v>0</v>
      </c>
    </row>
    <row r="18" spans="1:9" s="724" customFormat="1" ht="19.5" customHeight="1">
      <c r="A18" s="80" t="s">
        <v>1039</v>
      </c>
      <c r="B18" s="696">
        <v>75113</v>
      </c>
      <c r="C18" s="597">
        <f>SUM(6D!F96)</f>
        <v>52280</v>
      </c>
      <c r="D18" s="697">
        <f>SUM(E18,I18)</f>
        <v>34987.65</v>
      </c>
      <c r="E18" s="697">
        <v>34987.65</v>
      </c>
      <c r="F18" s="697">
        <v>6602.91</v>
      </c>
      <c r="G18" s="697">
        <v>0</v>
      </c>
      <c r="H18" s="697">
        <v>0</v>
      </c>
      <c r="I18" s="723">
        <v>0</v>
      </c>
    </row>
    <row r="19" spans="1:9" s="721" customFormat="1" ht="19.5" customHeight="1">
      <c r="A19" s="693" t="s">
        <v>1038</v>
      </c>
      <c r="B19" s="694">
        <v>75414</v>
      </c>
      <c r="C19" s="695">
        <f>SUM(6D!E99)</f>
        <v>10000</v>
      </c>
      <c r="D19" s="695">
        <f t="shared" si="2"/>
        <v>10000</v>
      </c>
      <c r="E19" s="695">
        <v>10000</v>
      </c>
      <c r="F19" s="695">
        <v>0</v>
      </c>
      <c r="G19" s="695">
        <v>0</v>
      </c>
      <c r="H19" s="695">
        <v>0</v>
      </c>
      <c r="I19" s="720">
        <v>0</v>
      </c>
    </row>
    <row r="20" spans="1:9" s="576" customFormat="1" ht="19.5" customHeight="1">
      <c r="A20" s="80" t="s">
        <v>1039</v>
      </c>
      <c r="B20" s="613">
        <v>75414</v>
      </c>
      <c r="C20" s="597">
        <f>SUM(6D!F99)</f>
        <v>10000</v>
      </c>
      <c r="D20" s="597">
        <f t="shared" si="2"/>
        <v>4857.36</v>
      </c>
      <c r="E20" s="597">
        <v>4857.36</v>
      </c>
      <c r="F20" s="597">
        <v>0</v>
      </c>
      <c r="G20" s="597">
        <v>0</v>
      </c>
      <c r="H20" s="597">
        <v>0</v>
      </c>
      <c r="I20" s="725">
        <v>0</v>
      </c>
    </row>
    <row r="21" spans="1:9" s="721" customFormat="1" ht="19.5" customHeight="1">
      <c r="A21" s="699" t="s">
        <v>1038</v>
      </c>
      <c r="B21" s="700">
        <v>85195</v>
      </c>
      <c r="C21" s="701">
        <f>SUM(6D!E180)</f>
        <v>3000</v>
      </c>
      <c r="D21" s="701">
        <f>SUM(E21,I21)</f>
        <v>3000</v>
      </c>
      <c r="E21" s="701">
        <v>3000</v>
      </c>
      <c r="F21" s="701">
        <v>2545</v>
      </c>
      <c r="G21" s="701">
        <v>455</v>
      </c>
      <c r="H21" s="701">
        <v>0</v>
      </c>
      <c r="I21" s="726">
        <v>0</v>
      </c>
    </row>
    <row r="22" spans="1:9" ht="19.5" customHeight="1">
      <c r="A22" s="80" t="s">
        <v>1039</v>
      </c>
      <c r="B22" s="77">
        <v>85195</v>
      </c>
      <c r="C22" s="586">
        <f>6D!F180</f>
        <v>1500</v>
      </c>
      <c r="D22" s="586">
        <f>SUM(E22,I22)</f>
        <v>0</v>
      </c>
      <c r="E22" s="586">
        <v>0</v>
      </c>
      <c r="F22" s="586">
        <v>0</v>
      </c>
      <c r="G22" s="586">
        <v>0</v>
      </c>
      <c r="H22" s="586">
        <v>0</v>
      </c>
      <c r="I22" s="722">
        <v>0</v>
      </c>
    </row>
    <row r="23" spans="1:9" s="721" customFormat="1" ht="19.5" customHeight="1">
      <c r="A23" s="699" t="s">
        <v>1038</v>
      </c>
      <c r="B23" s="700">
        <v>85203</v>
      </c>
      <c r="C23" s="701">
        <f>SUM(6D!E190)</f>
        <v>131000</v>
      </c>
      <c r="D23" s="701">
        <f t="shared" si="2"/>
        <v>131000</v>
      </c>
      <c r="E23" s="701">
        <v>131000</v>
      </c>
      <c r="F23" s="701">
        <v>0</v>
      </c>
      <c r="G23" s="701">
        <v>0</v>
      </c>
      <c r="H23" s="701">
        <v>0</v>
      </c>
      <c r="I23" s="726">
        <v>0</v>
      </c>
    </row>
    <row r="24" spans="1:9" ht="19.5" customHeight="1">
      <c r="A24" s="80" t="s">
        <v>1039</v>
      </c>
      <c r="B24" s="77">
        <v>85203</v>
      </c>
      <c r="C24" s="586">
        <f>SUM(6D!F190)</f>
        <v>65496</v>
      </c>
      <c r="D24" s="586">
        <f t="shared" si="2"/>
        <v>65496</v>
      </c>
      <c r="E24" s="586">
        <v>65496</v>
      </c>
      <c r="F24" s="586">
        <v>0</v>
      </c>
      <c r="G24" s="586">
        <v>0</v>
      </c>
      <c r="H24" s="586">
        <v>0</v>
      </c>
      <c r="I24" s="722">
        <v>0</v>
      </c>
    </row>
    <row r="25" spans="1:9" s="721" customFormat="1" ht="19.5" customHeight="1">
      <c r="A25" s="693" t="s">
        <v>1038</v>
      </c>
      <c r="B25" s="694">
        <v>85212</v>
      </c>
      <c r="C25" s="695">
        <f>SUM(6D!E195)</f>
        <v>5704000</v>
      </c>
      <c r="D25" s="695">
        <f t="shared" si="2"/>
        <v>5704000</v>
      </c>
      <c r="E25" s="695">
        <v>5704000</v>
      </c>
      <c r="F25" s="695">
        <v>152493</v>
      </c>
      <c r="G25" s="695">
        <v>97290</v>
      </c>
      <c r="H25" s="695">
        <v>5437080</v>
      </c>
      <c r="I25" s="720">
        <v>0</v>
      </c>
    </row>
    <row r="26" spans="1:9" ht="19.5" customHeight="1">
      <c r="A26" s="80" t="s">
        <v>1039</v>
      </c>
      <c r="B26" s="77">
        <v>85212</v>
      </c>
      <c r="C26" s="586">
        <f>SUM(6D!F195)</f>
        <v>2730914</v>
      </c>
      <c r="D26" s="586">
        <f t="shared" si="2"/>
        <v>2564204.89</v>
      </c>
      <c r="E26" s="586">
        <v>2564204.89</v>
      </c>
      <c r="F26" s="586">
        <v>77851.67</v>
      </c>
      <c r="G26" s="586">
        <v>28314.02</v>
      </c>
      <c r="H26" s="586">
        <v>2445974.31</v>
      </c>
      <c r="I26" s="722">
        <v>0</v>
      </c>
    </row>
    <row r="27" spans="1:9" s="721" customFormat="1" ht="19.5" customHeight="1">
      <c r="A27" s="693" t="s">
        <v>1038</v>
      </c>
      <c r="B27" s="694">
        <v>85213</v>
      </c>
      <c r="C27" s="695">
        <f>SUM(6D!E197)</f>
        <v>84000</v>
      </c>
      <c r="D27" s="695">
        <f t="shared" si="2"/>
        <v>84000</v>
      </c>
      <c r="E27" s="695">
        <v>84000</v>
      </c>
      <c r="F27" s="695">
        <v>0</v>
      </c>
      <c r="G27" s="695">
        <v>0</v>
      </c>
      <c r="H27" s="695">
        <v>0</v>
      </c>
      <c r="I27" s="720">
        <v>0</v>
      </c>
    </row>
    <row r="28" spans="1:9" ht="19.5" customHeight="1">
      <c r="A28" s="80" t="s">
        <v>1039</v>
      </c>
      <c r="B28" s="77">
        <v>85213</v>
      </c>
      <c r="C28" s="586">
        <f>SUM(6D!F197)</f>
        <v>37000</v>
      </c>
      <c r="D28" s="586">
        <f t="shared" si="2"/>
        <v>29725.72</v>
      </c>
      <c r="E28" s="586">
        <v>29725.72</v>
      </c>
      <c r="F28" s="586">
        <v>0</v>
      </c>
      <c r="G28" s="586">
        <v>0</v>
      </c>
      <c r="H28" s="586">
        <v>0</v>
      </c>
      <c r="I28" s="722">
        <v>0</v>
      </c>
    </row>
    <row r="29" spans="1:9" s="721" customFormat="1" ht="19.5" customHeight="1">
      <c r="A29" s="693" t="s">
        <v>1038</v>
      </c>
      <c r="B29" s="694">
        <v>85214</v>
      </c>
      <c r="C29" s="695">
        <f>SUM(6D!E200)</f>
        <v>801000</v>
      </c>
      <c r="D29" s="695">
        <f>SUM(E29,I29)</f>
        <v>801000</v>
      </c>
      <c r="E29" s="695">
        <v>801000</v>
      </c>
      <c r="F29" s="695">
        <v>0</v>
      </c>
      <c r="G29" s="695">
        <v>0</v>
      </c>
      <c r="H29" s="695">
        <v>801000</v>
      </c>
      <c r="I29" s="720">
        <v>0</v>
      </c>
    </row>
    <row r="30" spans="1:9" ht="19.5" customHeight="1">
      <c r="A30" s="80" t="s">
        <v>1039</v>
      </c>
      <c r="B30" s="77">
        <v>85214</v>
      </c>
      <c r="C30" s="586">
        <f>SUM(6D!F200)</f>
        <v>400500</v>
      </c>
      <c r="D30" s="586">
        <f>SUM(E30,I30)</f>
        <v>375409.97</v>
      </c>
      <c r="E30" s="586">
        <v>375409.97</v>
      </c>
      <c r="F30" s="586">
        <v>0</v>
      </c>
      <c r="G30" s="586">
        <v>0</v>
      </c>
      <c r="H30" s="586">
        <v>375409.97</v>
      </c>
      <c r="I30" s="722">
        <v>0</v>
      </c>
    </row>
    <row r="31" spans="1:9" s="721" customFormat="1" ht="19.5" customHeight="1">
      <c r="A31" s="693" t="s">
        <v>1038</v>
      </c>
      <c r="B31" s="694">
        <v>85228</v>
      </c>
      <c r="C31" s="695">
        <f>SUM(6D!E212)</f>
        <v>79000</v>
      </c>
      <c r="D31" s="695">
        <f>SUM(E31,I31)</f>
        <v>79000</v>
      </c>
      <c r="E31" s="695">
        <v>79000</v>
      </c>
      <c r="F31" s="695">
        <v>62199</v>
      </c>
      <c r="G31" s="695">
        <v>10859</v>
      </c>
      <c r="H31" s="695">
        <v>0</v>
      </c>
      <c r="I31" s="720">
        <v>0</v>
      </c>
    </row>
    <row r="32" spans="1:9" ht="19.5" customHeight="1">
      <c r="A32" s="80" t="s">
        <v>1039</v>
      </c>
      <c r="B32" s="77">
        <v>85228</v>
      </c>
      <c r="C32" s="586">
        <f>SUM(6D!F212)</f>
        <v>39498</v>
      </c>
      <c r="D32" s="586">
        <f>SUM(E32,I32)</f>
        <v>37585.72</v>
      </c>
      <c r="E32" s="586">
        <v>37585.72</v>
      </c>
      <c r="F32" s="586">
        <v>29677.98</v>
      </c>
      <c r="G32" s="586">
        <v>4481.57</v>
      </c>
      <c r="H32" s="586">
        <v>0</v>
      </c>
      <c r="I32" s="722">
        <v>0</v>
      </c>
    </row>
    <row r="33" spans="1:9" s="721" customFormat="1" ht="19.5" customHeight="1">
      <c r="A33" s="634" t="s">
        <v>1038</v>
      </c>
      <c r="B33" s="635" t="s">
        <v>327</v>
      </c>
      <c r="C33" s="703">
        <f>SUM(C35,C37,C39,C41,C43,C45,C47,C49,C51,C53,C55)</f>
        <v>5431169</v>
      </c>
      <c r="D33" s="703">
        <f aca="true" t="shared" si="3" ref="D33:I33">SUM(D35,D37,D39,D41,D43,D45,D47,D49,D51,D53,D55)</f>
        <v>5431169</v>
      </c>
      <c r="E33" s="703">
        <f t="shared" si="3"/>
        <v>5431169</v>
      </c>
      <c r="F33" s="703">
        <f t="shared" si="3"/>
        <v>3703945</v>
      </c>
      <c r="G33" s="703">
        <f t="shared" si="3"/>
        <v>99976</v>
      </c>
      <c r="H33" s="703">
        <f t="shared" si="3"/>
        <v>0</v>
      </c>
      <c r="I33" s="740">
        <f t="shared" si="3"/>
        <v>0</v>
      </c>
    </row>
    <row r="34" spans="1:9" ht="19.5" customHeight="1">
      <c r="A34" s="704" t="s">
        <v>1039</v>
      </c>
      <c r="B34" s="705" t="s">
        <v>327</v>
      </c>
      <c r="C34" s="584">
        <f>SUM(C36,C38,C40,C42,C44,C46,C48,C50,C52,C54,C56)</f>
        <v>3202117</v>
      </c>
      <c r="D34" s="584">
        <f aca="true" t="shared" si="4" ref="D34:I34">SUM(D36,D38,D40,D42,D44,D46,D48,D50,D52,D54,D56)</f>
        <v>2823480.7</v>
      </c>
      <c r="E34" s="584">
        <f t="shared" si="4"/>
        <v>2823480.7</v>
      </c>
      <c r="F34" s="584">
        <f t="shared" si="4"/>
        <v>1830184.5</v>
      </c>
      <c r="G34" s="584">
        <f t="shared" si="4"/>
        <v>43106.24</v>
      </c>
      <c r="H34" s="584">
        <f t="shared" si="4"/>
        <v>0</v>
      </c>
      <c r="I34" s="741">
        <f t="shared" si="4"/>
        <v>0</v>
      </c>
    </row>
    <row r="35" spans="1:9" s="721" customFormat="1" ht="19.5" customHeight="1">
      <c r="A35" s="699" t="s">
        <v>1038</v>
      </c>
      <c r="B35" s="707" t="s">
        <v>1055</v>
      </c>
      <c r="C35" s="701">
        <f>SUM(6D!E285,6D!E286)</f>
        <v>66500</v>
      </c>
      <c r="D35" s="695">
        <f aca="true" t="shared" si="5" ref="D35:D53">SUM(E35,I35)</f>
        <v>66500</v>
      </c>
      <c r="E35" s="701">
        <v>66500</v>
      </c>
      <c r="F35" s="701">
        <v>0</v>
      </c>
      <c r="G35" s="701">
        <v>0</v>
      </c>
      <c r="H35" s="701">
        <v>0</v>
      </c>
      <c r="I35" s="726">
        <v>0</v>
      </c>
    </row>
    <row r="36" spans="1:9" ht="19.5" customHeight="1">
      <c r="A36" s="80" t="s">
        <v>1039</v>
      </c>
      <c r="B36" s="706" t="s">
        <v>1055</v>
      </c>
      <c r="C36" s="586">
        <f>SUM(6D!F285,6D!F286)</f>
        <v>20331</v>
      </c>
      <c r="D36" s="597">
        <v>13447.04</v>
      </c>
      <c r="E36" s="586">
        <v>13447.04</v>
      </c>
      <c r="F36" s="586">
        <v>0</v>
      </c>
      <c r="G36" s="586">
        <v>0</v>
      </c>
      <c r="H36" s="586">
        <v>0</v>
      </c>
      <c r="I36" s="722">
        <v>0</v>
      </c>
    </row>
    <row r="37" spans="1:9" s="721" customFormat="1" ht="19.5" customHeight="1">
      <c r="A37" s="693" t="s">
        <v>1038</v>
      </c>
      <c r="B37" s="698" t="s">
        <v>1059</v>
      </c>
      <c r="C37" s="695">
        <f>SUM(6D!E289)</f>
        <v>45000</v>
      </c>
      <c r="D37" s="695">
        <f t="shared" si="5"/>
        <v>45000</v>
      </c>
      <c r="E37" s="695">
        <v>45000</v>
      </c>
      <c r="F37" s="695">
        <v>0</v>
      </c>
      <c r="G37" s="695">
        <v>0</v>
      </c>
      <c r="H37" s="695">
        <v>0</v>
      </c>
      <c r="I37" s="720">
        <v>0</v>
      </c>
    </row>
    <row r="38" spans="1:9" ht="19.5" customHeight="1">
      <c r="A38" s="80" t="s">
        <v>1039</v>
      </c>
      <c r="B38" s="706" t="s">
        <v>1059</v>
      </c>
      <c r="C38" s="586">
        <f>SUM(6D!F289)</f>
        <v>7500</v>
      </c>
      <c r="D38" s="597">
        <f t="shared" si="5"/>
        <v>0</v>
      </c>
      <c r="E38" s="586">
        <v>0</v>
      </c>
      <c r="F38" s="586">
        <v>0</v>
      </c>
      <c r="G38" s="586">
        <v>0</v>
      </c>
      <c r="H38" s="586">
        <v>0</v>
      </c>
      <c r="I38" s="722">
        <v>0</v>
      </c>
    </row>
    <row r="39" spans="1:9" s="721" customFormat="1" ht="19.5" customHeight="1">
      <c r="A39" s="699" t="s">
        <v>1038</v>
      </c>
      <c r="B39" s="707" t="s">
        <v>1060</v>
      </c>
      <c r="C39" s="701">
        <f>SUM(6D!E292)</f>
        <v>11000</v>
      </c>
      <c r="D39" s="701">
        <f t="shared" si="5"/>
        <v>11000</v>
      </c>
      <c r="E39" s="701">
        <v>11000</v>
      </c>
      <c r="F39" s="701">
        <v>0</v>
      </c>
      <c r="G39" s="701">
        <v>0</v>
      </c>
      <c r="H39" s="701">
        <v>0</v>
      </c>
      <c r="I39" s="726">
        <v>0</v>
      </c>
    </row>
    <row r="40" spans="1:9" ht="19.5" customHeight="1">
      <c r="A40" s="80" t="s">
        <v>1039</v>
      </c>
      <c r="B40" s="706" t="s">
        <v>1060</v>
      </c>
      <c r="C40" s="586">
        <f>SUM(6D!F292)</f>
        <v>1832</v>
      </c>
      <c r="D40" s="597">
        <f t="shared" si="5"/>
        <v>0</v>
      </c>
      <c r="E40" s="586">
        <v>0</v>
      </c>
      <c r="F40" s="586">
        <v>0</v>
      </c>
      <c r="G40" s="586">
        <v>0</v>
      </c>
      <c r="H40" s="586">
        <v>0</v>
      </c>
      <c r="I40" s="722">
        <v>0</v>
      </c>
    </row>
    <row r="41" spans="1:9" s="721" customFormat="1" ht="19.5" customHeight="1">
      <c r="A41" s="693" t="s">
        <v>1038</v>
      </c>
      <c r="B41" s="698" t="s">
        <v>1062</v>
      </c>
      <c r="C41" s="695">
        <f>SUM(6D!E294)</f>
        <v>389895</v>
      </c>
      <c r="D41" s="695">
        <f t="shared" si="5"/>
        <v>389895</v>
      </c>
      <c r="E41" s="695">
        <v>389895</v>
      </c>
      <c r="F41" s="695">
        <v>305739</v>
      </c>
      <c r="G41" s="695">
        <v>47056</v>
      </c>
      <c r="H41" s="695">
        <v>0</v>
      </c>
      <c r="I41" s="720">
        <v>0</v>
      </c>
    </row>
    <row r="42" spans="1:9" ht="19.5" customHeight="1">
      <c r="A42" s="80" t="s">
        <v>1039</v>
      </c>
      <c r="B42" s="706" t="s">
        <v>1062</v>
      </c>
      <c r="C42" s="586">
        <f>SUM(6D!F294)</f>
        <v>209891</v>
      </c>
      <c r="D42" s="597">
        <f t="shared" si="5"/>
        <v>200194.59</v>
      </c>
      <c r="E42" s="586">
        <v>200194.59</v>
      </c>
      <c r="F42" s="586">
        <v>168453.96</v>
      </c>
      <c r="G42" s="586">
        <v>20586.12</v>
      </c>
      <c r="H42" s="586">
        <v>0</v>
      </c>
      <c r="I42" s="722">
        <v>0</v>
      </c>
    </row>
    <row r="43" spans="1:9" s="721" customFormat="1" ht="19.5" customHeight="1">
      <c r="A43" s="693" t="s">
        <v>1038</v>
      </c>
      <c r="B43" s="698" t="s">
        <v>1071</v>
      </c>
      <c r="C43" s="695">
        <f>SUM(6D!E297)</f>
        <v>82100</v>
      </c>
      <c r="D43" s="695">
        <f t="shared" si="5"/>
        <v>82100</v>
      </c>
      <c r="E43" s="695">
        <v>82100</v>
      </c>
      <c r="F43" s="695">
        <v>68131</v>
      </c>
      <c r="G43" s="695">
        <v>12109</v>
      </c>
      <c r="H43" s="695">
        <v>0</v>
      </c>
      <c r="I43" s="720">
        <v>0</v>
      </c>
    </row>
    <row r="44" spans="1:9" ht="19.5" customHeight="1">
      <c r="A44" s="80" t="s">
        <v>1039</v>
      </c>
      <c r="B44" s="706" t="s">
        <v>1071</v>
      </c>
      <c r="C44" s="586">
        <f>SUM(6D!F297)</f>
        <v>40696</v>
      </c>
      <c r="D44" s="597">
        <f t="shared" si="5"/>
        <v>40696</v>
      </c>
      <c r="E44" s="586">
        <v>40696</v>
      </c>
      <c r="F44" s="586">
        <v>31946.39</v>
      </c>
      <c r="G44" s="586">
        <v>6889.61</v>
      </c>
      <c r="H44" s="586">
        <v>0</v>
      </c>
      <c r="I44" s="722">
        <v>0</v>
      </c>
    </row>
    <row r="45" spans="1:9" s="721" customFormat="1" ht="19.5" customHeight="1">
      <c r="A45" s="693" t="s">
        <v>1038</v>
      </c>
      <c r="B45" s="698" t="s">
        <v>1081</v>
      </c>
      <c r="C45" s="695">
        <f>SUM(6D!E304)</f>
        <v>17000</v>
      </c>
      <c r="D45" s="695">
        <f t="shared" si="5"/>
        <v>17000</v>
      </c>
      <c r="E45" s="695">
        <v>17000</v>
      </c>
      <c r="F45" s="695">
        <v>5445</v>
      </c>
      <c r="G45" s="695">
        <v>310</v>
      </c>
      <c r="H45" s="695">
        <v>0</v>
      </c>
      <c r="I45" s="720">
        <v>0</v>
      </c>
    </row>
    <row r="46" spans="1:9" ht="19.5" customHeight="1">
      <c r="A46" s="80" t="s">
        <v>1039</v>
      </c>
      <c r="B46" s="706" t="s">
        <v>1081</v>
      </c>
      <c r="C46" s="586">
        <f>SUM(6D!F304)</f>
        <v>17000</v>
      </c>
      <c r="D46" s="597">
        <f t="shared" si="5"/>
        <v>10911.56</v>
      </c>
      <c r="E46" s="586">
        <v>10911.56</v>
      </c>
      <c r="F46" s="586">
        <v>5445</v>
      </c>
      <c r="G46" s="586">
        <v>309.6</v>
      </c>
      <c r="H46" s="586">
        <v>0</v>
      </c>
      <c r="I46" s="722">
        <v>0</v>
      </c>
    </row>
    <row r="47" spans="1:9" s="721" customFormat="1" ht="19.5" customHeight="1">
      <c r="A47" s="693" t="s">
        <v>1038</v>
      </c>
      <c r="B47" s="698" t="s">
        <v>1086</v>
      </c>
      <c r="C47" s="695">
        <f>SUM(6D!E308,6D!E309)</f>
        <v>3810449</v>
      </c>
      <c r="D47" s="695">
        <f t="shared" si="5"/>
        <v>3810449</v>
      </c>
      <c r="E47" s="695">
        <v>3810449</v>
      </c>
      <c r="F47" s="695">
        <v>3119367</v>
      </c>
      <c r="G47" s="695">
        <v>9315</v>
      </c>
      <c r="H47" s="695">
        <v>0</v>
      </c>
      <c r="I47" s="720">
        <v>0</v>
      </c>
    </row>
    <row r="48" spans="1:9" ht="19.5" customHeight="1">
      <c r="A48" s="80" t="s">
        <v>1039</v>
      </c>
      <c r="B48" s="706" t="s">
        <v>1086</v>
      </c>
      <c r="C48" s="586">
        <f>SUM(6D!F308,6D!F309)</f>
        <v>2322640</v>
      </c>
      <c r="D48" s="597">
        <f t="shared" si="5"/>
        <v>2012163.15</v>
      </c>
      <c r="E48" s="586">
        <v>2012163.15</v>
      </c>
      <c r="F48" s="586">
        <v>1536972.03</v>
      </c>
      <c r="G48" s="586">
        <v>4171.69</v>
      </c>
      <c r="H48" s="586">
        <v>0</v>
      </c>
      <c r="I48" s="722">
        <v>0</v>
      </c>
    </row>
    <row r="49" spans="1:9" s="721" customFormat="1" ht="19.5" customHeight="1">
      <c r="A49" s="693" t="s">
        <v>1038</v>
      </c>
      <c r="B49" s="698" t="s">
        <v>1285</v>
      </c>
      <c r="C49" s="695">
        <f>SUM(6D!E332)</f>
        <v>654000</v>
      </c>
      <c r="D49" s="695">
        <f t="shared" si="5"/>
        <v>654000</v>
      </c>
      <c r="E49" s="695">
        <v>654000</v>
      </c>
      <c r="F49" s="695">
        <v>0</v>
      </c>
      <c r="G49" s="695">
        <v>0</v>
      </c>
      <c r="H49" s="695">
        <v>0</v>
      </c>
      <c r="I49" s="720">
        <v>0</v>
      </c>
    </row>
    <row r="50" spans="1:9" ht="19.5" customHeight="1">
      <c r="A50" s="80" t="s">
        <v>1039</v>
      </c>
      <c r="B50" s="706" t="s">
        <v>1285</v>
      </c>
      <c r="C50" s="586">
        <f>SUM(6D!F332)</f>
        <v>393502</v>
      </c>
      <c r="D50" s="597">
        <f t="shared" si="5"/>
        <v>391461.87</v>
      </c>
      <c r="E50" s="586">
        <v>391461.87</v>
      </c>
      <c r="F50" s="586">
        <v>0</v>
      </c>
      <c r="G50" s="586">
        <v>0</v>
      </c>
      <c r="H50" s="586">
        <v>0</v>
      </c>
      <c r="I50" s="722">
        <v>0</v>
      </c>
    </row>
    <row r="51" spans="1:9" s="721" customFormat="1" ht="19.5" customHeight="1">
      <c r="A51" s="699" t="s">
        <v>1038</v>
      </c>
      <c r="B51" s="707" t="s">
        <v>276</v>
      </c>
      <c r="C51" s="701">
        <f>SUM(6D!E337)</f>
        <v>315900</v>
      </c>
      <c r="D51" s="695">
        <f t="shared" si="5"/>
        <v>315900</v>
      </c>
      <c r="E51" s="701">
        <v>315900</v>
      </c>
      <c r="F51" s="701">
        <v>205263</v>
      </c>
      <c r="G51" s="701">
        <v>31186</v>
      </c>
      <c r="H51" s="701">
        <v>0</v>
      </c>
      <c r="I51" s="726">
        <v>0</v>
      </c>
    </row>
    <row r="52" spans="1:9" ht="19.5" customHeight="1">
      <c r="A52" s="80" t="s">
        <v>1039</v>
      </c>
      <c r="B52" s="706" t="s">
        <v>276</v>
      </c>
      <c r="C52" s="586">
        <f>SUM(6D!F337)</f>
        <v>165900</v>
      </c>
      <c r="D52" s="597">
        <f t="shared" si="5"/>
        <v>131782.25</v>
      </c>
      <c r="E52" s="586">
        <v>131782.25</v>
      </c>
      <c r="F52" s="586">
        <v>87367.12</v>
      </c>
      <c r="G52" s="586">
        <v>11149.22</v>
      </c>
      <c r="H52" s="586">
        <v>0</v>
      </c>
      <c r="I52" s="722">
        <v>0</v>
      </c>
    </row>
    <row r="53" spans="1:9" s="721" customFormat="1" ht="19.5" customHeight="1">
      <c r="A53" s="693" t="s">
        <v>1038</v>
      </c>
      <c r="B53" s="698" t="s">
        <v>1115</v>
      </c>
      <c r="C53" s="695">
        <f>SUM(6D!E347)</f>
        <v>33000</v>
      </c>
      <c r="D53" s="695">
        <f t="shared" si="5"/>
        <v>33000</v>
      </c>
      <c r="E53" s="695">
        <v>33000</v>
      </c>
      <c r="F53" s="695">
        <v>0</v>
      </c>
      <c r="G53" s="695">
        <v>0</v>
      </c>
      <c r="H53" s="695">
        <v>0</v>
      </c>
      <c r="I53" s="720">
        <v>0</v>
      </c>
    </row>
    <row r="54" spans="1:9" ht="19.5" customHeight="1">
      <c r="A54" s="80" t="s">
        <v>1039</v>
      </c>
      <c r="B54" s="706" t="s">
        <v>1115</v>
      </c>
      <c r="C54" s="586">
        <f>SUM(6D!F347)</f>
        <v>16500</v>
      </c>
      <c r="D54" s="597">
        <v>16500</v>
      </c>
      <c r="E54" s="586">
        <v>16500</v>
      </c>
      <c r="F54" s="586">
        <v>0</v>
      </c>
      <c r="G54" s="586">
        <v>0</v>
      </c>
      <c r="H54" s="586">
        <v>0</v>
      </c>
      <c r="I54" s="722">
        <v>0</v>
      </c>
    </row>
    <row r="55" spans="1:9" s="721" customFormat="1" ht="19.5" customHeight="1">
      <c r="A55" s="699" t="s">
        <v>1038</v>
      </c>
      <c r="B55" s="707" t="s">
        <v>358</v>
      </c>
      <c r="C55" s="701">
        <f>SUM(6D!E353)</f>
        <v>6325</v>
      </c>
      <c r="D55" s="701">
        <f>SUM(E55,I55)</f>
        <v>6325</v>
      </c>
      <c r="E55" s="701">
        <v>6325</v>
      </c>
      <c r="F55" s="701">
        <v>0</v>
      </c>
      <c r="G55" s="701">
        <v>0</v>
      </c>
      <c r="H55" s="701">
        <v>0</v>
      </c>
      <c r="I55" s="726">
        <v>0</v>
      </c>
    </row>
    <row r="56" spans="1:9" ht="19.5" customHeight="1" thickBot="1">
      <c r="A56" s="588" t="s">
        <v>1039</v>
      </c>
      <c r="B56" s="708" t="s">
        <v>358</v>
      </c>
      <c r="C56" s="591">
        <f>SUM(6D!F353)</f>
        <v>6325</v>
      </c>
      <c r="D56" s="617">
        <f>SUM(E56,I56)</f>
        <v>6324.24</v>
      </c>
      <c r="E56" s="591">
        <v>6324.24</v>
      </c>
      <c r="F56" s="591">
        <v>0</v>
      </c>
      <c r="G56" s="591">
        <v>0</v>
      </c>
      <c r="H56" s="591">
        <v>0</v>
      </c>
      <c r="I56" s="727">
        <v>0</v>
      </c>
    </row>
    <row r="57" spans="1:9" s="729" customFormat="1" ht="19.5" customHeight="1" thickTop="1">
      <c r="A57" s="709" t="s">
        <v>324</v>
      </c>
      <c r="B57" s="710" t="s">
        <v>323</v>
      </c>
      <c r="C57" s="711">
        <f aca="true" t="shared" si="6" ref="C57:I58">SUM(C9,C33)</f>
        <v>12688066.75</v>
      </c>
      <c r="D57" s="711">
        <f t="shared" si="6"/>
        <v>12688066.75</v>
      </c>
      <c r="E57" s="711">
        <f t="shared" si="6"/>
        <v>12688066.75</v>
      </c>
      <c r="F57" s="711">
        <f t="shared" si="6"/>
        <v>4257150</v>
      </c>
      <c r="G57" s="711">
        <f t="shared" si="6"/>
        <v>265769</v>
      </c>
      <c r="H57" s="711">
        <f t="shared" si="6"/>
        <v>6238080</v>
      </c>
      <c r="I57" s="728">
        <f t="shared" si="6"/>
        <v>0</v>
      </c>
    </row>
    <row r="58" spans="1:9" s="567" customFormat="1" ht="19.5" customHeight="1" thickBot="1">
      <c r="A58" s="712" t="s">
        <v>325</v>
      </c>
      <c r="B58" s="713" t="s">
        <v>323</v>
      </c>
      <c r="C58" s="714">
        <f t="shared" si="6"/>
        <v>6746423.75</v>
      </c>
      <c r="D58" s="714">
        <f t="shared" si="6"/>
        <v>6140092.41</v>
      </c>
      <c r="E58" s="714">
        <f t="shared" si="6"/>
        <v>6140092.41</v>
      </c>
      <c r="F58" s="714">
        <f t="shared" si="6"/>
        <v>2094622.27</v>
      </c>
      <c r="G58" s="714">
        <f t="shared" si="6"/>
        <v>107348.26999999999</v>
      </c>
      <c r="H58" s="714">
        <f t="shared" si="6"/>
        <v>2821384.2800000003</v>
      </c>
      <c r="I58" s="730">
        <f t="shared" si="6"/>
        <v>0</v>
      </c>
    </row>
    <row r="60" spans="1:9" ht="23.25" customHeight="1" hidden="1">
      <c r="A60" s="55" t="s">
        <v>906</v>
      </c>
      <c r="B60" s="55" t="s">
        <v>905</v>
      </c>
      <c r="C60" s="75">
        <v>6746423.75</v>
      </c>
      <c r="D60" s="75">
        <v>6140092.41</v>
      </c>
      <c r="E60" s="75">
        <v>6140092.41</v>
      </c>
      <c r="F60" s="75">
        <v>2094622.27</v>
      </c>
      <c r="G60" s="75">
        <v>107348.27</v>
      </c>
      <c r="H60" s="75">
        <v>2821384.28</v>
      </c>
      <c r="I60" s="75">
        <v>0</v>
      </c>
    </row>
    <row r="61" spans="1:9" s="567" customFormat="1" ht="12.75" hidden="1">
      <c r="A61" s="20"/>
      <c r="B61" s="20" t="s">
        <v>1003</v>
      </c>
      <c r="C61" s="715">
        <f>C58-C60</f>
        <v>0</v>
      </c>
      <c r="D61" s="715">
        <f aca="true" t="shared" si="7" ref="D61:I61">D58-D60</f>
        <v>0</v>
      </c>
      <c r="E61" s="715">
        <f t="shared" si="7"/>
        <v>0</v>
      </c>
      <c r="F61" s="715">
        <f t="shared" si="7"/>
        <v>0</v>
      </c>
      <c r="G61" s="715">
        <f t="shared" si="7"/>
        <v>0</v>
      </c>
      <c r="H61" s="715">
        <f t="shared" si="7"/>
        <v>0</v>
      </c>
      <c r="I61" s="715">
        <f t="shared" si="7"/>
        <v>0</v>
      </c>
    </row>
    <row r="62" ht="12.75" hidden="1"/>
  </sheetData>
  <sheetProtection password="CF93" sheet="1" objects="1" scenarios="1" selectLockedCells="1" selectUnlockedCells="1"/>
  <mergeCells count="9">
    <mergeCell ref="A3:I3"/>
    <mergeCell ref="A5:A7"/>
    <mergeCell ref="C5:C7"/>
    <mergeCell ref="D5:D7"/>
    <mergeCell ref="B5:B7"/>
    <mergeCell ref="F6:H6"/>
    <mergeCell ref="I6:I7"/>
    <mergeCell ref="E5:I5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J26"/>
  <sheetViews>
    <sheetView defaultGridColor="0" view="pageBreakPreview" zoomScaleSheetLayoutView="100" colorId="8" workbookViewId="0" topLeftCell="A1">
      <pane ySplit="8" topLeftCell="I1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4.75390625" style="55" customWidth="1"/>
    <col min="2" max="2" width="14.00390625" style="55" customWidth="1"/>
    <col min="3" max="3" width="14.25390625" style="56" customWidth="1"/>
    <col min="4" max="4" width="14.875" style="56" customWidth="1"/>
    <col min="5" max="5" width="13.625" style="56" customWidth="1"/>
    <col min="6" max="6" width="15.625" style="56" customWidth="1"/>
    <col min="7" max="7" width="15.75390625" style="56" customWidth="1"/>
    <col min="8" max="8" width="12.25390625" style="56" customWidth="1"/>
    <col min="9" max="9" width="15.875" style="56" customWidth="1"/>
    <col min="10" max="16384" width="9.125" style="56" customWidth="1"/>
  </cols>
  <sheetData>
    <row r="1" spans="1:10" ht="18" customHeight="1">
      <c r="A1" s="702"/>
      <c r="B1" s="702"/>
      <c r="C1" s="595"/>
      <c r="D1" s="595"/>
      <c r="E1" s="595"/>
      <c r="F1" s="595"/>
      <c r="G1" s="595"/>
      <c r="H1" s="595"/>
      <c r="I1" s="716" t="s">
        <v>453</v>
      </c>
      <c r="J1" s="574"/>
    </row>
    <row r="2" spans="1:9" ht="32.25" customHeight="1">
      <c r="A2" s="702"/>
      <c r="B2" s="702"/>
      <c r="C2" s="595"/>
      <c r="D2" s="595"/>
      <c r="E2" s="595"/>
      <c r="F2" s="595"/>
      <c r="G2" s="595"/>
      <c r="H2" s="595"/>
      <c r="I2" s="595"/>
    </row>
    <row r="3" spans="1:9" ht="25.5" customHeight="1">
      <c r="A3" s="1447" t="s">
        <v>1297</v>
      </c>
      <c r="B3" s="1447"/>
      <c r="C3" s="1447"/>
      <c r="D3" s="1447"/>
      <c r="E3" s="1447"/>
      <c r="F3" s="1447"/>
      <c r="G3" s="1447"/>
      <c r="H3" s="1447"/>
      <c r="I3" s="1447"/>
    </row>
    <row r="4" spans="1:9" ht="18.75" customHeight="1" thickBot="1">
      <c r="A4" s="702"/>
      <c r="B4" s="702"/>
      <c r="C4" s="595"/>
      <c r="D4" s="595"/>
      <c r="E4" s="595"/>
      <c r="F4" s="595"/>
      <c r="G4" s="595"/>
      <c r="H4" s="595"/>
      <c r="I4" s="717" t="s">
        <v>1035</v>
      </c>
    </row>
    <row r="5" spans="1:9" s="55" customFormat="1" ht="15.75" customHeight="1">
      <c r="A5" s="1448" t="s">
        <v>1037</v>
      </c>
      <c r="B5" s="1453" t="s">
        <v>1036</v>
      </c>
      <c r="C5" s="1450" t="s">
        <v>765</v>
      </c>
      <c r="D5" s="1450" t="s">
        <v>766</v>
      </c>
      <c r="E5" s="1450" t="s">
        <v>5</v>
      </c>
      <c r="F5" s="1450"/>
      <c r="G5" s="1450"/>
      <c r="H5" s="1450"/>
      <c r="I5" s="1455"/>
    </row>
    <row r="6" spans="1:9" s="55" customFormat="1" ht="14.25" customHeight="1">
      <c r="A6" s="1449"/>
      <c r="B6" s="1451"/>
      <c r="C6" s="1451"/>
      <c r="D6" s="1452"/>
      <c r="E6" s="1452" t="s">
        <v>767</v>
      </c>
      <c r="F6" s="1452" t="s">
        <v>176</v>
      </c>
      <c r="G6" s="1452"/>
      <c r="H6" s="1452"/>
      <c r="I6" s="1454" t="s">
        <v>768</v>
      </c>
    </row>
    <row r="7" spans="1:9" s="55" customFormat="1" ht="27" customHeight="1">
      <c r="A7" s="1449"/>
      <c r="B7" s="1451"/>
      <c r="C7" s="1451"/>
      <c r="D7" s="1452"/>
      <c r="E7" s="1452"/>
      <c r="F7" s="718" t="s">
        <v>769</v>
      </c>
      <c r="G7" s="718" t="s">
        <v>770</v>
      </c>
      <c r="H7" s="718" t="s">
        <v>771</v>
      </c>
      <c r="I7" s="1454"/>
    </row>
    <row r="8" spans="1:9" s="612" customFormat="1" ht="11.25" customHeight="1">
      <c r="A8" s="731">
        <v>1</v>
      </c>
      <c r="B8" s="732">
        <v>2</v>
      </c>
      <c r="C8" s="732">
        <v>3</v>
      </c>
      <c r="D8" s="732">
        <v>4</v>
      </c>
      <c r="E8" s="732">
        <v>5</v>
      </c>
      <c r="F8" s="732">
        <v>6</v>
      </c>
      <c r="G8" s="732">
        <v>7</v>
      </c>
      <c r="H8" s="732">
        <v>8</v>
      </c>
      <c r="I8" s="733">
        <v>9</v>
      </c>
    </row>
    <row r="9" spans="1:9" s="729" customFormat="1" ht="19.5" customHeight="1">
      <c r="A9" s="634" t="s">
        <v>1038</v>
      </c>
      <c r="B9" s="635" t="s">
        <v>326</v>
      </c>
      <c r="C9" s="734">
        <f>SUM(C11,C13,C15,C17)</f>
        <v>27296</v>
      </c>
      <c r="D9" s="734">
        <f aca="true" t="shared" si="0" ref="D9:I9">SUM(D11,D13,D15,D17)</f>
        <v>27296</v>
      </c>
      <c r="E9" s="734">
        <f t="shared" si="0"/>
        <v>27296</v>
      </c>
      <c r="F9" s="734">
        <f t="shared" si="0"/>
        <v>0</v>
      </c>
      <c r="G9" s="734">
        <f t="shared" si="0"/>
        <v>0</v>
      </c>
      <c r="H9" s="734">
        <f t="shared" si="0"/>
        <v>0</v>
      </c>
      <c r="I9" s="1305">
        <f t="shared" si="0"/>
        <v>0</v>
      </c>
    </row>
    <row r="10" spans="1:9" s="567" customFormat="1" ht="19.5" customHeight="1">
      <c r="A10" s="704" t="s">
        <v>1039</v>
      </c>
      <c r="B10" s="705" t="s">
        <v>326</v>
      </c>
      <c r="C10" s="735">
        <f>SUM(C12,C14,C16,C18)</f>
        <v>0</v>
      </c>
      <c r="D10" s="735">
        <f aca="true" t="shared" si="1" ref="D10:I10">SUM(D12,D14,D16,D18)</f>
        <v>0</v>
      </c>
      <c r="E10" s="735">
        <f t="shared" si="1"/>
        <v>0</v>
      </c>
      <c r="F10" s="735">
        <f t="shared" si="1"/>
        <v>0</v>
      </c>
      <c r="G10" s="735">
        <f t="shared" si="1"/>
        <v>0</v>
      </c>
      <c r="H10" s="735">
        <f t="shared" si="1"/>
        <v>0</v>
      </c>
      <c r="I10" s="1306">
        <f t="shared" si="1"/>
        <v>0</v>
      </c>
    </row>
    <row r="11" spans="1:9" s="721" customFormat="1" ht="19.5" customHeight="1">
      <c r="A11" s="693" t="s">
        <v>1038</v>
      </c>
      <c r="B11" s="694">
        <v>70005</v>
      </c>
      <c r="C11" s="736">
        <f>SUM(6D!E61)</f>
        <v>27000</v>
      </c>
      <c r="D11" s="736">
        <f aca="true" t="shared" si="2" ref="D11:D16">SUM(E11,I11)</f>
        <v>27000</v>
      </c>
      <c r="E11" s="736">
        <v>27000</v>
      </c>
      <c r="F11" s="736">
        <v>0</v>
      </c>
      <c r="G11" s="736">
        <v>0</v>
      </c>
      <c r="H11" s="736">
        <v>0</v>
      </c>
      <c r="I11" s="737">
        <v>0</v>
      </c>
    </row>
    <row r="12" spans="1:9" ht="19.5" customHeight="1">
      <c r="A12" s="80" t="s">
        <v>1039</v>
      </c>
      <c r="B12" s="77">
        <v>70005</v>
      </c>
      <c r="C12" s="78">
        <f>SUM(6D!F61)</f>
        <v>0</v>
      </c>
      <c r="D12" s="738">
        <f t="shared" si="2"/>
        <v>0</v>
      </c>
      <c r="E12" s="78">
        <v>0</v>
      </c>
      <c r="F12" s="78">
        <v>0</v>
      </c>
      <c r="G12" s="78">
        <v>0</v>
      </c>
      <c r="H12" s="78">
        <v>0</v>
      </c>
      <c r="I12" s="739">
        <v>0</v>
      </c>
    </row>
    <row r="13" spans="1:9" s="721" customFormat="1" ht="19.5" customHeight="1">
      <c r="A13" s="693" t="s">
        <v>1038</v>
      </c>
      <c r="B13" s="694">
        <v>80195</v>
      </c>
      <c r="C13" s="695">
        <f>SUM(6D!E167)</f>
        <v>296</v>
      </c>
      <c r="D13" s="736">
        <f t="shared" si="2"/>
        <v>296</v>
      </c>
      <c r="E13" s="695">
        <v>296</v>
      </c>
      <c r="F13" s="695">
        <v>0</v>
      </c>
      <c r="G13" s="695">
        <v>0</v>
      </c>
      <c r="H13" s="695">
        <v>0</v>
      </c>
      <c r="I13" s="720">
        <v>0</v>
      </c>
    </row>
    <row r="14" spans="1:9" s="576" customFormat="1" ht="19.5" customHeight="1">
      <c r="A14" s="80" t="s">
        <v>1039</v>
      </c>
      <c r="B14" s="613">
        <v>80195</v>
      </c>
      <c r="C14" s="597">
        <f>SUM(6D!F167)</f>
        <v>0</v>
      </c>
      <c r="D14" s="738">
        <f t="shared" si="2"/>
        <v>0</v>
      </c>
      <c r="E14" s="597">
        <v>0</v>
      </c>
      <c r="F14" s="597">
        <v>0</v>
      </c>
      <c r="G14" s="597">
        <v>0</v>
      </c>
      <c r="H14" s="597">
        <v>0</v>
      </c>
      <c r="I14" s="725">
        <v>0</v>
      </c>
    </row>
    <row r="15" spans="1:9" s="721" customFormat="1" ht="19.5" customHeight="1" hidden="1">
      <c r="A15" s="693" t="s">
        <v>1038</v>
      </c>
      <c r="B15" s="694">
        <v>85195</v>
      </c>
      <c r="C15" s="695">
        <f>SUM(6D!E181)</f>
        <v>0</v>
      </c>
      <c r="D15" s="736">
        <f t="shared" si="2"/>
        <v>0</v>
      </c>
      <c r="E15" s="695"/>
      <c r="F15" s="695"/>
      <c r="G15" s="695"/>
      <c r="H15" s="695"/>
      <c r="I15" s="720"/>
    </row>
    <row r="16" spans="1:9" s="576" customFormat="1" ht="19.5" customHeight="1" hidden="1">
      <c r="A16" s="80" t="s">
        <v>1039</v>
      </c>
      <c r="B16" s="613">
        <v>85195</v>
      </c>
      <c r="C16" s="597">
        <f>SUM(6D!F181)</f>
        <v>0</v>
      </c>
      <c r="D16" s="738">
        <f t="shared" si="2"/>
        <v>0</v>
      </c>
      <c r="E16" s="597"/>
      <c r="F16" s="597"/>
      <c r="G16" s="597"/>
      <c r="H16" s="597"/>
      <c r="I16" s="725"/>
    </row>
    <row r="17" spans="1:9" s="721" customFormat="1" ht="19.5" customHeight="1" hidden="1">
      <c r="A17" s="693" t="s">
        <v>1038</v>
      </c>
      <c r="B17" s="694">
        <v>85295</v>
      </c>
      <c r="C17" s="695">
        <f>SUM(6D!E215)</f>
        <v>0</v>
      </c>
      <c r="D17" s="736">
        <f>SUM(E17,I17)</f>
        <v>0</v>
      </c>
      <c r="E17" s="695"/>
      <c r="F17" s="695"/>
      <c r="G17" s="695"/>
      <c r="H17" s="695"/>
      <c r="I17" s="720"/>
    </row>
    <row r="18" spans="1:9" s="576" customFormat="1" ht="19.5" customHeight="1" hidden="1">
      <c r="A18" s="80" t="s">
        <v>1039</v>
      </c>
      <c r="B18" s="613">
        <v>85295</v>
      </c>
      <c r="C18" s="597">
        <f>SUM(6D!F215)</f>
        <v>0</v>
      </c>
      <c r="D18" s="738">
        <f>SUM(E18,I18)</f>
        <v>0</v>
      </c>
      <c r="E18" s="597"/>
      <c r="F18" s="597"/>
      <c r="G18" s="597"/>
      <c r="H18" s="597"/>
      <c r="I18" s="725"/>
    </row>
    <row r="19" spans="1:9" s="729" customFormat="1" ht="19.5" customHeight="1">
      <c r="A19" s="634" t="s">
        <v>1038</v>
      </c>
      <c r="B19" s="635" t="s">
        <v>327</v>
      </c>
      <c r="C19" s="703">
        <f>SUM(C21,C23)</f>
        <v>3000</v>
      </c>
      <c r="D19" s="703">
        <f aca="true" t="shared" si="3" ref="D19:I19">SUM(D21,D23)</f>
        <v>3000</v>
      </c>
      <c r="E19" s="703">
        <f t="shared" si="3"/>
        <v>3000</v>
      </c>
      <c r="F19" s="703">
        <f t="shared" si="3"/>
        <v>0</v>
      </c>
      <c r="G19" s="703">
        <f t="shared" si="3"/>
        <v>0</v>
      </c>
      <c r="H19" s="703">
        <f t="shared" si="3"/>
        <v>0</v>
      </c>
      <c r="I19" s="740">
        <f t="shared" si="3"/>
        <v>0</v>
      </c>
    </row>
    <row r="20" spans="1:9" s="567" customFormat="1" ht="19.5" customHeight="1">
      <c r="A20" s="704" t="s">
        <v>1039</v>
      </c>
      <c r="B20" s="705" t="s">
        <v>327</v>
      </c>
      <c r="C20" s="584">
        <f>SUM(C22,C24)</f>
        <v>1790</v>
      </c>
      <c r="D20" s="584">
        <f aca="true" t="shared" si="4" ref="D20:I20">SUM(D22,D24)</f>
        <v>1790</v>
      </c>
      <c r="E20" s="584">
        <f t="shared" si="4"/>
        <v>1790</v>
      </c>
      <c r="F20" s="584">
        <f t="shared" si="4"/>
        <v>0</v>
      </c>
      <c r="G20" s="584">
        <f t="shared" si="4"/>
        <v>0</v>
      </c>
      <c r="H20" s="584">
        <f t="shared" si="4"/>
        <v>0</v>
      </c>
      <c r="I20" s="741">
        <f t="shared" si="4"/>
        <v>0</v>
      </c>
    </row>
    <row r="21" spans="1:9" s="721" customFormat="1" ht="19.5" customHeight="1" hidden="1">
      <c r="A21" s="693" t="s">
        <v>1038</v>
      </c>
      <c r="B21" s="694">
        <v>60015</v>
      </c>
      <c r="C21" s="695">
        <f>SUM(6D!E280)</f>
        <v>0</v>
      </c>
      <c r="D21" s="695">
        <f>SUM(E21,I21)</f>
        <v>0</v>
      </c>
      <c r="E21" s="695"/>
      <c r="F21" s="695"/>
      <c r="G21" s="695"/>
      <c r="H21" s="695"/>
      <c r="I21" s="720"/>
    </row>
    <row r="22" spans="1:9" ht="19.5" customHeight="1" hidden="1">
      <c r="A22" s="80" t="s">
        <v>1039</v>
      </c>
      <c r="B22" s="77">
        <v>60015</v>
      </c>
      <c r="C22" s="697">
        <f>SUM(6D!F280)</f>
        <v>0</v>
      </c>
      <c r="D22" s="697">
        <f>SUM(E22,I22)</f>
        <v>0</v>
      </c>
      <c r="E22" s="586"/>
      <c r="F22" s="586"/>
      <c r="G22" s="586"/>
      <c r="H22" s="586"/>
      <c r="I22" s="722"/>
    </row>
    <row r="23" spans="1:9" s="721" customFormat="1" ht="19.5" customHeight="1">
      <c r="A23" s="699" t="s">
        <v>1038</v>
      </c>
      <c r="B23" s="707" t="s">
        <v>1081</v>
      </c>
      <c r="C23" s="701">
        <f>SUM(6D!E305)</f>
        <v>3000</v>
      </c>
      <c r="D23" s="701">
        <f>SUM(E23,I23)</f>
        <v>3000</v>
      </c>
      <c r="E23" s="701">
        <v>3000</v>
      </c>
      <c r="F23" s="701">
        <v>0</v>
      </c>
      <c r="G23" s="701">
        <v>0</v>
      </c>
      <c r="H23" s="701">
        <v>0</v>
      </c>
      <c r="I23" s="726">
        <v>0</v>
      </c>
    </row>
    <row r="24" spans="1:9" ht="19.5" customHeight="1" thickBot="1">
      <c r="A24" s="588" t="s">
        <v>1039</v>
      </c>
      <c r="B24" s="708" t="s">
        <v>1081</v>
      </c>
      <c r="C24" s="591">
        <f>SUM(6D!F305)</f>
        <v>1790</v>
      </c>
      <c r="D24" s="591">
        <f>SUM(E24,I24)</f>
        <v>1790</v>
      </c>
      <c r="E24" s="591">
        <v>1790</v>
      </c>
      <c r="F24" s="591">
        <v>0</v>
      </c>
      <c r="G24" s="591">
        <v>0</v>
      </c>
      <c r="H24" s="591">
        <v>0</v>
      </c>
      <c r="I24" s="727">
        <v>0</v>
      </c>
    </row>
    <row r="25" spans="1:9" s="729" customFormat="1" ht="19.5" customHeight="1" thickTop="1">
      <c r="A25" s="709" t="s">
        <v>324</v>
      </c>
      <c r="B25" s="710" t="s">
        <v>323</v>
      </c>
      <c r="C25" s="711">
        <f>SUM(C9,C19)</f>
        <v>30296</v>
      </c>
      <c r="D25" s="711">
        <f aca="true" t="shared" si="5" ref="D25:I25">SUM(D9,D19)</f>
        <v>30296</v>
      </c>
      <c r="E25" s="711">
        <f t="shared" si="5"/>
        <v>30296</v>
      </c>
      <c r="F25" s="711">
        <f t="shared" si="5"/>
        <v>0</v>
      </c>
      <c r="G25" s="711">
        <f t="shared" si="5"/>
        <v>0</v>
      </c>
      <c r="H25" s="711">
        <f t="shared" si="5"/>
        <v>0</v>
      </c>
      <c r="I25" s="728">
        <f t="shared" si="5"/>
        <v>0</v>
      </c>
    </row>
    <row r="26" spans="1:9" s="567" customFormat="1" ht="19.5" customHeight="1" thickBot="1">
      <c r="A26" s="712" t="s">
        <v>325</v>
      </c>
      <c r="B26" s="713" t="s">
        <v>323</v>
      </c>
      <c r="C26" s="714">
        <f>SUM(C10,C20)</f>
        <v>1790</v>
      </c>
      <c r="D26" s="714">
        <f aca="true" t="shared" si="6" ref="D26:I26">SUM(D10,D20)</f>
        <v>1790</v>
      </c>
      <c r="E26" s="714">
        <f t="shared" si="6"/>
        <v>1790</v>
      </c>
      <c r="F26" s="714">
        <f t="shared" si="6"/>
        <v>0</v>
      </c>
      <c r="G26" s="714">
        <f t="shared" si="6"/>
        <v>0</v>
      </c>
      <c r="H26" s="714">
        <f t="shared" si="6"/>
        <v>0</v>
      </c>
      <c r="I26" s="730">
        <f t="shared" si="6"/>
        <v>0</v>
      </c>
    </row>
  </sheetData>
  <sheetProtection password="CF93" sheet="1" objects="1" scenarios="1" selectLockedCells="1" selectUnlockedCells="1"/>
  <mergeCells count="9">
    <mergeCell ref="E5:I5"/>
    <mergeCell ref="E6:E7"/>
    <mergeCell ref="A3:I3"/>
    <mergeCell ref="A5:A7"/>
    <mergeCell ref="C5:C7"/>
    <mergeCell ref="D5:D7"/>
    <mergeCell ref="B5:B7"/>
    <mergeCell ref="F6:H6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19"/>
  <sheetViews>
    <sheetView defaultGridColor="0" view="pageBreakPreview" zoomScaleSheetLayoutView="100" colorId="8" workbookViewId="0" topLeftCell="A1">
      <selection activeCell="A17" sqref="A17:IV20"/>
    </sheetView>
  </sheetViews>
  <sheetFormatPr defaultColWidth="9.00390625" defaultRowHeight="12.75"/>
  <cols>
    <col min="1" max="1" width="14.75390625" style="55" customWidth="1"/>
    <col min="2" max="2" width="14.00390625" style="55" customWidth="1"/>
    <col min="3" max="3" width="14.25390625" style="56" customWidth="1"/>
    <col min="4" max="4" width="14.875" style="56" customWidth="1"/>
    <col min="5" max="5" width="13.625" style="56" customWidth="1"/>
    <col min="6" max="6" width="15.625" style="56" customWidth="1"/>
    <col min="7" max="7" width="15.75390625" style="56" customWidth="1"/>
    <col min="8" max="8" width="12.25390625" style="56" customWidth="1"/>
    <col min="9" max="9" width="15.875" style="56" customWidth="1"/>
    <col min="10" max="16384" width="9.125" style="56" customWidth="1"/>
  </cols>
  <sheetData>
    <row r="1" spans="1:10" ht="12.75">
      <c r="A1" s="702"/>
      <c r="B1" s="702"/>
      <c r="C1" s="595"/>
      <c r="D1" s="595"/>
      <c r="E1" s="595"/>
      <c r="F1" s="595"/>
      <c r="G1" s="595"/>
      <c r="H1" s="595"/>
      <c r="I1" s="716" t="s">
        <v>454</v>
      </c>
      <c r="J1" s="574"/>
    </row>
    <row r="2" spans="1:9" ht="21" customHeight="1">
      <c r="A2" s="702"/>
      <c r="B2" s="702"/>
      <c r="C2" s="595"/>
      <c r="D2" s="595"/>
      <c r="E2" s="595"/>
      <c r="F2" s="595"/>
      <c r="G2" s="595"/>
      <c r="H2" s="595"/>
      <c r="I2" s="595"/>
    </row>
    <row r="3" spans="1:9" ht="25.5" customHeight="1">
      <c r="A3" s="1447" t="s">
        <v>1298</v>
      </c>
      <c r="B3" s="1447"/>
      <c r="C3" s="1447"/>
      <c r="D3" s="1447"/>
      <c r="E3" s="1447"/>
      <c r="F3" s="1447"/>
      <c r="G3" s="1447"/>
      <c r="H3" s="1447"/>
      <c r="I3" s="1447"/>
    </row>
    <row r="4" spans="1:9" ht="24" customHeight="1" thickBot="1">
      <c r="A4" s="702"/>
      <c r="B4" s="702"/>
      <c r="C4" s="595"/>
      <c r="D4" s="595"/>
      <c r="E4" s="595"/>
      <c r="F4" s="595"/>
      <c r="G4" s="595"/>
      <c r="H4" s="595"/>
      <c r="I4" s="717" t="s">
        <v>1035</v>
      </c>
    </row>
    <row r="5" spans="1:9" s="55" customFormat="1" ht="17.25" customHeight="1">
      <c r="A5" s="1448" t="s">
        <v>1037</v>
      </c>
      <c r="B5" s="1453" t="s">
        <v>1036</v>
      </c>
      <c r="C5" s="1450" t="s">
        <v>765</v>
      </c>
      <c r="D5" s="1450" t="s">
        <v>766</v>
      </c>
      <c r="E5" s="1450" t="s">
        <v>5</v>
      </c>
      <c r="F5" s="1450"/>
      <c r="G5" s="1450"/>
      <c r="H5" s="1450"/>
      <c r="I5" s="1455"/>
    </row>
    <row r="6" spans="1:9" s="55" customFormat="1" ht="16.5" customHeight="1">
      <c r="A6" s="1449"/>
      <c r="B6" s="1451"/>
      <c r="C6" s="1451"/>
      <c r="D6" s="1452"/>
      <c r="E6" s="1452" t="s">
        <v>767</v>
      </c>
      <c r="F6" s="1452" t="s">
        <v>176</v>
      </c>
      <c r="G6" s="1452"/>
      <c r="H6" s="1452"/>
      <c r="I6" s="1454" t="s">
        <v>768</v>
      </c>
    </row>
    <row r="7" spans="1:9" s="55" customFormat="1" ht="28.5" customHeight="1">
      <c r="A7" s="1449"/>
      <c r="B7" s="1451"/>
      <c r="C7" s="1451"/>
      <c r="D7" s="1452"/>
      <c r="E7" s="1452"/>
      <c r="F7" s="718" t="s">
        <v>769</v>
      </c>
      <c r="G7" s="718" t="s">
        <v>770</v>
      </c>
      <c r="H7" s="718" t="s">
        <v>771</v>
      </c>
      <c r="I7" s="1454"/>
    </row>
    <row r="8" spans="1:9" ht="14.25" customHeight="1">
      <c r="A8" s="80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19">
        <v>9</v>
      </c>
    </row>
    <row r="9" spans="1:9" s="576" customFormat="1" ht="19.5" customHeight="1">
      <c r="A9" s="1403" t="s">
        <v>998</v>
      </c>
      <c r="B9" s="1404"/>
      <c r="C9" s="1404"/>
      <c r="D9" s="1404"/>
      <c r="E9" s="1404"/>
      <c r="F9" s="1404"/>
      <c r="G9" s="1404"/>
      <c r="H9" s="1404"/>
      <c r="I9" s="1456"/>
    </row>
    <row r="10" spans="1:9" s="721" customFormat="1" ht="19.5" customHeight="1">
      <c r="A10" s="693" t="s">
        <v>1038</v>
      </c>
      <c r="B10" s="694">
        <v>85204</v>
      </c>
      <c r="C10" s="695">
        <f>SUM(6D!E340)</f>
        <v>82509</v>
      </c>
      <c r="D10" s="695">
        <f>SUM(E10,I10)</f>
        <v>82509</v>
      </c>
      <c r="E10" s="695">
        <v>82509</v>
      </c>
      <c r="F10" s="695">
        <v>0</v>
      </c>
      <c r="G10" s="695">
        <v>0</v>
      </c>
      <c r="H10" s="695">
        <v>82509</v>
      </c>
      <c r="I10" s="720">
        <v>0</v>
      </c>
    </row>
    <row r="11" spans="1:9" s="576" customFormat="1" ht="19.5" customHeight="1">
      <c r="A11" s="80" t="s">
        <v>1039</v>
      </c>
      <c r="B11" s="613">
        <v>85204</v>
      </c>
      <c r="C11" s="597">
        <f>SUM(6D!F340)</f>
        <v>23228.64</v>
      </c>
      <c r="D11" s="597">
        <f>SUM(E11,I11)</f>
        <v>23332.23</v>
      </c>
      <c r="E11" s="597">
        <v>23332.23</v>
      </c>
      <c r="F11" s="597">
        <v>0</v>
      </c>
      <c r="G11" s="597">
        <v>0</v>
      </c>
      <c r="H11" s="597">
        <v>23332.23</v>
      </c>
      <c r="I11" s="725">
        <v>0</v>
      </c>
    </row>
    <row r="12" spans="1:9" s="721" customFormat="1" ht="19.5" customHeight="1">
      <c r="A12" s="693" t="s">
        <v>1038</v>
      </c>
      <c r="B12" s="694">
        <v>85415</v>
      </c>
      <c r="C12" s="695">
        <f>6D!E366+6D!E368</f>
        <v>190000</v>
      </c>
      <c r="D12" s="695">
        <f>SUM(E12,I12)</f>
        <v>190000</v>
      </c>
      <c r="E12" s="695">
        <v>190000</v>
      </c>
      <c r="F12" s="695">
        <v>0</v>
      </c>
      <c r="G12" s="695">
        <v>0</v>
      </c>
      <c r="H12" s="695">
        <v>0</v>
      </c>
      <c r="I12" s="720">
        <v>0</v>
      </c>
    </row>
    <row r="13" spans="1:9" s="576" customFormat="1" ht="19.5" customHeight="1" thickBot="1">
      <c r="A13" s="588" t="s">
        <v>1039</v>
      </c>
      <c r="B13" s="615">
        <v>85415</v>
      </c>
      <c r="C13" s="617">
        <f>6D!F366+6D!F368</f>
        <v>44000</v>
      </c>
      <c r="D13" s="617">
        <f>SUM(E13,I13)</f>
        <v>44000</v>
      </c>
      <c r="E13" s="617">
        <v>44000</v>
      </c>
      <c r="F13" s="617">
        <v>0</v>
      </c>
      <c r="G13" s="617">
        <v>0</v>
      </c>
      <c r="H13" s="617">
        <v>0</v>
      </c>
      <c r="I13" s="742">
        <v>0</v>
      </c>
    </row>
    <row r="14" spans="1:9" s="729" customFormat="1" ht="19.5" customHeight="1" thickTop="1">
      <c r="A14" s="709" t="s">
        <v>324</v>
      </c>
      <c r="B14" s="710" t="s">
        <v>323</v>
      </c>
      <c r="C14" s="711">
        <f>SUM(C10,C12)</f>
        <v>272509</v>
      </c>
      <c r="D14" s="711">
        <f aca="true" t="shared" si="0" ref="D14:I14">SUM(D10,D12)</f>
        <v>272509</v>
      </c>
      <c r="E14" s="711">
        <f t="shared" si="0"/>
        <v>272509</v>
      </c>
      <c r="F14" s="711">
        <f t="shared" si="0"/>
        <v>0</v>
      </c>
      <c r="G14" s="711">
        <f t="shared" si="0"/>
        <v>0</v>
      </c>
      <c r="H14" s="711">
        <f t="shared" si="0"/>
        <v>82509</v>
      </c>
      <c r="I14" s="728">
        <f t="shared" si="0"/>
        <v>0</v>
      </c>
    </row>
    <row r="15" spans="1:9" s="567" customFormat="1" ht="19.5" customHeight="1" thickBot="1">
      <c r="A15" s="712" t="s">
        <v>325</v>
      </c>
      <c r="B15" s="713" t="s">
        <v>323</v>
      </c>
      <c r="C15" s="714">
        <f>SUM(C11,C13)</f>
        <v>67228.64</v>
      </c>
      <c r="D15" s="714">
        <f aca="true" t="shared" si="1" ref="D15:I15">SUM(D11,D13)</f>
        <v>67332.23</v>
      </c>
      <c r="E15" s="714">
        <f t="shared" si="1"/>
        <v>67332.23</v>
      </c>
      <c r="F15" s="714">
        <f t="shared" si="1"/>
        <v>0</v>
      </c>
      <c r="G15" s="714">
        <f t="shared" si="1"/>
        <v>0</v>
      </c>
      <c r="H15" s="714">
        <f t="shared" si="1"/>
        <v>23332.23</v>
      </c>
      <c r="I15" s="730">
        <f t="shared" si="1"/>
        <v>0</v>
      </c>
    </row>
    <row r="17" ht="12.75" hidden="1">
      <c r="C17" s="75">
        <f>C15</f>
        <v>67228.64</v>
      </c>
    </row>
    <row r="18" ht="12.75" hidden="1">
      <c r="C18" s="75">
        <f>D15</f>
        <v>67332.23</v>
      </c>
    </row>
    <row r="19" spans="1:4" s="781" customFormat="1" ht="12.75" hidden="1">
      <c r="A19" s="779"/>
      <c r="B19" s="779" t="s">
        <v>1031</v>
      </c>
      <c r="C19" s="780">
        <f>C17-C18</f>
        <v>-103.58999999999651</v>
      </c>
      <c r="D19" s="781" t="s">
        <v>1198</v>
      </c>
    </row>
    <row r="20" ht="12.75" hidden="1"/>
  </sheetData>
  <sheetProtection password="CF93" sheet="1" objects="1" scenarios="1" selectLockedCells="1" selectUnlockedCells="1"/>
  <mergeCells count="10">
    <mergeCell ref="A9:I9"/>
    <mergeCell ref="E6:E7"/>
    <mergeCell ref="A3:I3"/>
    <mergeCell ref="A5:A7"/>
    <mergeCell ref="C5:C7"/>
    <mergeCell ref="D5:D7"/>
    <mergeCell ref="B5:B7"/>
    <mergeCell ref="F6:H6"/>
    <mergeCell ref="I6:I7"/>
    <mergeCell ref="E5:I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O48"/>
  <sheetViews>
    <sheetView view="pageBreakPreview" zoomScaleSheetLayoutView="100" workbookViewId="0" topLeftCell="A1">
      <pane ySplit="6" topLeftCell="BM7" activePane="bottomLeft" state="frozen"/>
      <selection pane="topLeft" activeCell="E22" sqref="E22"/>
      <selection pane="bottomLeft" activeCell="E7" sqref="E7:E14"/>
    </sheetView>
  </sheetViews>
  <sheetFormatPr defaultColWidth="9.00390625" defaultRowHeight="12.75"/>
  <cols>
    <col min="1" max="1" width="3.125" style="55" customWidth="1"/>
    <col min="2" max="2" width="5.875" style="55" customWidth="1"/>
    <col min="3" max="3" width="6.25390625" style="55" customWidth="1"/>
    <col min="4" max="4" width="15.00390625" style="56" customWidth="1"/>
    <col min="5" max="5" width="14.25390625" style="56" customWidth="1"/>
    <col min="6" max="6" width="10.00390625" style="56" customWidth="1"/>
    <col min="7" max="7" width="8.875" style="56" customWidth="1"/>
    <col min="8" max="8" width="9.625" style="56" customWidth="1"/>
    <col min="9" max="9" width="10.00390625" style="56" customWidth="1"/>
    <col min="10" max="10" width="13.375" style="56" customWidth="1"/>
    <col min="11" max="11" width="11.00390625" style="56" customWidth="1"/>
    <col min="12" max="12" width="10.75390625" style="56" customWidth="1"/>
    <col min="13" max="13" width="9.875" style="56" customWidth="1"/>
    <col min="14" max="14" width="9.25390625" style="56" customWidth="1"/>
    <col min="15" max="15" width="11.125" style="56" bestFit="1" customWidth="1"/>
    <col min="16" max="16384" width="9.125" style="56" customWidth="1"/>
  </cols>
  <sheetData>
    <row r="1" ht="18" customHeight="1">
      <c r="N1" s="716" t="s">
        <v>570</v>
      </c>
    </row>
    <row r="2" spans="1:14" ht="25.5" customHeight="1">
      <c r="A2" s="1486" t="s">
        <v>785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</row>
    <row r="3" spans="1:14" ht="12" customHeight="1" thickBot="1">
      <c r="A3" s="1178"/>
      <c r="B3" s="1178"/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9" t="s">
        <v>1035</v>
      </c>
    </row>
    <row r="4" spans="1:14" ht="34.5" customHeight="1">
      <c r="A4" s="1490" t="s">
        <v>1299</v>
      </c>
      <c r="B4" s="1482" t="s">
        <v>1215</v>
      </c>
      <c r="C4" s="1482" t="s">
        <v>559</v>
      </c>
      <c r="D4" s="1484" t="s">
        <v>560</v>
      </c>
      <c r="E4" s="1484" t="s">
        <v>561</v>
      </c>
      <c r="F4" s="1484" t="s">
        <v>1241</v>
      </c>
      <c r="G4" s="1484" t="s">
        <v>562</v>
      </c>
      <c r="H4" s="1484" t="s">
        <v>1192</v>
      </c>
      <c r="I4" s="1484" t="s">
        <v>952</v>
      </c>
      <c r="J4" s="1484" t="s">
        <v>814</v>
      </c>
      <c r="K4" s="1487" t="s">
        <v>567</v>
      </c>
      <c r="L4" s="1488"/>
      <c r="M4" s="1488"/>
      <c r="N4" s="1489"/>
    </row>
    <row r="5" spans="1:14" ht="41.25" customHeight="1">
      <c r="A5" s="1491"/>
      <c r="B5" s="1483"/>
      <c r="C5" s="1483"/>
      <c r="D5" s="1485"/>
      <c r="E5" s="1485"/>
      <c r="F5" s="1485"/>
      <c r="G5" s="1485"/>
      <c r="H5" s="1485"/>
      <c r="I5" s="1485"/>
      <c r="J5" s="1485"/>
      <c r="K5" s="710" t="s">
        <v>563</v>
      </c>
      <c r="L5" s="710" t="s">
        <v>564</v>
      </c>
      <c r="M5" s="710" t="s">
        <v>739</v>
      </c>
      <c r="N5" s="1211" t="s">
        <v>740</v>
      </c>
    </row>
    <row r="6" spans="1:14" s="1215" customFormat="1" ht="7.5" customHeight="1">
      <c r="A6" s="1212">
        <v>1</v>
      </c>
      <c r="B6" s="1213">
        <v>2</v>
      </c>
      <c r="C6" s="1213">
        <v>3</v>
      </c>
      <c r="D6" s="1213">
        <v>5</v>
      </c>
      <c r="E6" s="1213">
        <v>6</v>
      </c>
      <c r="F6" s="1213">
        <v>7</v>
      </c>
      <c r="G6" s="1213">
        <v>8</v>
      </c>
      <c r="H6" s="1213">
        <v>9</v>
      </c>
      <c r="I6" s="1213">
        <v>10</v>
      </c>
      <c r="J6" s="1213">
        <v>11</v>
      </c>
      <c r="K6" s="1213">
        <v>12</v>
      </c>
      <c r="L6" s="1213">
        <v>13</v>
      </c>
      <c r="M6" s="1213">
        <v>14</v>
      </c>
      <c r="N6" s="1214">
        <v>15</v>
      </c>
    </row>
    <row r="7" spans="1:15" ht="22.5" customHeight="1">
      <c r="A7" s="1463" t="s">
        <v>1302</v>
      </c>
      <c r="B7" s="1466" t="s">
        <v>1069</v>
      </c>
      <c r="C7" s="1479" t="s">
        <v>422</v>
      </c>
      <c r="D7" s="1460" t="s">
        <v>428</v>
      </c>
      <c r="E7" s="1460" t="s">
        <v>775</v>
      </c>
      <c r="F7" s="1460" t="s">
        <v>1191</v>
      </c>
      <c r="G7" s="1460" t="s">
        <v>1188</v>
      </c>
      <c r="H7" s="1457">
        <v>1678145.34</v>
      </c>
      <c r="I7" s="1457">
        <v>1678145.34</v>
      </c>
      <c r="J7" s="1200" t="s">
        <v>568</v>
      </c>
      <c r="K7" s="1201">
        <f aca="true" t="shared" si="0" ref="K7:N8">SUM(K9,K11,K13)</f>
        <v>864945</v>
      </c>
      <c r="L7" s="1201">
        <f t="shared" si="0"/>
        <v>636074</v>
      </c>
      <c r="M7" s="1201">
        <f t="shared" si="0"/>
        <v>176159</v>
      </c>
      <c r="N7" s="1202">
        <f t="shared" si="0"/>
        <v>0</v>
      </c>
      <c r="O7" s="75"/>
    </row>
    <row r="8" spans="1:14" ht="22.5" customHeight="1">
      <c r="A8" s="1464"/>
      <c r="B8" s="1467"/>
      <c r="C8" s="1467"/>
      <c r="D8" s="1461"/>
      <c r="E8" s="1461"/>
      <c r="F8" s="1461"/>
      <c r="G8" s="1461"/>
      <c r="H8" s="1458"/>
      <c r="I8" s="1458"/>
      <c r="J8" s="1203" t="s">
        <v>569</v>
      </c>
      <c r="K8" s="603">
        <f t="shared" si="0"/>
        <v>176106.75</v>
      </c>
      <c r="L8" s="603">
        <f t="shared" si="0"/>
        <v>0</v>
      </c>
      <c r="M8" s="603">
        <f t="shared" si="0"/>
        <v>0</v>
      </c>
      <c r="N8" s="1204">
        <f t="shared" si="0"/>
        <v>0</v>
      </c>
    </row>
    <row r="9" spans="1:14" ht="22.5" customHeight="1">
      <c r="A9" s="1464"/>
      <c r="B9" s="1467"/>
      <c r="C9" s="1467"/>
      <c r="D9" s="1461"/>
      <c r="E9" s="1461"/>
      <c r="F9" s="1461"/>
      <c r="G9" s="1461"/>
      <c r="H9" s="1458"/>
      <c r="I9" s="1458"/>
      <c r="J9" s="1205" t="s">
        <v>565</v>
      </c>
      <c r="K9" s="1206">
        <v>658034</v>
      </c>
      <c r="L9" s="1206">
        <f>418713+117702-822</f>
        <v>535593</v>
      </c>
      <c r="M9" s="1206">
        <v>148045</v>
      </c>
      <c r="N9" s="1207">
        <v>0</v>
      </c>
    </row>
    <row r="10" spans="1:14" ht="22.5" customHeight="1">
      <c r="A10" s="1464"/>
      <c r="B10" s="1467"/>
      <c r="C10" s="1467"/>
      <c r="D10" s="1461"/>
      <c r="E10" s="1461"/>
      <c r="F10" s="1461"/>
      <c r="G10" s="1461"/>
      <c r="H10" s="1458"/>
      <c r="I10" s="1458"/>
      <c r="J10" s="1208" t="s">
        <v>565</v>
      </c>
      <c r="K10" s="1209">
        <v>127231.08</v>
      </c>
      <c r="L10" s="1209">
        <v>0</v>
      </c>
      <c r="M10" s="1209">
        <v>0</v>
      </c>
      <c r="N10" s="1210">
        <v>0</v>
      </c>
    </row>
    <row r="11" spans="1:14" ht="22.5" customHeight="1">
      <c r="A11" s="1464"/>
      <c r="B11" s="1467"/>
      <c r="C11" s="1467"/>
      <c r="D11" s="1461"/>
      <c r="E11" s="1461"/>
      <c r="F11" s="1461"/>
      <c r="G11" s="1461"/>
      <c r="H11" s="1458"/>
      <c r="I11" s="1458"/>
      <c r="J11" s="1205" t="s">
        <v>794</v>
      </c>
      <c r="K11" s="1206">
        <v>116086</v>
      </c>
      <c r="L11" s="1206">
        <f>73890+20809-145</f>
        <v>94554</v>
      </c>
      <c r="M11" s="1206">
        <v>26126</v>
      </c>
      <c r="N11" s="1207">
        <v>0</v>
      </c>
    </row>
    <row r="12" spans="1:14" ht="22.5" customHeight="1">
      <c r="A12" s="1464"/>
      <c r="B12" s="1467"/>
      <c r="C12" s="1467"/>
      <c r="D12" s="1461"/>
      <c r="E12" s="1461"/>
      <c r="F12" s="1461"/>
      <c r="G12" s="1461"/>
      <c r="H12" s="1458"/>
      <c r="I12" s="1458"/>
      <c r="J12" s="1208" t="s">
        <v>794</v>
      </c>
      <c r="K12" s="1209">
        <v>22452.58</v>
      </c>
      <c r="L12" s="1209">
        <v>0</v>
      </c>
      <c r="M12" s="1209">
        <v>0</v>
      </c>
      <c r="N12" s="1210">
        <v>0</v>
      </c>
    </row>
    <row r="13" spans="1:14" ht="22.5" customHeight="1">
      <c r="A13" s="1464"/>
      <c r="B13" s="1467"/>
      <c r="C13" s="1467"/>
      <c r="D13" s="1461"/>
      <c r="E13" s="1461"/>
      <c r="F13" s="1461"/>
      <c r="G13" s="1461"/>
      <c r="H13" s="1458"/>
      <c r="I13" s="1458"/>
      <c r="J13" s="1205" t="s">
        <v>798</v>
      </c>
      <c r="K13" s="1206">
        <v>90825</v>
      </c>
      <c r="L13" s="1206">
        <f>4387+1540</f>
        <v>5927</v>
      </c>
      <c r="M13" s="1206">
        <v>1988</v>
      </c>
      <c r="N13" s="1207">
        <v>0</v>
      </c>
    </row>
    <row r="14" spans="1:14" ht="22.5" customHeight="1">
      <c r="A14" s="1465"/>
      <c r="B14" s="1468"/>
      <c r="C14" s="1468"/>
      <c r="D14" s="1462"/>
      <c r="E14" s="1462"/>
      <c r="F14" s="1462"/>
      <c r="G14" s="1462"/>
      <c r="H14" s="1459"/>
      <c r="I14" s="1459"/>
      <c r="J14" s="1208" t="s">
        <v>798</v>
      </c>
      <c r="K14" s="1209">
        <v>26423.09</v>
      </c>
      <c r="L14" s="1209">
        <v>0</v>
      </c>
      <c r="M14" s="1209">
        <v>0</v>
      </c>
      <c r="N14" s="1210">
        <v>0</v>
      </c>
    </row>
    <row r="15" spans="1:14" ht="22.5" customHeight="1">
      <c r="A15" s="1463" t="s">
        <v>1303</v>
      </c>
      <c r="B15" s="1479" t="s">
        <v>116</v>
      </c>
      <c r="C15" s="1479" t="s">
        <v>117</v>
      </c>
      <c r="D15" s="1460" t="s">
        <v>428</v>
      </c>
      <c r="E15" s="1460" t="s">
        <v>429</v>
      </c>
      <c r="F15" s="1460" t="s">
        <v>1189</v>
      </c>
      <c r="G15" s="1460" t="s">
        <v>140</v>
      </c>
      <c r="H15" s="1457">
        <v>492395</v>
      </c>
      <c r="I15" s="1457">
        <v>443155</v>
      </c>
      <c r="J15" s="1200" t="s">
        <v>568</v>
      </c>
      <c r="K15" s="1201">
        <f>SUM(K17,K19,K21)</f>
        <v>251535</v>
      </c>
      <c r="L15" s="1201">
        <f>SUM(L17,L19,L22)</f>
        <v>0</v>
      </c>
      <c r="M15" s="1201">
        <f>SUM(M17,M19,M22)</f>
        <v>0</v>
      </c>
      <c r="N15" s="1202">
        <f>SUM(N17,N19,N22)</f>
        <v>0</v>
      </c>
    </row>
    <row r="16" spans="1:14" ht="22.5" customHeight="1">
      <c r="A16" s="1464"/>
      <c r="B16" s="1480"/>
      <c r="C16" s="1467"/>
      <c r="D16" s="1461"/>
      <c r="E16" s="1461"/>
      <c r="F16" s="1461"/>
      <c r="G16" s="1461"/>
      <c r="H16" s="1458"/>
      <c r="I16" s="1458"/>
      <c r="J16" s="1203" t="s">
        <v>569</v>
      </c>
      <c r="K16" s="603">
        <f>SUM(K18,K20,K22)</f>
        <v>14018.17</v>
      </c>
      <c r="L16" s="603">
        <f>SUM(L18,L20,L22)</f>
        <v>0</v>
      </c>
      <c r="M16" s="603">
        <f>SUM(M18,M20,M22)</f>
        <v>0</v>
      </c>
      <c r="N16" s="1204">
        <f>SUM(N18,N20,N22)</f>
        <v>0</v>
      </c>
    </row>
    <row r="17" spans="1:14" ht="22.5" customHeight="1">
      <c r="A17" s="1464"/>
      <c r="B17" s="1480"/>
      <c r="C17" s="1467"/>
      <c r="D17" s="1461"/>
      <c r="E17" s="1461"/>
      <c r="F17" s="1461"/>
      <c r="G17" s="1461"/>
      <c r="H17" s="1458"/>
      <c r="I17" s="1458"/>
      <c r="J17" s="1205" t="s">
        <v>565</v>
      </c>
      <c r="K17" s="1206">
        <v>213794</v>
      </c>
      <c r="L17" s="1206">
        <v>0</v>
      </c>
      <c r="M17" s="1206">
        <v>0</v>
      </c>
      <c r="N17" s="1207">
        <v>0</v>
      </c>
    </row>
    <row r="18" spans="1:14" ht="22.5" customHeight="1">
      <c r="A18" s="1464"/>
      <c r="B18" s="1480"/>
      <c r="C18" s="1467"/>
      <c r="D18" s="1461"/>
      <c r="E18" s="1461"/>
      <c r="F18" s="1461"/>
      <c r="G18" s="1461"/>
      <c r="H18" s="1458"/>
      <c r="I18" s="1458"/>
      <c r="J18" s="1208" t="s">
        <v>565</v>
      </c>
      <c r="K18" s="1209">
        <v>13238.78</v>
      </c>
      <c r="L18" s="1209">
        <v>0</v>
      </c>
      <c r="M18" s="1209">
        <v>0</v>
      </c>
      <c r="N18" s="1210">
        <v>0</v>
      </c>
    </row>
    <row r="19" spans="1:14" ht="22.5" customHeight="1">
      <c r="A19" s="1464"/>
      <c r="B19" s="1480"/>
      <c r="C19" s="1467"/>
      <c r="D19" s="1461"/>
      <c r="E19" s="1461"/>
      <c r="F19" s="1461"/>
      <c r="G19" s="1461"/>
      <c r="H19" s="1458"/>
      <c r="I19" s="1458"/>
      <c r="J19" s="1205" t="s">
        <v>566</v>
      </c>
      <c r="K19" s="1206">
        <v>12587</v>
      </c>
      <c r="L19" s="1206">
        <v>0</v>
      </c>
      <c r="M19" s="1206">
        <v>0</v>
      </c>
      <c r="N19" s="1207">
        <v>0</v>
      </c>
    </row>
    <row r="20" spans="1:14" ht="22.5" customHeight="1">
      <c r="A20" s="1464"/>
      <c r="B20" s="1480"/>
      <c r="C20" s="1467"/>
      <c r="D20" s="1461"/>
      <c r="E20" s="1461"/>
      <c r="F20" s="1461"/>
      <c r="G20" s="1461"/>
      <c r="H20" s="1458"/>
      <c r="I20" s="1458"/>
      <c r="J20" s="1208" t="s">
        <v>566</v>
      </c>
      <c r="K20" s="1209">
        <v>779.39</v>
      </c>
      <c r="L20" s="1209">
        <v>0</v>
      </c>
      <c r="M20" s="1209">
        <v>0</v>
      </c>
      <c r="N20" s="1210">
        <v>0</v>
      </c>
    </row>
    <row r="21" spans="1:14" ht="22.5" customHeight="1">
      <c r="A21" s="1464"/>
      <c r="B21" s="1480"/>
      <c r="C21" s="1467"/>
      <c r="D21" s="1461"/>
      <c r="E21" s="1461"/>
      <c r="F21" s="1461"/>
      <c r="G21" s="1461"/>
      <c r="H21" s="1458"/>
      <c r="I21" s="1458"/>
      <c r="J21" s="1205" t="s">
        <v>139</v>
      </c>
      <c r="K21" s="1206">
        <v>25154</v>
      </c>
      <c r="L21" s="1206">
        <v>0</v>
      </c>
      <c r="M21" s="1206">
        <v>0</v>
      </c>
      <c r="N21" s="1207">
        <v>0</v>
      </c>
    </row>
    <row r="22" spans="1:14" ht="22.5" customHeight="1">
      <c r="A22" s="1465"/>
      <c r="B22" s="1481"/>
      <c r="C22" s="1468"/>
      <c r="D22" s="1462"/>
      <c r="E22" s="1462"/>
      <c r="F22" s="1462"/>
      <c r="G22" s="1462"/>
      <c r="H22" s="1459"/>
      <c r="I22" s="1459"/>
      <c r="J22" s="1208" t="s">
        <v>139</v>
      </c>
      <c r="K22" s="1209">
        <v>0</v>
      </c>
      <c r="L22" s="1209">
        <v>0</v>
      </c>
      <c r="M22" s="1209">
        <v>0</v>
      </c>
      <c r="N22" s="1210">
        <v>0</v>
      </c>
    </row>
    <row r="23" spans="1:14" ht="22.5" customHeight="1">
      <c r="A23" s="1463" t="s">
        <v>75</v>
      </c>
      <c r="B23" s="1466" t="s">
        <v>1105</v>
      </c>
      <c r="C23" s="1466" t="s">
        <v>609</v>
      </c>
      <c r="D23" s="1460" t="s">
        <v>428</v>
      </c>
      <c r="E23" s="1460" t="s">
        <v>430</v>
      </c>
      <c r="F23" s="1460" t="s">
        <v>1190</v>
      </c>
      <c r="G23" s="1460" t="s">
        <v>118</v>
      </c>
      <c r="H23" s="1457">
        <f>239157+39985</f>
        <v>279142</v>
      </c>
      <c r="I23" s="1457">
        <v>279142</v>
      </c>
      <c r="J23" s="1200" t="s">
        <v>568</v>
      </c>
      <c r="K23" s="1201">
        <f aca="true" t="shared" si="1" ref="K23:N24">SUM(K25,K27,K29)</f>
        <v>105249</v>
      </c>
      <c r="L23" s="1201">
        <f t="shared" si="1"/>
        <v>94115</v>
      </c>
      <c r="M23" s="1201">
        <f t="shared" si="1"/>
        <v>0</v>
      </c>
      <c r="N23" s="1202">
        <f t="shared" si="1"/>
        <v>0</v>
      </c>
    </row>
    <row r="24" spans="1:14" ht="22.5" customHeight="1">
      <c r="A24" s="1464"/>
      <c r="B24" s="1467"/>
      <c r="C24" s="1467"/>
      <c r="D24" s="1461"/>
      <c r="E24" s="1461"/>
      <c r="F24" s="1461"/>
      <c r="G24" s="1461"/>
      <c r="H24" s="1458"/>
      <c r="I24" s="1458"/>
      <c r="J24" s="1203" t="s">
        <v>569</v>
      </c>
      <c r="K24" s="603">
        <f t="shared" si="1"/>
        <v>50343.55</v>
      </c>
      <c r="L24" s="603">
        <f t="shared" si="1"/>
        <v>0</v>
      </c>
      <c r="M24" s="603">
        <f t="shared" si="1"/>
        <v>0</v>
      </c>
      <c r="N24" s="1204">
        <f t="shared" si="1"/>
        <v>0</v>
      </c>
    </row>
    <row r="25" spans="1:14" ht="22.5" customHeight="1">
      <c r="A25" s="1464"/>
      <c r="B25" s="1467"/>
      <c r="C25" s="1467"/>
      <c r="D25" s="1461"/>
      <c r="E25" s="1461"/>
      <c r="F25" s="1461"/>
      <c r="G25" s="1461"/>
      <c r="H25" s="1458"/>
      <c r="I25" s="1458"/>
      <c r="J25" s="1205" t="s">
        <v>565</v>
      </c>
      <c r="K25" s="1206">
        <v>95248</v>
      </c>
      <c r="L25" s="1206">
        <v>86787</v>
      </c>
      <c r="M25" s="1206">
        <v>0</v>
      </c>
      <c r="N25" s="1207">
        <v>0</v>
      </c>
    </row>
    <row r="26" spans="1:14" ht="22.5" customHeight="1">
      <c r="A26" s="1464"/>
      <c r="B26" s="1467"/>
      <c r="C26" s="1467"/>
      <c r="D26" s="1461"/>
      <c r="E26" s="1461"/>
      <c r="F26" s="1461"/>
      <c r="G26" s="1461"/>
      <c r="H26" s="1458"/>
      <c r="I26" s="1458"/>
      <c r="J26" s="1208" t="s">
        <v>565</v>
      </c>
      <c r="K26" s="1209">
        <v>40342.55</v>
      </c>
      <c r="L26" s="1209">
        <v>0</v>
      </c>
      <c r="M26" s="1209">
        <v>0</v>
      </c>
      <c r="N26" s="1210">
        <v>0</v>
      </c>
    </row>
    <row r="27" spans="1:14" ht="22.5" customHeight="1" hidden="1">
      <c r="A27" s="1464"/>
      <c r="B27" s="1467"/>
      <c r="C27" s="1467"/>
      <c r="D27" s="1461"/>
      <c r="E27" s="1461"/>
      <c r="F27" s="1461"/>
      <c r="G27" s="1461"/>
      <c r="H27" s="1458"/>
      <c r="I27" s="1458"/>
      <c r="J27" s="1205" t="s">
        <v>566</v>
      </c>
      <c r="K27" s="1206"/>
      <c r="L27" s="1206">
        <v>0</v>
      </c>
      <c r="M27" s="1206">
        <v>0</v>
      </c>
      <c r="N27" s="1207">
        <v>0</v>
      </c>
    </row>
    <row r="28" spans="1:14" ht="22.5" customHeight="1" hidden="1">
      <c r="A28" s="1464"/>
      <c r="B28" s="1467"/>
      <c r="C28" s="1467"/>
      <c r="D28" s="1461"/>
      <c r="E28" s="1461"/>
      <c r="F28" s="1461"/>
      <c r="G28" s="1461"/>
      <c r="H28" s="1458"/>
      <c r="I28" s="1458"/>
      <c r="J28" s="1208" t="s">
        <v>566</v>
      </c>
      <c r="K28" s="1209"/>
      <c r="L28" s="1209">
        <v>0</v>
      </c>
      <c r="M28" s="1209">
        <v>0</v>
      </c>
      <c r="N28" s="1210">
        <v>0</v>
      </c>
    </row>
    <row r="29" spans="1:14" ht="22.5" customHeight="1">
      <c r="A29" s="1464"/>
      <c r="B29" s="1467"/>
      <c r="C29" s="1467"/>
      <c r="D29" s="1461"/>
      <c r="E29" s="1461"/>
      <c r="F29" s="1461"/>
      <c r="G29" s="1461"/>
      <c r="H29" s="1458"/>
      <c r="I29" s="1458"/>
      <c r="J29" s="1205" t="s">
        <v>439</v>
      </c>
      <c r="K29" s="1206">
        <v>10001</v>
      </c>
      <c r="L29" s="1206">
        <v>7328</v>
      </c>
      <c r="M29" s="1206">
        <v>0</v>
      </c>
      <c r="N29" s="1207">
        <v>0</v>
      </c>
    </row>
    <row r="30" spans="1:14" ht="22.5" customHeight="1">
      <c r="A30" s="1465"/>
      <c r="B30" s="1468"/>
      <c r="C30" s="1468"/>
      <c r="D30" s="1462"/>
      <c r="E30" s="1462"/>
      <c r="F30" s="1462"/>
      <c r="G30" s="1462"/>
      <c r="H30" s="1459"/>
      <c r="I30" s="1459"/>
      <c r="J30" s="1208" t="s">
        <v>439</v>
      </c>
      <c r="K30" s="1209">
        <v>10001</v>
      </c>
      <c r="L30" s="1209">
        <v>0</v>
      </c>
      <c r="M30" s="1209">
        <v>0</v>
      </c>
      <c r="N30" s="1210">
        <v>0</v>
      </c>
    </row>
    <row r="31" spans="1:14" ht="22.5" customHeight="1">
      <c r="A31" s="1463" t="s">
        <v>83</v>
      </c>
      <c r="B31" s="1466" t="s">
        <v>1105</v>
      </c>
      <c r="C31" s="1466" t="s">
        <v>609</v>
      </c>
      <c r="D31" s="1460" t="s">
        <v>428</v>
      </c>
      <c r="E31" s="1460" t="s">
        <v>1107</v>
      </c>
      <c r="F31" s="1460" t="s">
        <v>440</v>
      </c>
      <c r="G31" s="1460" t="s">
        <v>951</v>
      </c>
      <c r="H31" s="1457">
        <v>1052234</v>
      </c>
      <c r="I31" s="1457">
        <v>1052234</v>
      </c>
      <c r="J31" s="1200" t="s">
        <v>568</v>
      </c>
      <c r="K31" s="1201">
        <f aca="true" t="shared" si="2" ref="K31:N32">SUM(K33,K35)</f>
        <v>744549</v>
      </c>
      <c r="L31" s="1201">
        <f t="shared" si="2"/>
        <v>0</v>
      </c>
      <c r="M31" s="1201">
        <f t="shared" si="2"/>
        <v>0</v>
      </c>
      <c r="N31" s="1202">
        <f t="shared" si="2"/>
        <v>0</v>
      </c>
    </row>
    <row r="32" spans="1:14" ht="22.5" customHeight="1">
      <c r="A32" s="1464"/>
      <c r="B32" s="1467"/>
      <c r="C32" s="1467"/>
      <c r="D32" s="1461"/>
      <c r="E32" s="1461"/>
      <c r="F32" s="1461"/>
      <c r="G32" s="1461"/>
      <c r="H32" s="1458"/>
      <c r="I32" s="1458"/>
      <c r="J32" s="1203" t="s">
        <v>569</v>
      </c>
      <c r="K32" s="603">
        <f t="shared" si="2"/>
        <v>323726.52</v>
      </c>
      <c r="L32" s="603">
        <f t="shared" si="2"/>
        <v>0</v>
      </c>
      <c r="M32" s="603">
        <f t="shared" si="2"/>
        <v>0</v>
      </c>
      <c r="N32" s="1204">
        <f t="shared" si="2"/>
        <v>0</v>
      </c>
    </row>
    <row r="33" spans="1:14" ht="22.5" customHeight="1">
      <c r="A33" s="1464"/>
      <c r="B33" s="1467"/>
      <c r="C33" s="1467"/>
      <c r="D33" s="1461"/>
      <c r="E33" s="1461"/>
      <c r="F33" s="1461"/>
      <c r="G33" s="1461"/>
      <c r="H33" s="1458"/>
      <c r="I33" s="1458"/>
      <c r="J33" s="1205" t="s">
        <v>565</v>
      </c>
      <c r="K33" s="1206">
        <v>632867</v>
      </c>
      <c r="L33" s="1206">
        <v>0</v>
      </c>
      <c r="M33" s="1206">
        <v>0</v>
      </c>
      <c r="N33" s="1207">
        <v>0</v>
      </c>
    </row>
    <row r="34" spans="1:14" ht="22.5" customHeight="1">
      <c r="A34" s="1464"/>
      <c r="B34" s="1467"/>
      <c r="C34" s="1467"/>
      <c r="D34" s="1461"/>
      <c r="E34" s="1461"/>
      <c r="F34" s="1461"/>
      <c r="G34" s="1461"/>
      <c r="H34" s="1458"/>
      <c r="I34" s="1458"/>
      <c r="J34" s="1208" t="s">
        <v>565</v>
      </c>
      <c r="K34" s="1209">
        <v>275167.53</v>
      </c>
      <c r="L34" s="1209">
        <v>0</v>
      </c>
      <c r="M34" s="1209">
        <v>0</v>
      </c>
      <c r="N34" s="1210">
        <v>0</v>
      </c>
    </row>
    <row r="35" spans="1:14" ht="22.5" customHeight="1">
      <c r="A35" s="1464"/>
      <c r="B35" s="1467"/>
      <c r="C35" s="1467"/>
      <c r="D35" s="1461"/>
      <c r="E35" s="1461"/>
      <c r="F35" s="1461"/>
      <c r="G35" s="1461"/>
      <c r="H35" s="1458"/>
      <c r="I35" s="1458"/>
      <c r="J35" s="1205" t="s">
        <v>797</v>
      </c>
      <c r="K35" s="1206">
        <v>111682</v>
      </c>
      <c r="L35" s="1206">
        <v>0</v>
      </c>
      <c r="M35" s="1206">
        <v>0</v>
      </c>
      <c r="N35" s="1207">
        <v>0</v>
      </c>
    </row>
    <row r="36" spans="1:14" ht="22.5" customHeight="1">
      <c r="A36" s="1465"/>
      <c r="B36" s="1468"/>
      <c r="C36" s="1468"/>
      <c r="D36" s="1462"/>
      <c r="E36" s="1462"/>
      <c r="F36" s="1462"/>
      <c r="G36" s="1462"/>
      <c r="H36" s="1459"/>
      <c r="I36" s="1459"/>
      <c r="J36" s="1208" t="s">
        <v>797</v>
      </c>
      <c r="K36" s="1209">
        <v>48558.99</v>
      </c>
      <c r="L36" s="1209">
        <v>0</v>
      </c>
      <c r="M36" s="1209">
        <v>0</v>
      </c>
      <c r="N36" s="1210">
        <v>0</v>
      </c>
    </row>
    <row r="37" spans="1:14" s="15" customFormat="1" ht="22.5" customHeight="1">
      <c r="A37" s="1463" t="s">
        <v>84</v>
      </c>
      <c r="B37" s="1466" t="s">
        <v>1105</v>
      </c>
      <c r="C37" s="1466" t="s">
        <v>609</v>
      </c>
      <c r="D37" s="1460" t="s">
        <v>428</v>
      </c>
      <c r="E37" s="1460" t="s">
        <v>795</v>
      </c>
      <c r="F37" s="1460" t="s">
        <v>859</v>
      </c>
      <c r="G37" s="1460">
        <v>2009</v>
      </c>
      <c r="H37" s="1457">
        <v>335410</v>
      </c>
      <c r="I37" s="1457">
        <v>335410</v>
      </c>
      <c r="J37" s="1200" t="s">
        <v>568</v>
      </c>
      <c r="K37" s="1201">
        <f aca="true" t="shared" si="3" ref="K37:N38">SUM(K39,K41,K43,K45)</f>
        <v>335410</v>
      </c>
      <c r="L37" s="1201">
        <f t="shared" si="3"/>
        <v>0</v>
      </c>
      <c r="M37" s="1201">
        <f t="shared" si="3"/>
        <v>0</v>
      </c>
      <c r="N37" s="1202">
        <f t="shared" si="3"/>
        <v>0</v>
      </c>
    </row>
    <row r="38" spans="1:14" s="15" customFormat="1" ht="22.5" customHeight="1">
      <c r="A38" s="1464"/>
      <c r="B38" s="1467"/>
      <c r="C38" s="1467"/>
      <c r="D38" s="1461"/>
      <c r="E38" s="1461"/>
      <c r="F38" s="1461"/>
      <c r="G38" s="1461"/>
      <c r="H38" s="1458"/>
      <c r="I38" s="1458"/>
      <c r="J38" s="1203" t="s">
        <v>569</v>
      </c>
      <c r="K38" s="603">
        <f t="shared" si="3"/>
        <v>83160</v>
      </c>
      <c r="L38" s="603">
        <f t="shared" si="3"/>
        <v>0</v>
      </c>
      <c r="M38" s="603">
        <f t="shared" si="3"/>
        <v>0</v>
      </c>
      <c r="N38" s="1204">
        <f t="shared" si="3"/>
        <v>0</v>
      </c>
    </row>
    <row r="39" spans="1:14" s="15" customFormat="1" ht="22.5" customHeight="1">
      <c r="A39" s="1464"/>
      <c r="B39" s="1467"/>
      <c r="C39" s="1467"/>
      <c r="D39" s="1461"/>
      <c r="E39" s="1461"/>
      <c r="F39" s="1461"/>
      <c r="G39" s="1461"/>
      <c r="H39" s="1458"/>
      <c r="I39" s="1458"/>
      <c r="J39" s="1205" t="s">
        <v>565</v>
      </c>
      <c r="K39" s="1206">
        <v>285099</v>
      </c>
      <c r="L39" s="1206">
        <v>0</v>
      </c>
      <c r="M39" s="1206">
        <v>0</v>
      </c>
      <c r="N39" s="1207">
        <v>0</v>
      </c>
    </row>
    <row r="40" spans="1:14" s="15" customFormat="1" ht="22.5" customHeight="1">
      <c r="A40" s="1464"/>
      <c r="B40" s="1467"/>
      <c r="C40" s="1467"/>
      <c r="D40" s="1461"/>
      <c r="E40" s="1461"/>
      <c r="F40" s="1461"/>
      <c r="G40" s="1461"/>
      <c r="H40" s="1458"/>
      <c r="I40" s="1458"/>
      <c r="J40" s="1208" t="s">
        <v>565</v>
      </c>
      <c r="K40" s="1209">
        <v>79510.92</v>
      </c>
      <c r="L40" s="1209">
        <v>0</v>
      </c>
      <c r="M40" s="1209">
        <v>0</v>
      </c>
      <c r="N40" s="1210">
        <v>0</v>
      </c>
    </row>
    <row r="41" spans="1:14" s="15" customFormat="1" ht="22.5" customHeight="1">
      <c r="A41" s="1464"/>
      <c r="B41" s="1467"/>
      <c r="C41" s="1467"/>
      <c r="D41" s="1461"/>
      <c r="E41" s="1461"/>
      <c r="F41" s="1461"/>
      <c r="G41" s="1461"/>
      <c r="H41" s="1458"/>
      <c r="I41" s="1458"/>
      <c r="J41" s="1205" t="s">
        <v>797</v>
      </c>
      <c r="K41" s="1206">
        <v>3743</v>
      </c>
      <c r="L41" s="1206">
        <v>0</v>
      </c>
      <c r="M41" s="1206">
        <v>0</v>
      </c>
      <c r="N41" s="1207">
        <v>0</v>
      </c>
    </row>
    <row r="42" spans="1:14" s="15" customFormat="1" ht="22.5" customHeight="1">
      <c r="A42" s="1464"/>
      <c r="B42" s="1467"/>
      <c r="C42" s="1467"/>
      <c r="D42" s="1461"/>
      <c r="E42" s="1461"/>
      <c r="F42" s="1461"/>
      <c r="G42" s="1461"/>
      <c r="H42" s="1458"/>
      <c r="I42" s="1458"/>
      <c r="J42" s="1208" t="s">
        <v>797</v>
      </c>
      <c r="K42" s="1209">
        <v>3649.08</v>
      </c>
      <c r="L42" s="1209">
        <v>0</v>
      </c>
      <c r="M42" s="1209">
        <v>0</v>
      </c>
      <c r="N42" s="1210">
        <v>0</v>
      </c>
    </row>
    <row r="43" spans="1:14" s="15" customFormat="1" ht="22.5" customHeight="1">
      <c r="A43" s="1464"/>
      <c r="B43" s="1467"/>
      <c r="C43" s="1467"/>
      <c r="D43" s="1461"/>
      <c r="E43" s="1461"/>
      <c r="F43" s="1461"/>
      <c r="G43" s="1461"/>
      <c r="H43" s="1458"/>
      <c r="I43" s="1458"/>
      <c r="J43" s="1205" t="s">
        <v>796</v>
      </c>
      <c r="K43" s="1293">
        <v>2848</v>
      </c>
      <c r="L43" s="1293">
        <v>0</v>
      </c>
      <c r="M43" s="1293">
        <v>0</v>
      </c>
      <c r="N43" s="1294">
        <v>0</v>
      </c>
    </row>
    <row r="44" spans="1:14" s="15" customFormat="1" ht="22.5" customHeight="1">
      <c r="A44" s="1464"/>
      <c r="B44" s="1467"/>
      <c r="C44" s="1467"/>
      <c r="D44" s="1461"/>
      <c r="E44" s="1461"/>
      <c r="F44" s="1461"/>
      <c r="G44" s="1461"/>
      <c r="H44" s="1458"/>
      <c r="I44" s="1458"/>
      <c r="J44" s="1208" t="s">
        <v>796</v>
      </c>
      <c r="K44" s="1295">
        <v>0</v>
      </c>
      <c r="L44" s="1295">
        <v>0</v>
      </c>
      <c r="M44" s="1295">
        <v>0</v>
      </c>
      <c r="N44" s="1296">
        <v>0</v>
      </c>
    </row>
    <row r="45" spans="1:14" s="15" customFormat="1" ht="22.5" customHeight="1">
      <c r="A45" s="1464"/>
      <c r="B45" s="1467"/>
      <c r="C45" s="1467"/>
      <c r="D45" s="1461"/>
      <c r="E45" s="1461"/>
      <c r="F45" s="1461"/>
      <c r="G45" s="1461"/>
      <c r="H45" s="1458"/>
      <c r="I45" s="1458"/>
      <c r="J45" s="1205" t="s">
        <v>798</v>
      </c>
      <c r="K45" s="1206">
        <v>43720</v>
      </c>
      <c r="L45" s="1206">
        <v>0</v>
      </c>
      <c r="M45" s="1206">
        <v>0</v>
      </c>
      <c r="N45" s="1207">
        <v>0</v>
      </c>
    </row>
    <row r="46" spans="1:14" s="15" customFormat="1" ht="22.5" customHeight="1" thickBot="1">
      <c r="A46" s="1475"/>
      <c r="B46" s="1476"/>
      <c r="C46" s="1476"/>
      <c r="D46" s="1477"/>
      <c r="E46" s="1477"/>
      <c r="F46" s="1477"/>
      <c r="G46" s="1477"/>
      <c r="H46" s="1478"/>
      <c r="I46" s="1478"/>
      <c r="J46" s="1297" t="s">
        <v>798</v>
      </c>
      <c r="K46" s="1298">
        <v>0</v>
      </c>
      <c r="L46" s="1298">
        <v>0</v>
      </c>
      <c r="M46" s="1298">
        <v>0</v>
      </c>
      <c r="N46" s="1299">
        <v>0</v>
      </c>
    </row>
    <row r="47" spans="1:14" ht="22.5" customHeight="1" thickTop="1">
      <c r="A47" s="1469" t="s">
        <v>323</v>
      </c>
      <c r="B47" s="1470"/>
      <c r="C47" s="1470"/>
      <c r="D47" s="1470"/>
      <c r="E47" s="1470"/>
      <c r="F47" s="1470"/>
      <c r="G47" s="1470"/>
      <c r="H47" s="1470"/>
      <c r="I47" s="1471"/>
      <c r="J47" s="1216" t="s">
        <v>324</v>
      </c>
      <c r="K47" s="1217">
        <f aca="true" t="shared" si="4" ref="K47:N48">SUM(K7,K15,K23,K31,K37)</f>
        <v>2301688</v>
      </c>
      <c r="L47" s="1217">
        <f t="shared" si="4"/>
        <v>730189</v>
      </c>
      <c r="M47" s="1217">
        <f t="shared" si="4"/>
        <v>176159</v>
      </c>
      <c r="N47" s="1307">
        <f t="shared" si="4"/>
        <v>0</v>
      </c>
    </row>
    <row r="48" spans="1:14" s="567" customFormat="1" ht="22.5" customHeight="1" thickBot="1">
      <c r="A48" s="1472"/>
      <c r="B48" s="1473"/>
      <c r="C48" s="1473"/>
      <c r="D48" s="1473"/>
      <c r="E48" s="1473"/>
      <c r="F48" s="1473"/>
      <c r="G48" s="1473"/>
      <c r="H48" s="1473"/>
      <c r="I48" s="1474"/>
      <c r="J48" s="1218" t="s">
        <v>325</v>
      </c>
      <c r="K48" s="1219">
        <f t="shared" si="4"/>
        <v>647354.99</v>
      </c>
      <c r="L48" s="1219">
        <f t="shared" si="4"/>
        <v>0</v>
      </c>
      <c r="M48" s="1219">
        <f t="shared" si="4"/>
        <v>0</v>
      </c>
      <c r="N48" s="1308">
        <f t="shared" si="4"/>
        <v>0</v>
      </c>
    </row>
  </sheetData>
  <sheetProtection password="CF53" sheet="1" objects="1" scenarios="1" selectLockedCells="1" selectUnlockedCells="1"/>
  <mergeCells count="58">
    <mergeCell ref="F15:F22"/>
    <mergeCell ref="F23:F30"/>
    <mergeCell ref="E7:E14"/>
    <mergeCell ref="G7:G14"/>
    <mergeCell ref="E23:E30"/>
    <mergeCell ref="G23:G30"/>
    <mergeCell ref="H7:H14"/>
    <mergeCell ref="I7:I14"/>
    <mergeCell ref="F7:F14"/>
    <mergeCell ref="A7:A14"/>
    <mergeCell ref="B7:B14"/>
    <mergeCell ref="C7:C14"/>
    <mergeCell ref="D7:D14"/>
    <mergeCell ref="H23:H30"/>
    <mergeCell ref="I23:I30"/>
    <mergeCell ref="A23:A30"/>
    <mergeCell ref="B23:B30"/>
    <mergeCell ref="C23:C30"/>
    <mergeCell ref="D23:D30"/>
    <mergeCell ref="A2:N2"/>
    <mergeCell ref="E4:E5"/>
    <mergeCell ref="G4:G5"/>
    <mergeCell ref="J4:J5"/>
    <mergeCell ref="K4:N4"/>
    <mergeCell ref="H4:H5"/>
    <mergeCell ref="D4:D5"/>
    <mergeCell ref="B4:B5"/>
    <mergeCell ref="A4:A5"/>
    <mergeCell ref="F4:F5"/>
    <mergeCell ref="A15:A22"/>
    <mergeCell ref="B15:B22"/>
    <mergeCell ref="C4:C5"/>
    <mergeCell ref="I4:I5"/>
    <mergeCell ref="C15:C22"/>
    <mergeCell ref="D15:D22"/>
    <mergeCell ref="E15:E22"/>
    <mergeCell ref="G15:G22"/>
    <mergeCell ref="H15:H22"/>
    <mergeCell ref="I15:I22"/>
    <mergeCell ref="A47:I48"/>
    <mergeCell ref="A37:A46"/>
    <mergeCell ref="B37:B46"/>
    <mergeCell ref="C37:C46"/>
    <mergeCell ref="D37:D46"/>
    <mergeCell ref="I37:I46"/>
    <mergeCell ref="E37:E46"/>
    <mergeCell ref="G37:G46"/>
    <mergeCell ref="H37:H46"/>
    <mergeCell ref="F37:F46"/>
    <mergeCell ref="A31:A36"/>
    <mergeCell ref="B31:B36"/>
    <mergeCell ref="C31:C36"/>
    <mergeCell ref="D31:D36"/>
    <mergeCell ref="I31:I36"/>
    <mergeCell ref="E31:E36"/>
    <mergeCell ref="F31:F36"/>
    <mergeCell ref="G31:G36"/>
    <mergeCell ref="H31:H36"/>
  </mergeCells>
  <printOptions verticalCentered="1"/>
  <pageMargins left="0.7874015748031497" right="0.1968503937007874" top="0.7874015748031497" bottom="0.5905511811023623" header="0.5118110236220472" footer="0.31496062992125984"/>
  <pageSetup horizontalDpi="600" verticalDpi="600" orientation="landscape" paperSize="9" r:id="rId1"/>
  <rowBreaks count="2" manualBreakCount="2">
    <brk id="22" max="13" man="1"/>
    <brk id="36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242"/>
  <sheetViews>
    <sheetView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4.00390625" style="821" customWidth="1"/>
    <col min="2" max="2" width="8.625" style="821" customWidth="1"/>
    <col min="3" max="3" width="87.875" style="821" customWidth="1"/>
    <col min="4" max="4" width="13.125" style="821" customWidth="1"/>
    <col min="5" max="5" width="12.375" style="821" customWidth="1"/>
    <col min="6" max="6" width="5.75390625" style="821" customWidth="1"/>
    <col min="7" max="7" width="10.00390625" style="823" bestFit="1" customWidth="1"/>
    <col min="8" max="16384" width="9.125" style="821" customWidth="1"/>
  </cols>
  <sheetData>
    <row r="1" spans="5:6" ht="12.75">
      <c r="E1" s="1501" t="s">
        <v>821</v>
      </c>
      <c r="F1" s="1501"/>
    </row>
    <row r="2" ht="28.5" customHeight="1">
      <c r="F2" s="818"/>
    </row>
    <row r="3" spans="1:7" s="599" customFormat="1" ht="15" customHeight="1">
      <c r="A3" s="1486" t="s">
        <v>955</v>
      </c>
      <c r="B3" s="1486"/>
      <c r="C3" s="1486"/>
      <c r="D3" s="1486"/>
      <c r="E3" s="1486"/>
      <c r="F3" s="1486"/>
      <c r="G3" s="820"/>
    </row>
    <row r="4" spans="3:6" ht="15" customHeight="1" thickBot="1">
      <c r="C4" s="819"/>
      <c r="F4" s="822" t="s">
        <v>1035</v>
      </c>
    </row>
    <row r="5" spans="1:7" s="819" customFormat="1" ht="31.5" customHeight="1">
      <c r="A5" s="885" t="s">
        <v>1299</v>
      </c>
      <c r="B5" s="61" t="s">
        <v>1036</v>
      </c>
      <c r="C5" s="61" t="s">
        <v>387</v>
      </c>
      <c r="D5" s="61" t="s">
        <v>1038</v>
      </c>
      <c r="E5" s="61" t="s">
        <v>1039</v>
      </c>
      <c r="F5" s="62" t="s">
        <v>1040</v>
      </c>
      <c r="G5" s="817"/>
    </row>
    <row r="6" spans="1:7" s="819" customFormat="1" ht="12" customHeight="1" thickBot="1">
      <c r="A6" s="886">
        <v>1</v>
      </c>
      <c r="B6" s="887">
        <v>2</v>
      </c>
      <c r="C6" s="887">
        <v>3</v>
      </c>
      <c r="D6" s="887">
        <v>4</v>
      </c>
      <c r="E6" s="887">
        <v>5</v>
      </c>
      <c r="F6" s="888">
        <v>6</v>
      </c>
      <c r="G6" s="817"/>
    </row>
    <row r="7" spans="1:7" s="827" customFormat="1" ht="30" customHeight="1">
      <c r="A7" s="1495" t="s">
        <v>1047</v>
      </c>
      <c r="B7" s="1496"/>
      <c r="C7" s="1497"/>
      <c r="D7" s="824">
        <f>SUM(D8,D9,D10,D11,D12,D15,D16,D17,D18,D19,D22,D25,D28,D29,D30,D31,D32,D33,D34,D35,D36)</f>
        <v>25792000</v>
      </c>
      <c r="E7" s="824">
        <f>SUM(E8,E9,E10,E11,E12,E15,E16,E17,E18,E19,E22,E25,E28,E29,E30,E31,E32,E33,E34,E35,E36)</f>
        <v>8891378.4</v>
      </c>
      <c r="F7" s="825">
        <f aca="true" t="shared" si="0" ref="F7:F38">E7/D7*100</f>
        <v>34.47339640198511</v>
      </c>
      <c r="G7" s="826"/>
    </row>
    <row r="8" spans="1:7" ht="30" customHeight="1">
      <c r="A8" s="868" t="s">
        <v>1302</v>
      </c>
      <c r="B8" s="835" t="s">
        <v>1076</v>
      </c>
      <c r="C8" s="869" t="s">
        <v>436</v>
      </c>
      <c r="D8" s="870">
        <v>567000</v>
      </c>
      <c r="E8" s="870">
        <v>120972.76</v>
      </c>
      <c r="F8" s="837">
        <f t="shared" si="0"/>
        <v>21.33558377425044</v>
      </c>
      <c r="G8" s="909"/>
    </row>
    <row r="9" spans="1:7" ht="30" customHeight="1">
      <c r="A9" s="828" t="s">
        <v>1303</v>
      </c>
      <c r="B9" s="829" t="s">
        <v>1048</v>
      </c>
      <c r="C9" s="830" t="s">
        <v>424</v>
      </c>
      <c r="D9" s="831">
        <v>100000</v>
      </c>
      <c r="E9" s="832">
        <v>73949.7</v>
      </c>
      <c r="F9" s="833">
        <f t="shared" si="0"/>
        <v>73.94969999999999</v>
      </c>
      <c r="G9" s="909"/>
    </row>
    <row r="10" spans="1:7" ht="30" customHeight="1">
      <c r="A10" s="828" t="s">
        <v>75</v>
      </c>
      <c r="B10" s="829" t="s">
        <v>1048</v>
      </c>
      <c r="C10" s="834" t="s">
        <v>337</v>
      </c>
      <c r="D10" s="831">
        <v>976000</v>
      </c>
      <c r="E10" s="832">
        <v>97600</v>
      </c>
      <c r="F10" s="833">
        <f t="shared" si="0"/>
        <v>10</v>
      </c>
      <c r="G10" s="909"/>
    </row>
    <row r="11" spans="1:7" ht="30" customHeight="1">
      <c r="A11" s="828" t="s">
        <v>83</v>
      </c>
      <c r="B11" s="835" t="s">
        <v>1048</v>
      </c>
      <c r="C11" s="76" t="s">
        <v>437</v>
      </c>
      <c r="D11" s="836">
        <v>3022000</v>
      </c>
      <c r="E11" s="836">
        <v>9582.23</v>
      </c>
      <c r="F11" s="837">
        <f t="shared" si="0"/>
        <v>0.31708239576439445</v>
      </c>
      <c r="G11" s="909"/>
    </row>
    <row r="12" spans="1:7" ht="30" customHeight="1">
      <c r="A12" s="894" t="s">
        <v>84</v>
      </c>
      <c r="B12" s="895" t="s">
        <v>1048</v>
      </c>
      <c r="C12" s="896" t="s">
        <v>873</v>
      </c>
      <c r="D12" s="897">
        <v>1191000</v>
      </c>
      <c r="E12" s="897">
        <v>89249.82</v>
      </c>
      <c r="F12" s="898">
        <f t="shared" si="0"/>
        <v>7.493687657430731</v>
      </c>
      <c r="G12" s="909"/>
    </row>
    <row r="13" spans="1:7" s="874" customFormat="1" ht="19.5" customHeight="1">
      <c r="A13" s="900"/>
      <c r="B13" s="901"/>
      <c r="C13" s="902" t="s">
        <v>956</v>
      </c>
      <c r="D13" s="903">
        <v>1071000</v>
      </c>
      <c r="E13" s="903">
        <v>89249.82</v>
      </c>
      <c r="F13" s="904">
        <f t="shared" si="0"/>
        <v>8.333316526610645</v>
      </c>
      <c r="G13" s="909"/>
    </row>
    <row r="14" spans="1:7" s="874" customFormat="1" ht="19.5" customHeight="1">
      <c r="A14" s="889"/>
      <c r="B14" s="890"/>
      <c r="C14" s="899" t="s">
        <v>338</v>
      </c>
      <c r="D14" s="892">
        <v>120000</v>
      </c>
      <c r="E14" s="892">
        <v>0</v>
      </c>
      <c r="F14" s="893">
        <f t="shared" si="0"/>
        <v>0</v>
      </c>
      <c r="G14" s="909"/>
    </row>
    <row r="15" spans="1:7" ht="30" customHeight="1">
      <c r="A15" s="828" t="s">
        <v>85</v>
      </c>
      <c r="B15" s="835" t="s">
        <v>1048</v>
      </c>
      <c r="C15" s="76" t="s">
        <v>904</v>
      </c>
      <c r="D15" s="836">
        <v>1913000</v>
      </c>
      <c r="E15" s="836">
        <v>250606.75</v>
      </c>
      <c r="F15" s="837">
        <f t="shared" si="0"/>
        <v>13.100196027182436</v>
      </c>
      <c r="G15" s="909"/>
    </row>
    <row r="16" spans="1:7" ht="30" customHeight="1">
      <c r="A16" s="828" t="s">
        <v>133</v>
      </c>
      <c r="B16" s="835" t="s">
        <v>1048</v>
      </c>
      <c r="C16" s="76" t="s">
        <v>874</v>
      </c>
      <c r="D16" s="836">
        <v>50000</v>
      </c>
      <c r="E16" s="836">
        <v>0</v>
      </c>
      <c r="F16" s="837">
        <f t="shared" si="0"/>
        <v>0</v>
      </c>
      <c r="G16" s="909"/>
    </row>
    <row r="17" spans="1:7" ht="30" customHeight="1">
      <c r="A17" s="828" t="s">
        <v>134</v>
      </c>
      <c r="B17" s="835" t="s">
        <v>1048</v>
      </c>
      <c r="C17" s="76" t="s">
        <v>875</v>
      </c>
      <c r="D17" s="836">
        <v>315000</v>
      </c>
      <c r="E17" s="836">
        <v>118346.04</v>
      </c>
      <c r="F17" s="837">
        <f t="shared" si="0"/>
        <v>37.57017142857143</v>
      </c>
      <c r="G17" s="909"/>
    </row>
    <row r="18" spans="1:7" ht="30" customHeight="1">
      <c r="A18" s="828" t="s">
        <v>86</v>
      </c>
      <c r="B18" s="835" t="s">
        <v>1048</v>
      </c>
      <c r="C18" s="76" t="s">
        <v>1110</v>
      </c>
      <c r="D18" s="836">
        <v>105000</v>
      </c>
      <c r="E18" s="836">
        <v>2440</v>
      </c>
      <c r="F18" s="837">
        <f t="shared" si="0"/>
        <v>2.323809523809524</v>
      </c>
      <c r="G18" s="909"/>
    </row>
    <row r="19" spans="1:7" ht="30" customHeight="1">
      <c r="A19" s="894" t="s">
        <v>88</v>
      </c>
      <c r="B19" s="895" t="s">
        <v>1048</v>
      </c>
      <c r="C19" s="896" t="s">
        <v>876</v>
      </c>
      <c r="D19" s="897">
        <f>D20+D21</f>
        <v>4575000</v>
      </c>
      <c r="E19" s="897">
        <f>E20+E21</f>
        <v>2155817.77</v>
      </c>
      <c r="F19" s="898">
        <f t="shared" si="0"/>
        <v>47.12169989071038</v>
      </c>
      <c r="G19" s="909"/>
    </row>
    <row r="20" spans="1:7" s="874" customFormat="1" ht="19.5" customHeight="1">
      <c r="A20" s="900"/>
      <c r="B20" s="901"/>
      <c r="C20" s="905" t="s">
        <v>956</v>
      </c>
      <c r="D20" s="903">
        <v>3900000</v>
      </c>
      <c r="E20" s="903">
        <v>1727659.46</v>
      </c>
      <c r="F20" s="904">
        <f t="shared" si="0"/>
        <v>44.298960512820514</v>
      </c>
      <c r="G20" s="909"/>
    </row>
    <row r="21" spans="1:7" s="874" customFormat="1" ht="19.5" customHeight="1">
      <c r="A21" s="889"/>
      <c r="B21" s="890"/>
      <c r="C21" s="899" t="s">
        <v>338</v>
      </c>
      <c r="D21" s="892">
        <v>675000</v>
      </c>
      <c r="E21" s="892">
        <v>428158.31</v>
      </c>
      <c r="F21" s="893">
        <f t="shared" si="0"/>
        <v>63.430860740740734</v>
      </c>
      <c r="G21" s="909"/>
    </row>
    <row r="22" spans="1:7" ht="30" customHeight="1">
      <c r="A22" s="894" t="s">
        <v>135</v>
      </c>
      <c r="B22" s="895" t="s">
        <v>1048</v>
      </c>
      <c r="C22" s="896" t="s">
        <v>877</v>
      </c>
      <c r="D22" s="897">
        <f>D23+D24</f>
        <v>2450000</v>
      </c>
      <c r="E22" s="897">
        <f>E23+E24</f>
        <v>1227736.65</v>
      </c>
      <c r="F22" s="898">
        <f t="shared" si="0"/>
        <v>50.11169999999999</v>
      </c>
      <c r="G22" s="909"/>
    </row>
    <row r="23" spans="1:7" s="874" customFormat="1" ht="19.5" customHeight="1">
      <c r="A23" s="900"/>
      <c r="B23" s="901"/>
      <c r="C23" s="905" t="s">
        <v>956</v>
      </c>
      <c r="D23" s="903">
        <v>1909000</v>
      </c>
      <c r="E23" s="903">
        <v>716656.85</v>
      </c>
      <c r="F23" s="904">
        <f t="shared" si="0"/>
        <v>37.54095599790466</v>
      </c>
      <c r="G23" s="909"/>
    </row>
    <row r="24" spans="1:7" s="874" customFormat="1" ht="19.5" customHeight="1">
      <c r="A24" s="889"/>
      <c r="B24" s="890"/>
      <c r="C24" s="899" t="s">
        <v>338</v>
      </c>
      <c r="D24" s="892">
        <v>541000</v>
      </c>
      <c r="E24" s="892">
        <v>511079.8</v>
      </c>
      <c r="F24" s="893">
        <f t="shared" si="0"/>
        <v>94.4694639556377</v>
      </c>
      <c r="G24" s="909"/>
    </row>
    <row r="25" spans="1:7" ht="30" customHeight="1">
      <c r="A25" s="894" t="s">
        <v>89</v>
      </c>
      <c r="B25" s="895" t="s">
        <v>1048</v>
      </c>
      <c r="C25" s="896" t="s">
        <v>878</v>
      </c>
      <c r="D25" s="897">
        <f>D26+D27</f>
        <v>3168000</v>
      </c>
      <c r="E25" s="897">
        <f>E26+E27</f>
        <v>2559007.79</v>
      </c>
      <c r="F25" s="898">
        <f t="shared" si="0"/>
        <v>80.77676104797979</v>
      </c>
      <c r="G25" s="909"/>
    </row>
    <row r="26" spans="1:7" s="874" customFormat="1" ht="19.5" customHeight="1">
      <c r="A26" s="900"/>
      <c r="B26" s="901"/>
      <c r="C26" s="902" t="s">
        <v>956</v>
      </c>
      <c r="D26" s="903">
        <v>2760000</v>
      </c>
      <c r="E26" s="903">
        <v>2199907.93</v>
      </c>
      <c r="F26" s="904">
        <f t="shared" si="0"/>
        <v>79.70680905797101</v>
      </c>
      <c r="G26" s="909"/>
    </row>
    <row r="27" spans="1:7" s="874" customFormat="1" ht="19.5" customHeight="1">
      <c r="A27" s="889"/>
      <c r="B27" s="890"/>
      <c r="C27" s="899" t="s">
        <v>338</v>
      </c>
      <c r="D27" s="892">
        <v>408000</v>
      </c>
      <c r="E27" s="892">
        <v>359099.86</v>
      </c>
      <c r="F27" s="893">
        <f t="shared" si="0"/>
        <v>88.01467156862745</v>
      </c>
      <c r="G27" s="909"/>
    </row>
    <row r="28" spans="1:7" ht="30" customHeight="1">
      <c r="A28" s="828" t="s">
        <v>90</v>
      </c>
      <c r="B28" s="835" t="s">
        <v>1048</v>
      </c>
      <c r="C28" s="76" t="s">
        <v>880</v>
      </c>
      <c r="D28" s="836">
        <v>100000</v>
      </c>
      <c r="E28" s="836">
        <v>7000</v>
      </c>
      <c r="F28" s="837">
        <f t="shared" si="0"/>
        <v>7.000000000000001</v>
      </c>
      <c r="G28" s="909"/>
    </row>
    <row r="29" spans="1:7" ht="30" customHeight="1">
      <c r="A29" s="828" t="s">
        <v>136</v>
      </c>
      <c r="B29" s="835" t="s">
        <v>1048</v>
      </c>
      <c r="C29" s="76" t="s">
        <v>339</v>
      </c>
      <c r="D29" s="836">
        <v>825000</v>
      </c>
      <c r="E29" s="836">
        <v>49093.21</v>
      </c>
      <c r="F29" s="837">
        <f t="shared" si="0"/>
        <v>5.950692121212121</v>
      </c>
      <c r="G29" s="909"/>
    </row>
    <row r="30" spans="1:7" ht="30" customHeight="1">
      <c r="A30" s="828" t="s">
        <v>91</v>
      </c>
      <c r="B30" s="835" t="s">
        <v>1049</v>
      </c>
      <c r="C30" s="76" t="s">
        <v>881</v>
      </c>
      <c r="D30" s="836">
        <v>1360000</v>
      </c>
      <c r="E30" s="836">
        <v>852255.59</v>
      </c>
      <c r="F30" s="837">
        <f t="shared" si="0"/>
        <v>62.66585220588235</v>
      </c>
      <c r="G30" s="909"/>
    </row>
    <row r="31" spans="1:7" ht="30" customHeight="1">
      <c r="A31" s="838" t="s">
        <v>92</v>
      </c>
      <c r="B31" s="829" t="s">
        <v>1049</v>
      </c>
      <c r="C31" s="605" t="s">
        <v>340</v>
      </c>
      <c r="D31" s="832">
        <v>2330000</v>
      </c>
      <c r="E31" s="832">
        <v>95.62</v>
      </c>
      <c r="F31" s="833">
        <f t="shared" si="0"/>
        <v>0.004103862660944206</v>
      </c>
      <c r="G31" s="909"/>
    </row>
    <row r="32" spans="1:7" ht="30" customHeight="1">
      <c r="A32" s="828" t="s">
        <v>93</v>
      </c>
      <c r="B32" s="835" t="s">
        <v>1049</v>
      </c>
      <c r="C32" s="76" t="s">
        <v>882</v>
      </c>
      <c r="D32" s="836">
        <v>180000</v>
      </c>
      <c r="E32" s="836">
        <v>54900</v>
      </c>
      <c r="F32" s="837">
        <f t="shared" si="0"/>
        <v>30.5</v>
      </c>
      <c r="G32" s="909"/>
    </row>
    <row r="33" spans="1:7" ht="30" customHeight="1">
      <c r="A33" s="828" t="s">
        <v>94</v>
      </c>
      <c r="B33" s="835" t="s">
        <v>1049</v>
      </c>
      <c r="C33" s="76" t="s">
        <v>341</v>
      </c>
      <c r="D33" s="836">
        <v>20000</v>
      </c>
      <c r="E33" s="836">
        <v>0</v>
      </c>
      <c r="F33" s="837">
        <f t="shared" si="0"/>
        <v>0</v>
      </c>
      <c r="G33" s="909"/>
    </row>
    <row r="34" spans="1:7" ht="30" customHeight="1">
      <c r="A34" s="828" t="s">
        <v>97</v>
      </c>
      <c r="B34" s="835" t="s">
        <v>1049</v>
      </c>
      <c r="C34" s="76" t="s">
        <v>342</v>
      </c>
      <c r="D34" s="836">
        <v>125000</v>
      </c>
      <c r="E34" s="836">
        <v>0</v>
      </c>
      <c r="F34" s="837">
        <f t="shared" si="0"/>
        <v>0</v>
      </c>
      <c r="G34" s="909"/>
    </row>
    <row r="35" spans="1:7" ht="30" customHeight="1">
      <c r="A35" s="828" t="s">
        <v>98</v>
      </c>
      <c r="B35" s="835" t="s">
        <v>1049</v>
      </c>
      <c r="C35" s="76" t="s">
        <v>343</v>
      </c>
      <c r="D35" s="836">
        <v>150000</v>
      </c>
      <c r="E35" s="836">
        <v>0</v>
      </c>
      <c r="F35" s="837">
        <f t="shared" si="0"/>
        <v>0</v>
      </c>
      <c r="G35" s="909"/>
    </row>
    <row r="36" spans="1:7" ht="30" customHeight="1">
      <c r="A36" s="828" t="s">
        <v>99</v>
      </c>
      <c r="B36" s="835" t="s">
        <v>1049</v>
      </c>
      <c r="C36" s="76" t="s">
        <v>883</v>
      </c>
      <c r="D36" s="836">
        <v>2270000</v>
      </c>
      <c r="E36" s="836">
        <v>1222724.47</v>
      </c>
      <c r="F36" s="837">
        <f t="shared" si="0"/>
        <v>53.864514096916295</v>
      </c>
      <c r="G36" s="909"/>
    </row>
    <row r="37" spans="1:7" s="842" customFormat="1" ht="30" customHeight="1">
      <c r="A37" s="1498" t="s">
        <v>1052</v>
      </c>
      <c r="B37" s="1493"/>
      <c r="C37" s="1494"/>
      <c r="D37" s="840">
        <f>SUM(D39,D38)</f>
        <v>706000</v>
      </c>
      <c r="E37" s="840">
        <f>SUM(E38,E39)</f>
        <v>67813.6</v>
      </c>
      <c r="F37" s="841">
        <f t="shared" si="0"/>
        <v>9.605325779036827</v>
      </c>
      <c r="G37" s="909"/>
    </row>
    <row r="38" spans="1:7" ht="30" customHeight="1">
      <c r="A38" s="828" t="s">
        <v>100</v>
      </c>
      <c r="B38" s="835" t="s">
        <v>516</v>
      </c>
      <c r="C38" s="76" t="s">
        <v>957</v>
      </c>
      <c r="D38" s="836">
        <v>406000</v>
      </c>
      <c r="E38" s="836">
        <v>0</v>
      </c>
      <c r="F38" s="837">
        <f t="shared" si="0"/>
        <v>0</v>
      </c>
      <c r="G38" s="909"/>
    </row>
    <row r="39" spans="1:7" ht="30" customHeight="1">
      <c r="A39" s="828" t="s">
        <v>1258</v>
      </c>
      <c r="B39" s="835" t="s">
        <v>516</v>
      </c>
      <c r="C39" s="76" t="s">
        <v>884</v>
      </c>
      <c r="D39" s="836">
        <v>300000</v>
      </c>
      <c r="E39" s="836">
        <v>67813.6</v>
      </c>
      <c r="F39" s="837">
        <f aca="true" t="shared" si="1" ref="F39:F70">E39/D39*100</f>
        <v>22.604533333333336</v>
      </c>
      <c r="G39" s="909"/>
    </row>
    <row r="40" spans="1:7" s="842" customFormat="1" ht="30" customHeight="1">
      <c r="A40" s="1498" t="s">
        <v>1054</v>
      </c>
      <c r="B40" s="1493"/>
      <c r="C40" s="1494"/>
      <c r="D40" s="840">
        <f>SUM(D41+D42)</f>
        <v>962000</v>
      </c>
      <c r="E40" s="840">
        <f>SUM(E41+E42)</f>
        <v>260096.18</v>
      </c>
      <c r="F40" s="841">
        <f t="shared" si="1"/>
        <v>27.037024948024946</v>
      </c>
      <c r="G40" s="909"/>
    </row>
    <row r="41" spans="1:7" ht="30" customHeight="1">
      <c r="A41" s="828" t="s">
        <v>1259</v>
      </c>
      <c r="B41" s="835" t="s">
        <v>522</v>
      </c>
      <c r="C41" s="76" t="s">
        <v>344</v>
      </c>
      <c r="D41" s="836">
        <v>812000</v>
      </c>
      <c r="E41" s="836">
        <v>260078.19</v>
      </c>
      <c r="F41" s="837">
        <f t="shared" si="1"/>
        <v>32.029333743842365</v>
      </c>
      <c r="G41" s="909"/>
    </row>
    <row r="42" spans="1:7" ht="30" customHeight="1">
      <c r="A42" s="828" t="s">
        <v>1260</v>
      </c>
      <c r="B42" s="835" t="s">
        <v>522</v>
      </c>
      <c r="C42" s="76" t="s">
        <v>345</v>
      </c>
      <c r="D42" s="836">
        <v>150000</v>
      </c>
      <c r="E42" s="836">
        <v>17.99</v>
      </c>
      <c r="F42" s="837">
        <f t="shared" si="1"/>
        <v>0.011993333333333333</v>
      </c>
      <c r="G42" s="909"/>
    </row>
    <row r="43" spans="1:7" s="842" customFormat="1" ht="30" customHeight="1">
      <c r="A43" s="1492" t="s">
        <v>346</v>
      </c>
      <c r="B43" s="1493"/>
      <c r="C43" s="1494"/>
      <c r="D43" s="840">
        <f>SUM(D44)</f>
        <v>300000</v>
      </c>
      <c r="E43" s="840">
        <f>SUM(E44)</f>
        <v>188.08</v>
      </c>
      <c r="F43" s="841">
        <f t="shared" si="1"/>
        <v>0.06269333333333334</v>
      </c>
      <c r="G43" s="909"/>
    </row>
    <row r="44" spans="1:7" ht="30" customHeight="1">
      <c r="A44" s="828" t="s">
        <v>1261</v>
      </c>
      <c r="B44" s="835" t="s">
        <v>1067</v>
      </c>
      <c r="C44" s="76" t="s">
        <v>347</v>
      </c>
      <c r="D44" s="836">
        <v>300000</v>
      </c>
      <c r="E44" s="836">
        <v>188.08</v>
      </c>
      <c r="F44" s="837">
        <f t="shared" si="1"/>
        <v>0.06269333333333334</v>
      </c>
      <c r="G44" s="909"/>
    </row>
    <row r="45" spans="1:7" s="846" customFormat="1" ht="30" customHeight="1">
      <c r="A45" s="844"/>
      <c r="B45" s="845"/>
      <c r="C45" s="839" t="s">
        <v>348</v>
      </c>
      <c r="D45" s="840">
        <f>D46+D47</f>
        <v>165000</v>
      </c>
      <c r="E45" s="840">
        <f>E46+E47</f>
        <v>23348.37</v>
      </c>
      <c r="F45" s="841">
        <f t="shared" si="1"/>
        <v>14.150527272727272</v>
      </c>
      <c r="G45" s="909"/>
    </row>
    <row r="46" spans="1:7" ht="30" customHeight="1">
      <c r="A46" s="828" t="s">
        <v>650</v>
      </c>
      <c r="B46" s="835" t="s">
        <v>1083</v>
      </c>
      <c r="C46" s="76" t="s">
        <v>885</v>
      </c>
      <c r="D46" s="836">
        <v>100000</v>
      </c>
      <c r="E46" s="836">
        <v>0</v>
      </c>
      <c r="F46" s="837">
        <f t="shared" si="1"/>
        <v>0</v>
      </c>
      <c r="G46" s="909"/>
    </row>
    <row r="47" spans="1:7" ht="30" customHeight="1">
      <c r="A47" s="828" t="s">
        <v>651</v>
      </c>
      <c r="B47" s="835" t="s">
        <v>1083</v>
      </c>
      <c r="C47" s="76" t="s">
        <v>349</v>
      </c>
      <c r="D47" s="836">
        <v>65000</v>
      </c>
      <c r="E47" s="836">
        <v>23348.37</v>
      </c>
      <c r="F47" s="837">
        <f t="shared" si="1"/>
        <v>35.92056923076923</v>
      </c>
      <c r="G47" s="909"/>
    </row>
    <row r="48" spans="1:7" s="842" customFormat="1" ht="30" customHeight="1">
      <c r="A48" s="1498" t="s">
        <v>1172</v>
      </c>
      <c r="B48" s="1493"/>
      <c r="C48" s="1494"/>
      <c r="D48" s="840">
        <f>SUM(D49)</f>
        <v>1055980</v>
      </c>
      <c r="E48" s="840">
        <f>SUM(E49)</f>
        <v>29805.48</v>
      </c>
      <c r="F48" s="841">
        <f t="shared" si="1"/>
        <v>2.8225420936002577</v>
      </c>
      <c r="G48" s="909"/>
    </row>
    <row r="49" spans="1:7" ht="30" customHeight="1">
      <c r="A49" s="828" t="s">
        <v>652</v>
      </c>
      <c r="B49" s="835" t="s">
        <v>532</v>
      </c>
      <c r="C49" s="76" t="s">
        <v>886</v>
      </c>
      <c r="D49" s="836">
        <v>1055980</v>
      </c>
      <c r="E49" s="836">
        <v>29805.48</v>
      </c>
      <c r="F49" s="837">
        <f t="shared" si="1"/>
        <v>2.8225420936002577</v>
      </c>
      <c r="G49" s="909"/>
    </row>
    <row r="50" spans="1:7" s="842" customFormat="1" ht="30" customHeight="1">
      <c r="A50" s="1498" t="s">
        <v>1093</v>
      </c>
      <c r="B50" s="1493"/>
      <c r="C50" s="1494"/>
      <c r="D50" s="840">
        <f>D51</f>
        <v>200000</v>
      </c>
      <c r="E50" s="840">
        <f>E51</f>
        <v>0</v>
      </c>
      <c r="F50" s="841">
        <f t="shared" si="1"/>
        <v>0</v>
      </c>
      <c r="G50" s="909"/>
    </row>
    <row r="51" spans="1:7" ht="30" customHeight="1">
      <c r="A51" s="828" t="s">
        <v>914</v>
      </c>
      <c r="B51" s="835" t="s">
        <v>1094</v>
      </c>
      <c r="C51" s="76" t="s">
        <v>350</v>
      </c>
      <c r="D51" s="836">
        <v>200000</v>
      </c>
      <c r="E51" s="836">
        <v>0</v>
      </c>
      <c r="F51" s="837">
        <f t="shared" si="1"/>
        <v>0</v>
      </c>
      <c r="G51" s="909"/>
    </row>
    <row r="52" spans="1:7" s="842" customFormat="1" ht="30" customHeight="1">
      <c r="A52" s="1495" t="s">
        <v>1102</v>
      </c>
      <c r="B52" s="1496"/>
      <c r="C52" s="1497"/>
      <c r="D52" s="824">
        <f>SUM(D53,D54)</f>
        <v>363000</v>
      </c>
      <c r="E52" s="824">
        <f>SUM(E53,E54)</f>
        <v>0</v>
      </c>
      <c r="F52" s="825">
        <f t="shared" si="1"/>
        <v>0</v>
      </c>
      <c r="G52" s="909"/>
    </row>
    <row r="53" spans="1:7" ht="30" customHeight="1">
      <c r="A53" s="828" t="s">
        <v>915</v>
      </c>
      <c r="B53" s="835" t="s">
        <v>588</v>
      </c>
      <c r="C53" s="76" t="s">
        <v>697</v>
      </c>
      <c r="D53" s="836">
        <v>55000</v>
      </c>
      <c r="E53" s="836">
        <v>0</v>
      </c>
      <c r="F53" s="837">
        <f t="shared" si="1"/>
        <v>0</v>
      </c>
      <c r="G53" s="909"/>
    </row>
    <row r="54" spans="1:7" ht="30" customHeight="1">
      <c r="A54" s="828" t="s">
        <v>674</v>
      </c>
      <c r="B54" s="835" t="s">
        <v>1103</v>
      </c>
      <c r="C54" s="76" t="s">
        <v>886</v>
      </c>
      <c r="D54" s="836">
        <v>308000</v>
      </c>
      <c r="E54" s="836">
        <v>0</v>
      </c>
      <c r="F54" s="837">
        <f t="shared" si="1"/>
        <v>0</v>
      </c>
      <c r="G54" s="909"/>
    </row>
    <row r="55" spans="1:7" s="842" customFormat="1" ht="30" customHeight="1">
      <c r="A55" s="1498" t="s">
        <v>275</v>
      </c>
      <c r="B55" s="1493"/>
      <c r="C55" s="1494"/>
      <c r="D55" s="840">
        <f>SUM(D56+D57)</f>
        <v>5472000</v>
      </c>
      <c r="E55" s="840">
        <f>SUM(E56+E57)</f>
        <v>1793053.88</v>
      </c>
      <c r="F55" s="841">
        <f t="shared" si="1"/>
        <v>32.76779751461988</v>
      </c>
      <c r="G55" s="909"/>
    </row>
    <row r="56" spans="1:7" s="599" customFormat="1" ht="30" customHeight="1">
      <c r="A56" s="828" t="s">
        <v>1111</v>
      </c>
      <c r="B56" s="843">
        <v>85201</v>
      </c>
      <c r="C56" s="847" t="s">
        <v>879</v>
      </c>
      <c r="D56" s="836">
        <v>430000</v>
      </c>
      <c r="E56" s="836">
        <v>22448</v>
      </c>
      <c r="F56" s="837">
        <f t="shared" si="1"/>
        <v>5.22046511627907</v>
      </c>
      <c r="G56" s="909"/>
    </row>
    <row r="57" spans="1:7" ht="30" customHeight="1">
      <c r="A57" s="828" t="s">
        <v>908</v>
      </c>
      <c r="B57" s="835" t="s">
        <v>274</v>
      </c>
      <c r="C57" s="76" t="s">
        <v>351</v>
      </c>
      <c r="D57" s="836">
        <v>5042000</v>
      </c>
      <c r="E57" s="836">
        <v>1770605.88</v>
      </c>
      <c r="F57" s="837">
        <f t="shared" si="1"/>
        <v>35.11713367711226</v>
      </c>
      <c r="G57" s="909"/>
    </row>
    <row r="58" spans="1:7" s="846" customFormat="1" ht="30" customHeight="1">
      <c r="A58" s="1498" t="s">
        <v>605</v>
      </c>
      <c r="B58" s="1493"/>
      <c r="C58" s="1494"/>
      <c r="D58" s="840">
        <v>50000</v>
      </c>
      <c r="E58" s="840">
        <v>0</v>
      </c>
      <c r="F58" s="841">
        <f t="shared" si="1"/>
        <v>0</v>
      </c>
      <c r="G58" s="909"/>
    </row>
    <row r="59" spans="1:7" ht="30" customHeight="1">
      <c r="A59" s="828" t="s">
        <v>958</v>
      </c>
      <c r="B59" s="835" t="s">
        <v>609</v>
      </c>
      <c r="C59" s="76" t="s">
        <v>352</v>
      </c>
      <c r="D59" s="836">
        <v>50000</v>
      </c>
      <c r="E59" s="836">
        <v>0</v>
      </c>
      <c r="F59" s="837">
        <f t="shared" si="1"/>
        <v>0</v>
      </c>
      <c r="G59" s="909"/>
    </row>
    <row r="60" spans="1:7" s="842" customFormat="1" ht="30" customHeight="1">
      <c r="A60" s="1498" t="s">
        <v>629</v>
      </c>
      <c r="B60" s="1493"/>
      <c r="C60" s="1494"/>
      <c r="D60" s="840">
        <f>SUM(D61,D62,D63,D64,D65,D68)</f>
        <v>4603000</v>
      </c>
      <c r="E60" s="840">
        <f>SUM(E61,E62,E63,E64,E65,E68)</f>
        <v>408578.74</v>
      </c>
      <c r="F60" s="841">
        <f t="shared" si="1"/>
        <v>8.876357592874212</v>
      </c>
      <c r="G60" s="909"/>
    </row>
    <row r="61" spans="1:7" ht="30" customHeight="1">
      <c r="A61" s="868" t="s">
        <v>538</v>
      </c>
      <c r="B61" s="871" t="s">
        <v>630</v>
      </c>
      <c r="C61" s="869" t="s">
        <v>1234</v>
      </c>
      <c r="D61" s="872">
        <v>1000000</v>
      </c>
      <c r="E61" s="872">
        <v>112130.91</v>
      </c>
      <c r="F61" s="873">
        <f t="shared" si="1"/>
        <v>11.213091</v>
      </c>
      <c r="G61" s="909"/>
    </row>
    <row r="62" spans="1:7" s="874" customFormat="1" ht="30" customHeight="1">
      <c r="A62" s="828" t="s">
        <v>539</v>
      </c>
      <c r="B62" s="835" t="s">
        <v>630</v>
      </c>
      <c r="C62" s="830" t="s">
        <v>887</v>
      </c>
      <c r="D62" s="836">
        <v>304000</v>
      </c>
      <c r="E62" s="836">
        <v>1830</v>
      </c>
      <c r="F62" s="884">
        <f t="shared" si="1"/>
        <v>0.6019736842105263</v>
      </c>
      <c r="G62" s="909"/>
    </row>
    <row r="63" spans="1:7" s="874" customFormat="1" ht="30" customHeight="1">
      <c r="A63" s="828" t="s">
        <v>761</v>
      </c>
      <c r="B63" s="835" t="s">
        <v>630</v>
      </c>
      <c r="C63" s="830" t="s">
        <v>353</v>
      </c>
      <c r="D63" s="836">
        <v>504000</v>
      </c>
      <c r="E63" s="836">
        <v>2989</v>
      </c>
      <c r="F63" s="884">
        <f t="shared" si="1"/>
        <v>0.5930555555555556</v>
      </c>
      <c r="G63" s="909"/>
    </row>
    <row r="64" spans="1:7" ht="30" customHeight="1">
      <c r="A64" s="828" t="s">
        <v>959</v>
      </c>
      <c r="B64" s="835" t="s">
        <v>1179</v>
      </c>
      <c r="C64" s="76" t="s">
        <v>888</v>
      </c>
      <c r="D64" s="836">
        <v>325000</v>
      </c>
      <c r="E64" s="836">
        <v>75039.86</v>
      </c>
      <c r="F64" s="837">
        <f t="shared" si="1"/>
        <v>23.089187692307693</v>
      </c>
      <c r="G64" s="909"/>
    </row>
    <row r="65" spans="1:7" ht="30" customHeight="1">
      <c r="A65" s="906" t="s">
        <v>960</v>
      </c>
      <c r="B65" s="895" t="s">
        <v>1181</v>
      </c>
      <c r="C65" s="907" t="s">
        <v>889</v>
      </c>
      <c r="D65" s="908">
        <f>SUM(D66,D67)</f>
        <v>1188000</v>
      </c>
      <c r="E65" s="908">
        <f>SUM(E66,E67)</f>
        <v>156394.47</v>
      </c>
      <c r="F65" s="898">
        <f t="shared" si="1"/>
        <v>13.164517676767677</v>
      </c>
      <c r="G65" s="909"/>
    </row>
    <row r="66" spans="1:7" s="874" customFormat="1" ht="19.5" customHeight="1">
      <c r="A66" s="900"/>
      <c r="B66" s="901"/>
      <c r="C66" s="902" t="s">
        <v>902</v>
      </c>
      <c r="D66" s="903">
        <v>38000</v>
      </c>
      <c r="E66" s="903">
        <v>16830.95</v>
      </c>
      <c r="F66" s="904">
        <f t="shared" si="1"/>
        <v>44.291973684210525</v>
      </c>
      <c r="G66" s="909"/>
    </row>
    <row r="67" spans="1:7" s="874" customFormat="1" ht="19.5" customHeight="1">
      <c r="A67" s="889"/>
      <c r="B67" s="890"/>
      <c r="C67" s="891" t="s">
        <v>338</v>
      </c>
      <c r="D67" s="892">
        <v>1150000</v>
      </c>
      <c r="E67" s="892">
        <v>139563.52</v>
      </c>
      <c r="F67" s="893">
        <f t="shared" si="1"/>
        <v>12.135958260869565</v>
      </c>
      <c r="G67" s="909"/>
    </row>
    <row r="68" spans="1:7" s="874" customFormat="1" ht="30" customHeight="1">
      <c r="A68" s="828" t="s">
        <v>961</v>
      </c>
      <c r="B68" s="835" t="s">
        <v>1181</v>
      </c>
      <c r="C68" s="830" t="s">
        <v>890</v>
      </c>
      <c r="D68" s="836">
        <v>1282000</v>
      </c>
      <c r="E68" s="836">
        <v>60194.5</v>
      </c>
      <c r="F68" s="837">
        <f t="shared" si="1"/>
        <v>4.695358814352574</v>
      </c>
      <c r="G68" s="909"/>
    </row>
    <row r="69" spans="1:7" s="875" customFormat="1" ht="30" customHeight="1">
      <c r="A69" s="1498" t="s">
        <v>640</v>
      </c>
      <c r="B69" s="1499"/>
      <c r="C69" s="1500"/>
      <c r="D69" s="824">
        <f>D70+D71</f>
        <v>120000</v>
      </c>
      <c r="E69" s="824">
        <f>E70+E71</f>
        <v>0</v>
      </c>
      <c r="F69" s="841">
        <f t="shared" si="1"/>
        <v>0</v>
      </c>
      <c r="G69" s="909"/>
    </row>
    <row r="70" spans="1:7" s="874" customFormat="1" ht="30" customHeight="1">
      <c r="A70" s="828" t="s">
        <v>962</v>
      </c>
      <c r="B70" s="835" t="s">
        <v>293</v>
      </c>
      <c r="C70" s="876" t="s">
        <v>891</v>
      </c>
      <c r="D70" s="832">
        <v>14800</v>
      </c>
      <c r="E70" s="832">
        <v>0</v>
      </c>
      <c r="F70" s="884">
        <f t="shared" si="1"/>
        <v>0</v>
      </c>
      <c r="G70" s="909"/>
    </row>
    <row r="71" spans="1:7" s="874" customFormat="1" ht="30" customHeight="1">
      <c r="A71" s="828" t="s">
        <v>963</v>
      </c>
      <c r="B71" s="835" t="s">
        <v>293</v>
      </c>
      <c r="C71" s="876" t="s">
        <v>892</v>
      </c>
      <c r="D71" s="832">
        <v>105200</v>
      </c>
      <c r="E71" s="832">
        <v>0</v>
      </c>
      <c r="F71" s="884">
        <f aca="true" t="shared" si="2" ref="F71:F78">E71/D71*100</f>
        <v>0</v>
      </c>
      <c r="G71" s="909"/>
    </row>
    <row r="72" spans="1:7" s="842" customFormat="1" ht="30" customHeight="1">
      <c r="A72" s="1495" t="s">
        <v>1207</v>
      </c>
      <c r="B72" s="1496"/>
      <c r="C72" s="1497"/>
      <c r="D72" s="824">
        <f>SUM(D73,D74,D75,D76,D77)</f>
        <v>12020000</v>
      </c>
      <c r="E72" s="824">
        <f>SUM(E73,E74,E75,E76,E77)</f>
        <v>7452246.11</v>
      </c>
      <c r="F72" s="825">
        <f t="shared" si="2"/>
        <v>61.99871971713811</v>
      </c>
      <c r="G72" s="909"/>
    </row>
    <row r="73" spans="1:7" ht="30" customHeight="1">
      <c r="A73" s="828" t="s">
        <v>964</v>
      </c>
      <c r="B73" s="835" t="s">
        <v>1211</v>
      </c>
      <c r="C73" s="76" t="s">
        <v>677</v>
      </c>
      <c r="D73" s="836">
        <v>47000</v>
      </c>
      <c r="E73" s="836">
        <v>0</v>
      </c>
      <c r="F73" s="833">
        <f t="shared" si="2"/>
        <v>0</v>
      </c>
      <c r="G73" s="909"/>
    </row>
    <row r="74" spans="1:7" ht="30" customHeight="1">
      <c r="A74" s="828" t="s">
        <v>965</v>
      </c>
      <c r="B74" s="835" t="s">
        <v>1211</v>
      </c>
      <c r="C74" s="76" t="s">
        <v>678</v>
      </c>
      <c r="D74" s="836">
        <v>10573000</v>
      </c>
      <c r="E74" s="836">
        <v>6643338.87</v>
      </c>
      <c r="F74" s="833">
        <f t="shared" si="2"/>
        <v>62.83305466754941</v>
      </c>
      <c r="G74" s="909"/>
    </row>
    <row r="75" spans="1:7" ht="30" customHeight="1">
      <c r="A75" s="828" t="s">
        <v>966</v>
      </c>
      <c r="B75" s="835" t="s">
        <v>1211</v>
      </c>
      <c r="C75" s="76" t="s">
        <v>893</v>
      </c>
      <c r="D75" s="836">
        <v>300000</v>
      </c>
      <c r="E75" s="836">
        <v>300000</v>
      </c>
      <c r="F75" s="833">
        <f t="shared" si="2"/>
        <v>100</v>
      </c>
      <c r="G75" s="909"/>
    </row>
    <row r="76" spans="1:7" ht="30" customHeight="1">
      <c r="A76" s="848" t="s">
        <v>131</v>
      </c>
      <c r="B76" s="849" t="s">
        <v>1211</v>
      </c>
      <c r="C76" s="850" t="s">
        <v>354</v>
      </c>
      <c r="D76" s="851">
        <v>1000000</v>
      </c>
      <c r="E76" s="851">
        <v>508907.24</v>
      </c>
      <c r="F76" s="833">
        <f t="shared" si="2"/>
        <v>50.890724</v>
      </c>
      <c r="G76" s="909"/>
    </row>
    <row r="77" spans="1:7" ht="30" customHeight="1" thickBot="1">
      <c r="A77" s="852" t="s">
        <v>355</v>
      </c>
      <c r="B77" s="853" t="s">
        <v>1211</v>
      </c>
      <c r="C77" s="590" t="s">
        <v>894</v>
      </c>
      <c r="D77" s="854">
        <v>100000</v>
      </c>
      <c r="E77" s="854">
        <v>0</v>
      </c>
      <c r="F77" s="855">
        <f t="shared" si="2"/>
        <v>0</v>
      </c>
      <c r="G77" s="909"/>
    </row>
    <row r="78" spans="1:7" s="860" customFormat="1" ht="30" customHeight="1" thickTop="1">
      <c r="A78" s="856"/>
      <c r="B78" s="857"/>
      <c r="C78" s="857" t="s">
        <v>1148</v>
      </c>
      <c r="D78" s="858">
        <f>SUM(D7,D37,D40,D43,D45,D48,D50,D52,D55,D58,D60,D69,D72)</f>
        <v>51808980</v>
      </c>
      <c r="E78" s="858">
        <f>SUM(E7,E37,E40,E43,E45,E48,E50,E52,E55,E58,E60,E69,E72)</f>
        <v>18926508.84</v>
      </c>
      <c r="F78" s="859">
        <f t="shared" si="2"/>
        <v>36.531328815969744</v>
      </c>
      <c r="G78" s="909"/>
    </row>
    <row r="79" spans="1:7" s="867" customFormat="1" ht="19.5" customHeight="1">
      <c r="A79" s="861"/>
      <c r="B79" s="862"/>
      <c r="C79" s="863" t="s">
        <v>356</v>
      </c>
      <c r="D79" s="864"/>
      <c r="E79" s="864"/>
      <c r="F79" s="865"/>
      <c r="G79" s="909"/>
    </row>
    <row r="80" spans="1:7" s="867" customFormat="1" ht="19.5" customHeight="1">
      <c r="A80" s="877"/>
      <c r="B80" s="866"/>
      <c r="C80" s="878" t="s">
        <v>1232</v>
      </c>
      <c r="D80" s="864">
        <f>D78-D81</f>
        <v>48914980</v>
      </c>
      <c r="E80" s="864">
        <f>E78-E81</f>
        <v>17488607.35</v>
      </c>
      <c r="F80" s="865">
        <f>E80/D80*100</f>
        <v>35.75307063398574</v>
      </c>
      <c r="G80" s="909"/>
    </row>
    <row r="81" spans="1:7" s="867" customFormat="1" ht="19.5" customHeight="1" thickBot="1">
      <c r="A81" s="879"/>
      <c r="B81" s="880"/>
      <c r="C81" s="881" t="s">
        <v>1233</v>
      </c>
      <c r="D81" s="882">
        <f>SUM(D14,D21,D24,D27,D67)</f>
        <v>2894000</v>
      </c>
      <c r="E81" s="882">
        <f>SUM(E14,E21,E24,E27,E67)</f>
        <v>1437901.49</v>
      </c>
      <c r="F81" s="883">
        <f>E81/D81*100</f>
        <v>49.68560780926054</v>
      </c>
      <c r="G81" s="909"/>
    </row>
    <row r="82" ht="9.75" customHeight="1">
      <c r="G82" s="909"/>
    </row>
    <row r="83" ht="12.75">
      <c r="G83" s="909"/>
    </row>
    <row r="84" ht="12.75">
      <c r="G84" s="909"/>
    </row>
    <row r="85" ht="12.75">
      <c r="G85" s="909"/>
    </row>
    <row r="86" ht="12.75">
      <c r="G86" s="909"/>
    </row>
    <row r="87" ht="12.75">
      <c r="G87" s="909"/>
    </row>
    <row r="88" ht="12.75">
      <c r="G88" s="909"/>
    </row>
    <row r="89" ht="12.75">
      <c r="G89" s="909"/>
    </row>
    <row r="90" ht="12.75">
      <c r="G90" s="909"/>
    </row>
    <row r="91" ht="12.75">
      <c r="G91" s="909"/>
    </row>
    <row r="92" ht="12.75">
      <c r="G92" s="909"/>
    </row>
    <row r="93" ht="12.75">
      <c r="G93" s="909"/>
    </row>
    <row r="94" ht="12.75">
      <c r="G94" s="909"/>
    </row>
    <row r="95" ht="12.75">
      <c r="G95" s="909"/>
    </row>
    <row r="96" ht="12.75">
      <c r="G96" s="909"/>
    </row>
    <row r="97" ht="12.75">
      <c r="G97" s="909"/>
    </row>
    <row r="98" ht="12.75">
      <c r="G98" s="909"/>
    </row>
    <row r="99" ht="12.75">
      <c r="G99" s="909"/>
    </row>
    <row r="100" ht="12.75">
      <c r="G100" s="909"/>
    </row>
    <row r="101" ht="12.75">
      <c r="G101" s="909"/>
    </row>
    <row r="102" ht="12.75">
      <c r="G102" s="909"/>
    </row>
    <row r="103" ht="12.75">
      <c r="G103" s="909"/>
    </row>
    <row r="104" ht="12.75">
      <c r="G104" s="909"/>
    </row>
    <row r="105" ht="12.75">
      <c r="G105" s="909"/>
    </row>
    <row r="106" ht="12.75">
      <c r="G106" s="909"/>
    </row>
    <row r="107" ht="12.75">
      <c r="G107" s="909"/>
    </row>
    <row r="108" ht="12.75">
      <c r="G108" s="909"/>
    </row>
    <row r="109" ht="12.75">
      <c r="G109" s="909"/>
    </row>
    <row r="110" ht="12.75">
      <c r="G110" s="909"/>
    </row>
    <row r="111" ht="12.75">
      <c r="G111" s="909"/>
    </row>
    <row r="112" ht="12.75">
      <c r="G112" s="909"/>
    </row>
    <row r="113" ht="12.75">
      <c r="G113" s="909"/>
    </row>
    <row r="114" ht="12.75">
      <c r="G114" s="909"/>
    </row>
    <row r="115" ht="12.75">
      <c r="G115" s="909"/>
    </row>
    <row r="116" ht="12.75">
      <c r="G116" s="909"/>
    </row>
    <row r="117" ht="12.75">
      <c r="G117" s="909"/>
    </row>
    <row r="118" ht="12.75">
      <c r="G118" s="909"/>
    </row>
    <row r="119" ht="12.75">
      <c r="G119" s="909"/>
    </row>
    <row r="120" ht="12.75">
      <c r="G120" s="909"/>
    </row>
    <row r="121" ht="12.75">
      <c r="G121" s="909"/>
    </row>
    <row r="122" ht="12.75">
      <c r="G122" s="909"/>
    </row>
    <row r="123" ht="12.75">
      <c r="G123" s="909"/>
    </row>
    <row r="124" ht="12.75">
      <c r="G124" s="909"/>
    </row>
    <row r="125" ht="12.75">
      <c r="G125" s="909"/>
    </row>
    <row r="126" ht="12.75">
      <c r="G126" s="909"/>
    </row>
    <row r="127" ht="12.75">
      <c r="G127" s="909"/>
    </row>
    <row r="128" ht="12.75">
      <c r="G128" s="909"/>
    </row>
    <row r="129" ht="12.75">
      <c r="G129" s="909"/>
    </row>
    <row r="130" ht="12.75">
      <c r="G130" s="909"/>
    </row>
    <row r="131" ht="12.75">
      <c r="G131" s="909"/>
    </row>
    <row r="132" ht="12.75">
      <c r="G132" s="909"/>
    </row>
    <row r="133" ht="12.75">
      <c r="G133" s="909"/>
    </row>
    <row r="134" ht="12.75">
      <c r="G134" s="909"/>
    </row>
    <row r="135" ht="12.75">
      <c r="G135" s="909"/>
    </row>
    <row r="136" ht="12.75">
      <c r="G136" s="909"/>
    </row>
    <row r="137" ht="12.75">
      <c r="G137" s="909"/>
    </row>
    <row r="138" ht="12.75">
      <c r="G138" s="909"/>
    </row>
    <row r="139" ht="12.75">
      <c r="G139" s="909"/>
    </row>
    <row r="140" ht="12.75">
      <c r="G140" s="909"/>
    </row>
    <row r="141" ht="12.75">
      <c r="G141" s="909"/>
    </row>
    <row r="142" ht="12.75">
      <c r="G142" s="909"/>
    </row>
    <row r="143" ht="12.75">
      <c r="G143" s="909"/>
    </row>
    <row r="144" ht="12.75">
      <c r="G144" s="909"/>
    </row>
    <row r="145" ht="12.75">
      <c r="G145" s="909"/>
    </row>
    <row r="146" ht="12.75">
      <c r="G146" s="909"/>
    </row>
    <row r="147" ht="12.75">
      <c r="G147" s="909"/>
    </row>
    <row r="148" ht="12.75">
      <c r="G148" s="909"/>
    </row>
    <row r="149" ht="12.75">
      <c r="G149" s="909"/>
    </row>
    <row r="150" ht="12.75">
      <c r="G150" s="909"/>
    </row>
    <row r="151" ht="12.75">
      <c r="G151" s="909"/>
    </row>
    <row r="152" ht="12.75">
      <c r="G152" s="909"/>
    </row>
    <row r="153" ht="12.75">
      <c r="G153" s="909"/>
    </row>
    <row r="154" ht="12.75">
      <c r="G154" s="909"/>
    </row>
    <row r="155" ht="12.75">
      <c r="G155" s="909"/>
    </row>
    <row r="156" ht="12.75">
      <c r="G156" s="909"/>
    </row>
    <row r="157" ht="12.75">
      <c r="G157" s="909"/>
    </row>
    <row r="158" ht="12.75">
      <c r="G158" s="909"/>
    </row>
    <row r="159" ht="12.75">
      <c r="G159" s="909"/>
    </row>
    <row r="160" ht="12.75">
      <c r="G160" s="909"/>
    </row>
    <row r="161" ht="12.75">
      <c r="G161" s="909"/>
    </row>
    <row r="162" ht="12.75">
      <c r="G162" s="909"/>
    </row>
    <row r="163" ht="12.75">
      <c r="G163" s="909"/>
    </row>
    <row r="164" ht="12.75">
      <c r="G164" s="909"/>
    </row>
    <row r="165" ht="12.75">
      <c r="G165" s="909"/>
    </row>
    <row r="166" ht="12.75">
      <c r="G166" s="909"/>
    </row>
    <row r="167" ht="12.75">
      <c r="G167" s="909"/>
    </row>
    <row r="168" ht="12.75">
      <c r="G168" s="909"/>
    </row>
    <row r="169" ht="12.75">
      <c r="G169" s="909"/>
    </row>
    <row r="170" ht="12.75">
      <c r="G170" s="909"/>
    </row>
    <row r="171" ht="12.75">
      <c r="G171" s="909"/>
    </row>
    <row r="172" ht="12.75">
      <c r="G172" s="909"/>
    </row>
    <row r="173" ht="12.75">
      <c r="G173" s="909"/>
    </row>
    <row r="174" ht="12.75">
      <c r="G174" s="909"/>
    </row>
    <row r="175" ht="12.75">
      <c r="G175" s="909"/>
    </row>
    <row r="176" ht="12.75">
      <c r="G176" s="909"/>
    </row>
    <row r="177" ht="12.75">
      <c r="G177" s="909"/>
    </row>
    <row r="178" ht="12.75">
      <c r="G178" s="909"/>
    </row>
    <row r="179" ht="12.75">
      <c r="G179" s="909"/>
    </row>
    <row r="180" ht="12.75">
      <c r="G180" s="909"/>
    </row>
    <row r="181" ht="12.75">
      <c r="G181" s="909"/>
    </row>
    <row r="182" ht="12.75">
      <c r="G182" s="909"/>
    </row>
    <row r="183" ht="12.75">
      <c r="G183" s="909"/>
    </row>
    <row r="184" ht="12.75">
      <c r="G184" s="909"/>
    </row>
    <row r="185" ht="12.75">
      <c r="G185" s="909"/>
    </row>
    <row r="186" ht="12.75">
      <c r="G186" s="909"/>
    </row>
    <row r="187" ht="12.75">
      <c r="G187" s="909"/>
    </row>
    <row r="188" ht="12.75">
      <c r="G188" s="909"/>
    </row>
    <row r="189" ht="12.75">
      <c r="G189" s="909"/>
    </row>
    <row r="190" ht="12.75">
      <c r="G190" s="909"/>
    </row>
    <row r="191" ht="12.75">
      <c r="G191" s="909"/>
    </row>
    <row r="192" ht="12.75">
      <c r="G192" s="909"/>
    </row>
    <row r="193" ht="12.75">
      <c r="G193" s="909"/>
    </row>
    <row r="194" ht="12.75">
      <c r="G194" s="909"/>
    </row>
    <row r="195" ht="12.75">
      <c r="G195" s="909"/>
    </row>
    <row r="196" ht="12.75">
      <c r="G196" s="909"/>
    </row>
    <row r="197" ht="12.75">
      <c r="G197" s="909"/>
    </row>
    <row r="198" ht="12.75">
      <c r="G198" s="909"/>
    </row>
    <row r="199" ht="12.75">
      <c r="G199" s="909"/>
    </row>
    <row r="200" ht="12.75">
      <c r="G200" s="909"/>
    </row>
    <row r="201" ht="12.75">
      <c r="G201" s="909"/>
    </row>
    <row r="202" ht="12.75">
      <c r="G202" s="909"/>
    </row>
    <row r="203" ht="12.75">
      <c r="G203" s="909"/>
    </row>
    <row r="204" ht="12.75">
      <c r="G204" s="909"/>
    </row>
    <row r="205" ht="12.75">
      <c r="G205" s="909"/>
    </row>
    <row r="206" ht="12.75">
      <c r="G206" s="909"/>
    </row>
    <row r="207" ht="12.75">
      <c r="G207" s="909"/>
    </row>
    <row r="208" ht="12.75">
      <c r="G208" s="909"/>
    </row>
    <row r="209" ht="12.75">
      <c r="G209" s="909"/>
    </row>
    <row r="210" ht="12.75">
      <c r="G210" s="909"/>
    </row>
    <row r="211" ht="12.75">
      <c r="G211" s="909"/>
    </row>
    <row r="212" ht="12.75">
      <c r="G212" s="909"/>
    </row>
    <row r="213" ht="12.75">
      <c r="G213" s="909"/>
    </row>
    <row r="214" ht="12.75">
      <c r="G214" s="909"/>
    </row>
    <row r="215" ht="12.75">
      <c r="G215" s="909"/>
    </row>
    <row r="216" ht="12.75">
      <c r="G216" s="909"/>
    </row>
    <row r="217" ht="12.75">
      <c r="G217" s="909"/>
    </row>
    <row r="218" ht="12.75">
      <c r="G218" s="909"/>
    </row>
    <row r="219" ht="12.75">
      <c r="G219" s="909"/>
    </row>
    <row r="220" ht="12.75">
      <c r="G220" s="909"/>
    </row>
    <row r="221" ht="12.75">
      <c r="G221" s="909"/>
    </row>
    <row r="222" ht="12.75">
      <c r="G222" s="909"/>
    </row>
    <row r="223" ht="12.75">
      <c r="G223" s="909"/>
    </row>
    <row r="224" ht="12.75">
      <c r="G224" s="909"/>
    </row>
    <row r="225" ht="12.75">
      <c r="G225" s="909"/>
    </row>
    <row r="226" ht="12.75">
      <c r="G226" s="909"/>
    </row>
    <row r="227" ht="12.75">
      <c r="G227" s="909"/>
    </row>
    <row r="228" ht="12.75">
      <c r="G228" s="909"/>
    </row>
    <row r="229" ht="12.75">
      <c r="G229" s="909"/>
    </row>
    <row r="230" ht="12.75">
      <c r="G230" s="909"/>
    </row>
    <row r="231" ht="12.75">
      <c r="G231" s="909"/>
    </row>
    <row r="232" ht="12.75">
      <c r="G232" s="909"/>
    </row>
    <row r="233" ht="12.75">
      <c r="G233" s="909"/>
    </row>
    <row r="234" ht="12.75">
      <c r="G234" s="909"/>
    </row>
    <row r="235" ht="12.75">
      <c r="G235" s="909"/>
    </row>
    <row r="236" ht="12.75">
      <c r="G236" s="909"/>
    </row>
    <row r="237" ht="12.75">
      <c r="G237" s="909"/>
    </row>
    <row r="238" ht="12.75">
      <c r="G238" s="909"/>
    </row>
    <row r="239" ht="12.75">
      <c r="G239" s="909"/>
    </row>
    <row r="240" ht="12.75">
      <c r="G240" s="909"/>
    </row>
    <row r="241" ht="12.75">
      <c r="G241" s="909"/>
    </row>
    <row r="242" ht="12.75">
      <c r="G242" s="909"/>
    </row>
  </sheetData>
  <sheetProtection password="CF93" sheet="1" objects="1" scenarios="1" formatCells="0" formatColumns="0"/>
  <mergeCells count="14">
    <mergeCell ref="E1:F1"/>
    <mergeCell ref="A3:F3"/>
    <mergeCell ref="A7:C7"/>
    <mergeCell ref="A40:C40"/>
    <mergeCell ref="A37:C37"/>
    <mergeCell ref="A43:C43"/>
    <mergeCell ref="A52:C52"/>
    <mergeCell ref="A60:C60"/>
    <mergeCell ref="A72:C72"/>
    <mergeCell ref="A48:C48"/>
    <mergeCell ref="A50:C50"/>
    <mergeCell ref="A55:C55"/>
    <mergeCell ref="A69:C69"/>
    <mergeCell ref="A58:C5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">
    <tabColor indexed="42"/>
  </sheetPr>
  <dimension ref="A1:K35"/>
  <sheetViews>
    <sheetView view="pageBreakPreview" zoomScaleSheetLayoutView="100" workbookViewId="0" topLeftCell="E1">
      <selection activeCell="L39" sqref="L39"/>
    </sheetView>
  </sheetViews>
  <sheetFormatPr defaultColWidth="9.00390625" defaultRowHeight="12.75"/>
  <cols>
    <col min="1" max="1" width="5.625" style="18" customWidth="1"/>
    <col min="2" max="2" width="7.75390625" style="18" customWidth="1"/>
    <col min="3" max="3" width="34.00390625" style="19" customWidth="1"/>
    <col min="4" max="4" width="14.625" style="19" customWidth="1"/>
    <col min="5" max="6" width="12.25390625" style="19" customWidth="1"/>
    <col min="7" max="7" width="12.125" style="19" customWidth="1"/>
    <col min="8" max="8" width="12.25390625" style="19" customWidth="1"/>
    <col min="9" max="9" width="14.375" style="19" customWidth="1"/>
    <col min="10" max="10" width="10.375" style="19" customWidth="1"/>
    <col min="11" max="11" width="9.00390625" style="19" customWidth="1"/>
    <col min="12" max="16384" width="9.125" style="19" customWidth="1"/>
  </cols>
  <sheetData>
    <row r="1" spans="1:2" s="946" customFormat="1" ht="12.75">
      <c r="A1" s="945"/>
      <c r="B1" s="945"/>
    </row>
    <row r="2" spans="1:9" s="947" customFormat="1" ht="12.75">
      <c r="A2" s="945"/>
      <c r="B2" s="945"/>
      <c r="C2" s="946"/>
      <c r="D2" s="946"/>
      <c r="E2" s="946"/>
      <c r="F2" s="946"/>
      <c r="G2" s="946"/>
      <c r="H2" s="178"/>
      <c r="I2" s="178" t="s">
        <v>455</v>
      </c>
    </row>
    <row r="3" spans="1:8" s="947" customFormat="1" ht="12.75" customHeight="1">
      <c r="A3" s="948"/>
      <c r="B3" s="948"/>
      <c r="H3" s="178"/>
    </row>
    <row r="4" spans="1:8" s="98" customFormat="1" ht="21" customHeight="1">
      <c r="A4" s="1504" t="s">
        <v>1262</v>
      </c>
      <c r="B4" s="1504"/>
      <c r="C4" s="1504"/>
      <c r="D4" s="1504"/>
      <c r="E4" s="1504"/>
      <c r="F4" s="1504"/>
      <c r="G4" s="1504"/>
      <c r="H4" s="1504"/>
    </row>
    <row r="5" spans="1:10" s="947" customFormat="1" ht="19.5" customHeight="1" thickBot="1">
      <c r="A5" s="948"/>
      <c r="B5" s="948"/>
      <c r="H5" s="272"/>
      <c r="I5" s="272" t="s">
        <v>1035</v>
      </c>
      <c r="J5" s="272"/>
    </row>
    <row r="6" spans="1:9" s="949" customFormat="1" ht="17.25" customHeight="1">
      <c r="A6" s="1440" t="s">
        <v>1215</v>
      </c>
      <c r="B6" s="1511" t="s">
        <v>1036</v>
      </c>
      <c r="C6" s="1505" t="s">
        <v>1022</v>
      </c>
      <c r="D6" s="1324" t="s">
        <v>298</v>
      </c>
      <c r="E6" s="1507" t="s">
        <v>14</v>
      </c>
      <c r="F6" s="1507"/>
      <c r="G6" s="1507" t="s">
        <v>1291</v>
      </c>
      <c r="H6" s="1510"/>
      <c r="I6" s="1502" t="s">
        <v>299</v>
      </c>
    </row>
    <row r="7" spans="1:9" s="949" customFormat="1" ht="39.75" customHeight="1">
      <c r="A7" s="1441"/>
      <c r="B7" s="1512"/>
      <c r="C7" s="1506"/>
      <c r="D7" s="1325"/>
      <c r="E7" s="950" t="s">
        <v>1038</v>
      </c>
      <c r="F7" s="274" t="s">
        <v>1039</v>
      </c>
      <c r="G7" s="950" t="s">
        <v>1038</v>
      </c>
      <c r="H7" s="951" t="s">
        <v>1039</v>
      </c>
      <c r="I7" s="1503"/>
    </row>
    <row r="8" spans="1:9" s="952" customFormat="1" ht="12.75" customHeight="1" thickBot="1">
      <c r="A8" s="218" t="s">
        <v>943</v>
      </c>
      <c r="B8" s="219" t="s">
        <v>282</v>
      </c>
      <c r="C8" s="220">
        <v>3</v>
      </c>
      <c r="D8" s="220">
        <v>4</v>
      </c>
      <c r="E8" s="220">
        <v>5</v>
      </c>
      <c r="F8" s="221">
        <v>6</v>
      </c>
      <c r="G8" s="221">
        <v>7</v>
      </c>
      <c r="H8" s="220">
        <v>8</v>
      </c>
      <c r="I8" s="276">
        <v>9</v>
      </c>
    </row>
    <row r="9" spans="1:11" s="20" customFormat="1" ht="18.75" customHeight="1">
      <c r="A9" s="1516" t="s">
        <v>1073</v>
      </c>
      <c r="B9" s="1517"/>
      <c r="C9" s="1518"/>
      <c r="D9" s="953">
        <f aca="true" t="shared" si="0" ref="D9:I9">SUM(D10,D11,D17,D21,D22)</f>
        <v>273111.51</v>
      </c>
      <c r="E9" s="68">
        <f t="shared" si="0"/>
        <v>1922218</v>
      </c>
      <c r="F9" s="68">
        <f t="shared" si="0"/>
        <v>1142825.74</v>
      </c>
      <c r="G9" s="68">
        <f t="shared" si="0"/>
        <v>2131649</v>
      </c>
      <c r="H9" s="68">
        <f t="shared" si="0"/>
        <v>1040660.47</v>
      </c>
      <c r="I9" s="954">
        <f t="shared" si="0"/>
        <v>375276.77999999997</v>
      </c>
      <c r="J9" s="75"/>
      <c r="K9" s="75"/>
    </row>
    <row r="10" spans="1:11" s="56" customFormat="1" ht="24.75" customHeight="1">
      <c r="A10" s="955" t="s">
        <v>1046</v>
      </c>
      <c r="B10" s="956" t="s">
        <v>1049</v>
      </c>
      <c r="C10" s="957" t="s">
        <v>301</v>
      </c>
      <c r="D10" s="738">
        <v>146225.24</v>
      </c>
      <c r="E10" s="738">
        <v>540000</v>
      </c>
      <c r="F10" s="738">
        <v>289803.87</v>
      </c>
      <c r="G10" s="738">
        <v>686225</v>
      </c>
      <c r="H10" s="958">
        <v>216683.76</v>
      </c>
      <c r="I10" s="722">
        <v>219345.35</v>
      </c>
      <c r="J10" s="75"/>
      <c r="K10" s="75"/>
    </row>
    <row r="11" spans="1:11" s="56" customFormat="1" ht="24.75" customHeight="1">
      <c r="A11" s="959" t="s">
        <v>1092</v>
      </c>
      <c r="B11" s="960" t="s">
        <v>1094</v>
      </c>
      <c r="C11" s="961" t="s">
        <v>1095</v>
      </c>
      <c r="D11" s="962">
        <f aca="true" t="shared" si="1" ref="D11:I11">SUM(D12,D13,D14,D15,D16)</f>
        <v>34426.63</v>
      </c>
      <c r="E11" s="962">
        <f t="shared" si="1"/>
        <v>651390</v>
      </c>
      <c r="F11" s="962">
        <f t="shared" si="1"/>
        <v>349547.87</v>
      </c>
      <c r="G11" s="962">
        <f t="shared" si="1"/>
        <v>674244</v>
      </c>
      <c r="H11" s="962">
        <f t="shared" si="1"/>
        <v>304538.78</v>
      </c>
      <c r="I11" s="963">
        <f t="shared" si="1"/>
        <v>79435.72000000002</v>
      </c>
      <c r="J11" s="75"/>
      <c r="K11" s="75"/>
    </row>
    <row r="12" spans="1:11" s="86" customFormat="1" ht="24.75" customHeight="1">
      <c r="A12" s="964" t="s">
        <v>1092</v>
      </c>
      <c r="B12" s="965" t="s">
        <v>1094</v>
      </c>
      <c r="C12" s="966" t="s">
        <v>848</v>
      </c>
      <c r="D12" s="967">
        <v>21606.37</v>
      </c>
      <c r="E12" s="967">
        <v>232167</v>
      </c>
      <c r="F12" s="967">
        <v>103199.73</v>
      </c>
      <c r="G12" s="967">
        <v>248700</v>
      </c>
      <c r="H12" s="968">
        <v>77687.19</v>
      </c>
      <c r="I12" s="969">
        <v>47118.91</v>
      </c>
      <c r="J12" s="92"/>
      <c r="K12" s="75"/>
    </row>
    <row r="13" spans="1:11" s="86" customFormat="1" ht="24.75" customHeight="1">
      <c r="A13" s="964" t="s">
        <v>1092</v>
      </c>
      <c r="B13" s="965" t="s">
        <v>1094</v>
      </c>
      <c r="C13" s="966" t="s">
        <v>849</v>
      </c>
      <c r="D13" s="967">
        <v>2667.44</v>
      </c>
      <c r="E13" s="967">
        <v>11300</v>
      </c>
      <c r="F13" s="967">
        <v>4784.84</v>
      </c>
      <c r="G13" s="967">
        <v>13968</v>
      </c>
      <c r="H13" s="968">
        <v>5846.72</v>
      </c>
      <c r="I13" s="969">
        <v>1605.56</v>
      </c>
      <c r="J13" s="92"/>
      <c r="K13" s="75"/>
    </row>
    <row r="14" spans="1:11" s="86" customFormat="1" ht="24.75" customHeight="1">
      <c r="A14" s="964" t="s">
        <v>1092</v>
      </c>
      <c r="B14" s="965" t="s">
        <v>1094</v>
      </c>
      <c r="C14" s="966" t="s">
        <v>506</v>
      </c>
      <c r="D14" s="967">
        <v>4878.67</v>
      </c>
      <c r="E14" s="967">
        <v>147115</v>
      </c>
      <c r="F14" s="967">
        <v>76959.38</v>
      </c>
      <c r="G14" s="967">
        <v>147494</v>
      </c>
      <c r="H14" s="968">
        <v>73275.69</v>
      </c>
      <c r="I14" s="969">
        <v>8562.36</v>
      </c>
      <c r="J14" s="92"/>
      <c r="K14" s="75"/>
    </row>
    <row r="15" spans="1:11" s="86" customFormat="1" ht="24.75" customHeight="1">
      <c r="A15" s="970" t="s">
        <v>1092</v>
      </c>
      <c r="B15" s="971" t="s">
        <v>1094</v>
      </c>
      <c r="C15" s="972" t="s">
        <v>850</v>
      </c>
      <c r="D15" s="973">
        <v>5192.15</v>
      </c>
      <c r="E15" s="973">
        <v>165808</v>
      </c>
      <c r="F15" s="973">
        <v>128232.19</v>
      </c>
      <c r="G15" s="973">
        <v>169000</v>
      </c>
      <c r="H15" s="974">
        <v>112715.44</v>
      </c>
      <c r="I15" s="975">
        <v>20708.9</v>
      </c>
      <c r="J15" s="92"/>
      <c r="K15" s="75"/>
    </row>
    <row r="16" spans="1:11" s="86" customFormat="1" ht="24.75" customHeight="1">
      <c r="A16" s="976" t="s">
        <v>1092</v>
      </c>
      <c r="B16" s="977" t="s">
        <v>1094</v>
      </c>
      <c r="C16" s="978" t="s">
        <v>853</v>
      </c>
      <c r="D16" s="979">
        <v>82</v>
      </c>
      <c r="E16" s="979">
        <v>95000</v>
      </c>
      <c r="F16" s="979">
        <v>36371.73</v>
      </c>
      <c r="G16" s="979">
        <v>95082</v>
      </c>
      <c r="H16" s="980">
        <v>35013.74</v>
      </c>
      <c r="I16" s="981">
        <v>1439.99</v>
      </c>
      <c r="J16" s="92"/>
      <c r="K16" s="75"/>
    </row>
    <row r="17" spans="1:11" s="56" customFormat="1" ht="24.75" customHeight="1">
      <c r="A17" s="959" t="s">
        <v>1092</v>
      </c>
      <c r="B17" s="960" t="s">
        <v>1096</v>
      </c>
      <c r="C17" s="961" t="s">
        <v>1097</v>
      </c>
      <c r="D17" s="962">
        <f aca="true" t="shared" si="2" ref="D17:I17">SUM(D18,D19,D20)</f>
        <v>42104.46</v>
      </c>
      <c r="E17" s="962">
        <f t="shared" si="2"/>
        <v>345210</v>
      </c>
      <c r="F17" s="962">
        <f t="shared" si="2"/>
        <v>197051.75999999998</v>
      </c>
      <c r="G17" s="962">
        <f t="shared" si="2"/>
        <v>339992</v>
      </c>
      <c r="H17" s="962">
        <f t="shared" si="2"/>
        <v>183697.91999999998</v>
      </c>
      <c r="I17" s="982">
        <f t="shared" si="2"/>
        <v>55458.3</v>
      </c>
      <c r="J17" s="75"/>
      <c r="K17" s="75"/>
    </row>
    <row r="18" spans="1:11" s="86" customFormat="1" ht="24.75" customHeight="1">
      <c r="A18" s="964" t="s">
        <v>1092</v>
      </c>
      <c r="B18" s="965" t="s">
        <v>1096</v>
      </c>
      <c r="C18" s="966" t="s">
        <v>854</v>
      </c>
      <c r="D18" s="967">
        <v>28702.64</v>
      </c>
      <c r="E18" s="967">
        <v>230000</v>
      </c>
      <c r="F18" s="967">
        <v>127010.08</v>
      </c>
      <c r="G18" s="967">
        <v>228703</v>
      </c>
      <c r="H18" s="968">
        <v>120062.47</v>
      </c>
      <c r="I18" s="969">
        <v>35650.25</v>
      </c>
      <c r="J18" s="92"/>
      <c r="K18" s="75"/>
    </row>
    <row r="19" spans="1:11" s="86" customFormat="1" ht="24.75" customHeight="1">
      <c r="A19" s="964" t="s">
        <v>1092</v>
      </c>
      <c r="B19" s="965" t="s">
        <v>1096</v>
      </c>
      <c r="C19" s="966" t="s">
        <v>855</v>
      </c>
      <c r="D19" s="967">
        <v>2579.34</v>
      </c>
      <c r="E19" s="967">
        <v>105210</v>
      </c>
      <c r="F19" s="967">
        <v>63266.35</v>
      </c>
      <c r="G19" s="967">
        <v>106289</v>
      </c>
      <c r="H19" s="968">
        <v>62205.15</v>
      </c>
      <c r="I19" s="969">
        <v>3640.54</v>
      </c>
      <c r="J19" s="92"/>
      <c r="K19" s="75"/>
    </row>
    <row r="20" spans="1:11" s="86" customFormat="1" ht="24.75" customHeight="1">
      <c r="A20" s="976" t="s">
        <v>1092</v>
      </c>
      <c r="B20" s="977" t="s">
        <v>1096</v>
      </c>
      <c r="C20" s="978" t="s">
        <v>856</v>
      </c>
      <c r="D20" s="979">
        <v>10822.48</v>
      </c>
      <c r="E20" s="979">
        <v>10000</v>
      </c>
      <c r="F20" s="979">
        <v>6775.33</v>
      </c>
      <c r="G20" s="979">
        <v>5000</v>
      </c>
      <c r="H20" s="980">
        <v>1430.3</v>
      </c>
      <c r="I20" s="981">
        <v>16167.51</v>
      </c>
      <c r="J20" s="92"/>
      <c r="K20" s="75"/>
    </row>
    <row r="21" spans="1:11" s="56" customFormat="1" ht="24.75" customHeight="1">
      <c r="A21" s="955" t="s">
        <v>1105</v>
      </c>
      <c r="B21" s="956" t="s">
        <v>1106</v>
      </c>
      <c r="C21" s="957" t="s">
        <v>302</v>
      </c>
      <c r="D21" s="738">
        <v>8331.62</v>
      </c>
      <c r="E21" s="738">
        <v>185618</v>
      </c>
      <c r="F21" s="738">
        <v>107379.77</v>
      </c>
      <c r="G21" s="738">
        <v>189164</v>
      </c>
      <c r="H21" s="958">
        <v>108790.41</v>
      </c>
      <c r="I21" s="722">
        <v>6920.98</v>
      </c>
      <c r="J21" s="75"/>
      <c r="K21" s="75"/>
    </row>
    <row r="22" spans="1:11" s="56" customFormat="1" ht="24.75" customHeight="1">
      <c r="A22" s="955" t="s">
        <v>1117</v>
      </c>
      <c r="B22" s="956" t="s">
        <v>1171</v>
      </c>
      <c r="C22" s="957" t="s">
        <v>305</v>
      </c>
      <c r="D22" s="738">
        <v>42023.56</v>
      </c>
      <c r="E22" s="738">
        <v>200000</v>
      </c>
      <c r="F22" s="738">
        <v>199042.47</v>
      </c>
      <c r="G22" s="738">
        <v>242024</v>
      </c>
      <c r="H22" s="958">
        <v>226949.6</v>
      </c>
      <c r="I22" s="722">
        <v>14116.43</v>
      </c>
      <c r="J22" s="75"/>
      <c r="K22" s="75"/>
    </row>
    <row r="23" spans="1:11" s="20" customFormat="1" ht="21" customHeight="1">
      <c r="A23" s="1513" t="s">
        <v>998</v>
      </c>
      <c r="B23" s="1514"/>
      <c r="C23" s="1515"/>
      <c r="D23" s="983">
        <f aca="true" t="shared" si="3" ref="D23:I23">SUM(D24,D27,D28,D29,D32,D33,D34)</f>
        <v>501911.51</v>
      </c>
      <c r="E23" s="983">
        <f t="shared" si="3"/>
        <v>2068897</v>
      </c>
      <c r="F23" s="983">
        <f t="shared" si="3"/>
        <v>1281019.13</v>
      </c>
      <c r="G23" s="983">
        <f t="shared" si="3"/>
        <v>2561538</v>
      </c>
      <c r="H23" s="983">
        <f t="shared" si="3"/>
        <v>958090.51</v>
      </c>
      <c r="I23" s="983">
        <f t="shared" si="3"/>
        <v>824840.13</v>
      </c>
      <c r="J23" s="75"/>
      <c r="K23" s="75"/>
    </row>
    <row r="24" spans="1:11" s="55" customFormat="1" ht="40.5" customHeight="1">
      <c r="A24" s="984" t="s">
        <v>1046</v>
      </c>
      <c r="B24" s="985" t="s">
        <v>1048</v>
      </c>
      <c r="C24" s="986" t="s">
        <v>1108</v>
      </c>
      <c r="D24" s="987">
        <f aca="true" t="shared" si="4" ref="D24:I24">SUM(D25,D26)</f>
        <v>281008.87</v>
      </c>
      <c r="E24" s="987">
        <f t="shared" si="4"/>
        <v>809200</v>
      </c>
      <c r="F24" s="987">
        <f t="shared" si="4"/>
        <v>594603.92</v>
      </c>
      <c r="G24" s="987">
        <f t="shared" si="4"/>
        <v>1090209</v>
      </c>
      <c r="H24" s="987">
        <f t="shared" si="4"/>
        <v>290697.82</v>
      </c>
      <c r="I24" s="988">
        <f t="shared" si="4"/>
        <v>584914.97</v>
      </c>
      <c r="J24" s="75"/>
      <c r="K24" s="75"/>
    </row>
    <row r="25" spans="1:11" s="86" customFormat="1" ht="24.75" customHeight="1">
      <c r="A25" s="964" t="s">
        <v>1046</v>
      </c>
      <c r="B25" s="965" t="s">
        <v>1048</v>
      </c>
      <c r="C25" s="966" t="s">
        <v>300</v>
      </c>
      <c r="D25" s="967">
        <v>280133.17</v>
      </c>
      <c r="E25" s="967">
        <v>509200</v>
      </c>
      <c r="F25" s="967">
        <v>323277.34</v>
      </c>
      <c r="G25" s="967">
        <v>789333</v>
      </c>
      <c r="H25" s="968">
        <v>290697.82</v>
      </c>
      <c r="I25" s="969">
        <v>312712.69</v>
      </c>
      <c r="J25" s="92"/>
      <c r="K25" s="92"/>
    </row>
    <row r="26" spans="1:11" s="86" customFormat="1" ht="24.75" customHeight="1">
      <c r="A26" s="976" t="s">
        <v>1046</v>
      </c>
      <c r="B26" s="977" t="s">
        <v>1048</v>
      </c>
      <c r="C26" s="978" t="s">
        <v>301</v>
      </c>
      <c r="D26" s="979">
        <v>875.7</v>
      </c>
      <c r="E26" s="979">
        <v>300000</v>
      </c>
      <c r="F26" s="979">
        <v>271326.58</v>
      </c>
      <c r="G26" s="979">
        <v>300876</v>
      </c>
      <c r="H26" s="980">
        <v>0</v>
      </c>
      <c r="I26" s="981">
        <v>272202.28</v>
      </c>
      <c r="J26" s="92"/>
      <c r="K26" s="92"/>
    </row>
    <row r="27" spans="1:11" s="56" customFormat="1" ht="24.75" customHeight="1">
      <c r="A27" s="955" t="s">
        <v>1085</v>
      </c>
      <c r="B27" s="956" t="s">
        <v>1086</v>
      </c>
      <c r="C27" s="957" t="s">
        <v>1309</v>
      </c>
      <c r="D27" s="738">
        <v>7425.86</v>
      </c>
      <c r="E27" s="738">
        <v>25037</v>
      </c>
      <c r="F27" s="738">
        <v>24681.51</v>
      </c>
      <c r="G27" s="738">
        <v>32463</v>
      </c>
      <c r="H27" s="958">
        <v>6447.4</v>
      </c>
      <c r="I27" s="722">
        <v>25659.97</v>
      </c>
      <c r="J27" s="92"/>
      <c r="K27" s="92"/>
    </row>
    <row r="28" spans="1:11" s="56" customFormat="1" ht="26.25" customHeight="1">
      <c r="A28" s="955" t="s">
        <v>1092</v>
      </c>
      <c r="B28" s="956" t="s">
        <v>1098</v>
      </c>
      <c r="C28" s="957" t="s">
        <v>1023</v>
      </c>
      <c r="D28" s="738">
        <v>1879.09</v>
      </c>
      <c r="E28" s="738">
        <v>44502</v>
      </c>
      <c r="F28" s="738">
        <v>19880.2</v>
      </c>
      <c r="G28" s="738">
        <v>46381</v>
      </c>
      <c r="H28" s="958">
        <v>12232.03</v>
      </c>
      <c r="I28" s="722">
        <v>9527.26</v>
      </c>
      <c r="J28" s="75"/>
      <c r="K28" s="75"/>
    </row>
    <row r="29" spans="1:11" s="56" customFormat="1" ht="24.75" customHeight="1">
      <c r="A29" s="959" t="s">
        <v>1092</v>
      </c>
      <c r="B29" s="960" t="s">
        <v>1099</v>
      </c>
      <c r="C29" s="961" t="s">
        <v>1100</v>
      </c>
      <c r="D29" s="962">
        <f aca="true" t="shared" si="5" ref="D29:I29">SUM(D30,D31)</f>
        <v>184210.89</v>
      </c>
      <c r="E29" s="962">
        <f t="shared" si="5"/>
        <v>214770</v>
      </c>
      <c r="F29" s="962">
        <f t="shared" si="5"/>
        <v>154528.38</v>
      </c>
      <c r="G29" s="962">
        <f t="shared" si="5"/>
        <v>393781</v>
      </c>
      <c r="H29" s="962">
        <f t="shared" si="5"/>
        <v>194203.25</v>
      </c>
      <c r="I29" s="982">
        <f t="shared" si="5"/>
        <v>144536.02</v>
      </c>
      <c r="J29" s="75"/>
      <c r="K29" s="75"/>
    </row>
    <row r="30" spans="1:11" s="86" customFormat="1" ht="24.75" customHeight="1">
      <c r="A30" s="964" t="s">
        <v>1092</v>
      </c>
      <c r="B30" s="965" t="s">
        <v>1099</v>
      </c>
      <c r="C30" s="966" t="s">
        <v>858</v>
      </c>
      <c r="D30" s="967">
        <v>4225</v>
      </c>
      <c r="E30" s="967">
        <v>34741</v>
      </c>
      <c r="F30" s="967">
        <v>22180.2</v>
      </c>
      <c r="G30" s="967">
        <v>33766</v>
      </c>
      <c r="H30" s="968">
        <v>24298.77</v>
      </c>
      <c r="I30" s="969">
        <v>2106.43</v>
      </c>
      <c r="J30" s="92"/>
      <c r="K30" s="92"/>
    </row>
    <row r="31" spans="1:11" s="86" customFormat="1" ht="24.75" customHeight="1">
      <c r="A31" s="976" t="s">
        <v>1092</v>
      </c>
      <c r="B31" s="977" t="s">
        <v>1099</v>
      </c>
      <c r="C31" s="978" t="s">
        <v>859</v>
      </c>
      <c r="D31" s="979">
        <v>179985.89</v>
      </c>
      <c r="E31" s="979">
        <v>180029</v>
      </c>
      <c r="F31" s="979">
        <v>132348.18</v>
      </c>
      <c r="G31" s="979">
        <v>360015</v>
      </c>
      <c r="H31" s="980">
        <v>169904.48</v>
      </c>
      <c r="I31" s="981">
        <v>142429.59</v>
      </c>
      <c r="J31" s="92"/>
      <c r="K31" s="92"/>
    </row>
    <row r="32" spans="1:11" s="56" customFormat="1" ht="24.75" customHeight="1">
      <c r="A32" s="955" t="s">
        <v>1117</v>
      </c>
      <c r="B32" s="956" t="s">
        <v>1122</v>
      </c>
      <c r="C32" s="957" t="s">
        <v>303</v>
      </c>
      <c r="D32" s="738">
        <v>19943.49</v>
      </c>
      <c r="E32" s="738">
        <v>375057</v>
      </c>
      <c r="F32" s="738">
        <v>123488.43</v>
      </c>
      <c r="G32" s="738">
        <v>395000</v>
      </c>
      <c r="H32" s="958">
        <v>102399.93</v>
      </c>
      <c r="I32" s="722">
        <v>41031.99</v>
      </c>
      <c r="J32" s="75"/>
      <c r="K32" s="75"/>
    </row>
    <row r="33" spans="1:11" s="56" customFormat="1" ht="24.75" customHeight="1">
      <c r="A33" s="955" t="s">
        <v>1117</v>
      </c>
      <c r="B33" s="956" t="s">
        <v>1123</v>
      </c>
      <c r="C33" s="957" t="s">
        <v>304</v>
      </c>
      <c r="D33" s="738">
        <v>7294.31</v>
      </c>
      <c r="E33" s="738">
        <v>5962</v>
      </c>
      <c r="F33" s="738">
        <v>4810.35</v>
      </c>
      <c r="G33" s="738">
        <v>10686</v>
      </c>
      <c r="H33" s="958">
        <v>5086.12</v>
      </c>
      <c r="I33" s="722">
        <v>7018.54</v>
      </c>
      <c r="J33" s="75"/>
      <c r="K33" s="75"/>
    </row>
    <row r="34" spans="1:11" s="56" customFormat="1" ht="24.75" customHeight="1" thickBot="1">
      <c r="A34" s="989" t="s">
        <v>1117</v>
      </c>
      <c r="B34" s="990" t="s">
        <v>1173</v>
      </c>
      <c r="C34" s="991" t="s">
        <v>857</v>
      </c>
      <c r="D34" s="992">
        <v>149</v>
      </c>
      <c r="E34" s="992">
        <v>594369</v>
      </c>
      <c r="F34" s="992">
        <v>359026.34</v>
      </c>
      <c r="G34" s="992">
        <v>593018</v>
      </c>
      <c r="H34" s="993">
        <v>347023.96</v>
      </c>
      <c r="I34" s="994">
        <v>12151.38</v>
      </c>
      <c r="J34" s="75"/>
      <c r="K34" s="75"/>
    </row>
    <row r="35" spans="1:11" s="567" customFormat="1" ht="24.75" customHeight="1" thickBot="1">
      <c r="A35" s="1508" t="s">
        <v>847</v>
      </c>
      <c r="B35" s="1509"/>
      <c r="C35" s="1509"/>
      <c r="D35" s="995">
        <f aca="true" t="shared" si="6" ref="D35:I35">SUM(D9,D23)</f>
        <v>775023.02</v>
      </c>
      <c r="E35" s="995">
        <f t="shared" si="6"/>
        <v>3991115</v>
      </c>
      <c r="F35" s="995">
        <f t="shared" si="6"/>
        <v>2423844.87</v>
      </c>
      <c r="G35" s="995">
        <f t="shared" si="6"/>
        <v>4693187</v>
      </c>
      <c r="H35" s="995">
        <f t="shared" si="6"/>
        <v>1998750.98</v>
      </c>
      <c r="I35" s="996">
        <f t="shared" si="6"/>
        <v>1200116.91</v>
      </c>
      <c r="J35" s="75"/>
      <c r="K35" s="75"/>
    </row>
  </sheetData>
  <sheetProtection password="CF93" sheet="1" objects="1" scenarios="1" selectLockedCells="1" selectUnlockedCells="1"/>
  <mergeCells count="11">
    <mergeCell ref="A35:C35"/>
    <mergeCell ref="G6:H6"/>
    <mergeCell ref="A6:A7"/>
    <mergeCell ref="B6:B7"/>
    <mergeCell ref="D6:D7"/>
    <mergeCell ref="A23:C23"/>
    <mergeCell ref="A9:C9"/>
    <mergeCell ref="I6:I7"/>
    <mergeCell ref="A4:H4"/>
    <mergeCell ref="C6:C7"/>
    <mergeCell ref="E6:F6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1"/>
  <rowBreaks count="1" manualBreakCount="1">
    <brk id="22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9"/>
  <sheetViews>
    <sheetView view="pageBreakPreview" zoomScaleSheetLayoutView="100" workbookViewId="0" topLeftCell="A1">
      <selection activeCell="H1" sqref="H1:H16384"/>
    </sheetView>
  </sheetViews>
  <sheetFormatPr defaultColWidth="9.00390625" defaultRowHeight="12.75"/>
  <cols>
    <col min="1" max="1" width="3.375" style="910" customWidth="1"/>
    <col min="2" max="2" width="7.25390625" style="911" customWidth="1"/>
    <col min="3" max="3" width="34.75390625" style="911" customWidth="1"/>
    <col min="4" max="4" width="8.625" style="912" customWidth="1"/>
    <col min="5" max="5" width="11.125" style="911" customWidth="1"/>
    <col min="6" max="6" width="11.75390625" style="913" customWidth="1"/>
    <col min="7" max="7" width="10.00390625" style="911" customWidth="1"/>
    <col min="8" max="16384" width="9.125" style="911" customWidth="1"/>
  </cols>
  <sheetData>
    <row r="1" ht="12.75">
      <c r="G1" s="58" t="s">
        <v>456</v>
      </c>
    </row>
    <row r="2" spans="6:7" ht="19.5" customHeight="1">
      <c r="F2" s="1326"/>
      <c r="G2" s="1326"/>
    </row>
    <row r="3" spans="1:6" ht="29.25" customHeight="1">
      <c r="A3" s="1522" t="s">
        <v>78</v>
      </c>
      <c r="B3" s="1522"/>
      <c r="C3" s="1522"/>
      <c r="D3" s="1522"/>
      <c r="E3" s="1522"/>
      <c r="F3" s="1522"/>
    </row>
    <row r="4" spans="5:7" ht="29.25" customHeight="1" thickBot="1">
      <c r="E4" s="914"/>
      <c r="F4" s="915"/>
      <c r="G4" s="915" t="s">
        <v>1035</v>
      </c>
    </row>
    <row r="5" spans="1:7" s="916" customFormat="1" ht="56.25" customHeight="1">
      <c r="A5" s="927" t="s">
        <v>1299</v>
      </c>
      <c r="B5" s="928" t="s">
        <v>1036</v>
      </c>
      <c r="C5" s="928" t="s">
        <v>1216</v>
      </c>
      <c r="D5" s="929" t="s">
        <v>910</v>
      </c>
      <c r="E5" s="929" t="s">
        <v>557</v>
      </c>
      <c r="F5" s="930" t="s">
        <v>386</v>
      </c>
      <c r="G5" s="931" t="s">
        <v>421</v>
      </c>
    </row>
    <row r="6" spans="1:7" s="920" customFormat="1" ht="14.25" customHeight="1">
      <c r="A6" s="932">
        <v>1</v>
      </c>
      <c r="B6" s="917">
        <v>2</v>
      </c>
      <c r="C6" s="917">
        <v>3</v>
      </c>
      <c r="D6" s="918">
        <v>4</v>
      </c>
      <c r="E6" s="918">
        <v>5</v>
      </c>
      <c r="F6" s="919">
        <v>6</v>
      </c>
      <c r="G6" s="933">
        <v>7</v>
      </c>
    </row>
    <row r="7" spans="1:7" s="926" customFormat="1" ht="54.75" customHeight="1">
      <c r="A7" s="934" t="s">
        <v>1302</v>
      </c>
      <c r="B7" s="921">
        <v>60016</v>
      </c>
      <c r="C7" s="922" t="s">
        <v>1236</v>
      </c>
      <c r="D7" s="923" t="s">
        <v>1235</v>
      </c>
      <c r="E7" s="924">
        <v>418000</v>
      </c>
      <c r="F7" s="925">
        <v>418000</v>
      </c>
      <c r="G7" s="935">
        <f>E7-F7</f>
        <v>0</v>
      </c>
    </row>
    <row r="8" spans="1:7" s="926" customFormat="1" ht="42.75" customHeight="1" thickBot="1">
      <c r="A8" s="938" t="s">
        <v>1303</v>
      </c>
      <c r="B8" s="939">
        <v>60016</v>
      </c>
      <c r="C8" s="940" t="s">
        <v>995</v>
      </c>
      <c r="D8" s="941" t="s">
        <v>1235</v>
      </c>
      <c r="E8" s="942">
        <v>279500</v>
      </c>
      <c r="F8" s="943">
        <v>279500</v>
      </c>
      <c r="G8" s="944">
        <f>E8-F8</f>
        <v>0</v>
      </c>
    </row>
    <row r="9" spans="1:7" s="926" customFormat="1" ht="27" customHeight="1" thickBot="1" thickTop="1">
      <c r="A9" s="1519" t="s">
        <v>911</v>
      </c>
      <c r="B9" s="1520"/>
      <c r="C9" s="1520"/>
      <c r="D9" s="1521"/>
      <c r="E9" s="936">
        <f>SUM(E7:E8)</f>
        <v>697500</v>
      </c>
      <c r="F9" s="936">
        <f>SUM(F7:F8)</f>
        <v>697500</v>
      </c>
      <c r="G9" s="937">
        <f>SUM(G7:G8)</f>
        <v>0</v>
      </c>
    </row>
  </sheetData>
  <sheetProtection password="CF93" sheet="1" objects="1" scenarios="1" selectLockedCells="1" selectUnlockedCells="1"/>
  <mergeCells count="3">
    <mergeCell ref="A9:D9"/>
    <mergeCell ref="A3:F3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14.375" style="27" customWidth="1"/>
    <col min="2" max="2" width="17.00390625" style="27" customWidth="1"/>
    <col min="3" max="3" width="13.75390625" style="24" customWidth="1"/>
    <col min="4" max="4" width="13.875" style="24" customWidth="1"/>
    <col min="5" max="5" width="14.25390625" style="24" customWidth="1"/>
    <col min="6" max="6" width="13.625" style="24" customWidth="1"/>
    <col min="7" max="7" width="17.25390625" style="24" customWidth="1"/>
    <col min="8" max="8" width="16.375" style="24" customWidth="1"/>
    <col min="9" max="16384" width="9.125" style="24" customWidth="1"/>
  </cols>
  <sheetData>
    <row r="1" ht="23.25" customHeight="1">
      <c r="F1" s="25" t="s">
        <v>446</v>
      </c>
    </row>
    <row r="2" ht="23.25" customHeight="1">
      <c r="F2" s="28"/>
    </row>
    <row r="3" spans="1:6" ht="30.75" customHeight="1">
      <c r="A3" s="1359" t="s">
        <v>1011</v>
      </c>
      <c r="B3" s="1359"/>
      <c r="C3" s="1359"/>
      <c r="D3" s="1359"/>
      <c r="E3" s="1359"/>
      <c r="F3" s="1359"/>
    </row>
    <row r="4" ht="16.5" customHeight="1" thickBot="1">
      <c r="F4" s="28" t="s">
        <v>1035</v>
      </c>
    </row>
    <row r="5" spans="1:6" s="42" customFormat="1" ht="18" customHeight="1">
      <c r="A5" s="1342" t="s">
        <v>284</v>
      </c>
      <c r="B5" s="1348" t="s">
        <v>1025</v>
      </c>
      <c r="C5" s="1344" t="s">
        <v>143</v>
      </c>
      <c r="D5" s="1345"/>
      <c r="E5" s="1344" t="s">
        <v>144</v>
      </c>
      <c r="F5" s="1332"/>
    </row>
    <row r="6" spans="1:6" s="42" customFormat="1" ht="18" customHeight="1">
      <c r="A6" s="1343"/>
      <c r="B6" s="1349"/>
      <c r="C6" s="43" t="s">
        <v>285</v>
      </c>
      <c r="D6" s="43" t="s">
        <v>286</v>
      </c>
      <c r="E6" s="43" t="s">
        <v>285</v>
      </c>
      <c r="F6" s="44" t="s">
        <v>286</v>
      </c>
    </row>
    <row r="7" spans="1:6" s="42" customFormat="1" ht="13.5" customHeight="1">
      <c r="A7" s="45">
        <v>1</v>
      </c>
      <c r="B7" s="46">
        <v>2</v>
      </c>
      <c r="C7" s="43">
        <v>3</v>
      </c>
      <c r="D7" s="43">
        <v>4</v>
      </c>
      <c r="E7" s="43">
        <v>5</v>
      </c>
      <c r="F7" s="44">
        <v>6</v>
      </c>
    </row>
    <row r="8" spans="1:6" s="32" customFormat="1" ht="18" customHeight="1">
      <c r="A8" s="1335" t="s">
        <v>287</v>
      </c>
      <c r="B8" s="1336"/>
      <c r="C8" s="1360">
        <v>30000000</v>
      </c>
      <c r="D8" s="1334"/>
      <c r="E8" s="1360">
        <v>8800000</v>
      </c>
      <c r="F8" s="1361"/>
    </row>
    <row r="9" spans="1:6" ht="18" customHeight="1">
      <c r="A9" s="38" t="s">
        <v>201</v>
      </c>
      <c r="B9" s="39" t="s">
        <v>202</v>
      </c>
      <c r="C9" s="40">
        <v>0</v>
      </c>
      <c r="D9" s="40">
        <v>0</v>
      </c>
      <c r="E9" s="40">
        <v>0</v>
      </c>
      <c r="F9" s="41">
        <v>3971550</v>
      </c>
    </row>
    <row r="10" spans="1:6" ht="18" customHeight="1">
      <c r="A10" s="47" t="s">
        <v>234</v>
      </c>
      <c r="B10" s="39" t="s">
        <v>239</v>
      </c>
      <c r="C10" s="40">
        <v>0</v>
      </c>
      <c r="D10" s="40">
        <v>6004011</v>
      </c>
      <c r="E10" s="40">
        <v>0</v>
      </c>
      <c r="F10" s="41">
        <v>0</v>
      </c>
    </row>
    <row r="11" spans="1:6" s="32" customFormat="1" ht="18" customHeight="1">
      <c r="A11" s="1350" t="s">
        <v>1295</v>
      </c>
      <c r="B11" s="1351"/>
      <c r="C11" s="54">
        <f>SUM(C9,C10)</f>
        <v>0</v>
      </c>
      <c r="D11" s="54">
        <f>SUM(D9,D10)</f>
        <v>6004011</v>
      </c>
      <c r="E11" s="54">
        <f>SUM(E9,E10)</f>
        <v>0</v>
      </c>
      <c r="F11" s="1316">
        <f>SUM(F9,F10)</f>
        <v>3971550</v>
      </c>
    </row>
    <row r="12" spans="1:6" s="32" customFormat="1" ht="18" customHeight="1">
      <c r="A12" s="1330" t="s">
        <v>288</v>
      </c>
      <c r="B12" s="1331"/>
      <c r="C12" s="1346">
        <f>SUM(C11:D11)</f>
        <v>6004011</v>
      </c>
      <c r="D12" s="1347"/>
      <c r="E12" s="1346">
        <f>SUM(E11:F11)</f>
        <v>3971550</v>
      </c>
      <c r="F12" s="1333"/>
    </row>
    <row r="13" spans="1:6" s="32" customFormat="1" ht="18" customHeight="1" thickBot="1">
      <c r="A13" s="1340" t="s">
        <v>289</v>
      </c>
      <c r="B13" s="1341"/>
      <c r="C13" s="1356">
        <f>SUM(C8,C12)</f>
        <v>36004011</v>
      </c>
      <c r="D13" s="1357"/>
      <c r="E13" s="1356">
        <f>SUM(E8,E12)</f>
        <v>12771550</v>
      </c>
      <c r="F13" s="1358"/>
    </row>
  </sheetData>
  <sheetProtection password="CF93" sheet="1" objects="1" scenarios="1" selectLockedCells="1" selectUnlockedCells="1"/>
  <mergeCells count="15">
    <mergeCell ref="A3:F3"/>
    <mergeCell ref="A11:B11"/>
    <mergeCell ref="A12:B12"/>
    <mergeCell ref="E8:F8"/>
    <mergeCell ref="E5:F5"/>
    <mergeCell ref="E12:F12"/>
    <mergeCell ref="E13:F13"/>
    <mergeCell ref="A13:B13"/>
    <mergeCell ref="A5:A6"/>
    <mergeCell ref="A8:B8"/>
    <mergeCell ref="C8:D8"/>
    <mergeCell ref="C5:D5"/>
    <mergeCell ref="C12:D12"/>
    <mergeCell ref="C13:D13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5">
    <tabColor indexed="42"/>
  </sheetPr>
  <dimension ref="A1:G56"/>
  <sheetViews>
    <sheetView view="pageBreakPreview" zoomScaleSheetLayoutView="100" workbookViewId="0" topLeftCell="A1">
      <selection activeCell="A56" sqref="A56:IV56"/>
    </sheetView>
  </sheetViews>
  <sheetFormatPr defaultColWidth="9.00390625" defaultRowHeight="12.75"/>
  <cols>
    <col min="1" max="1" width="3.625" style="15" customWidth="1"/>
    <col min="2" max="2" width="4.375" style="15" customWidth="1"/>
    <col min="3" max="3" width="48.875" style="15" customWidth="1"/>
    <col min="4" max="5" width="12.00390625" style="15" customWidth="1"/>
    <col min="6" max="6" width="6.25390625" style="15" customWidth="1"/>
    <col min="7" max="16384" width="9.125" style="15" customWidth="1"/>
  </cols>
  <sheetData>
    <row r="1" spans="5:6" s="56" customFormat="1" ht="12" customHeight="1">
      <c r="E1" s="1413" t="s">
        <v>467</v>
      </c>
      <c r="F1" s="1413"/>
    </row>
    <row r="2" s="56" customFormat="1" ht="12.75"/>
    <row r="3" spans="1:6" s="56" customFormat="1" ht="12.75">
      <c r="A3" s="1374" t="s">
        <v>543</v>
      </c>
      <c r="B3" s="1374"/>
      <c r="C3" s="1374"/>
      <c r="D3" s="1374"/>
      <c r="E3" s="1374"/>
      <c r="F3" s="1374"/>
    </row>
    <row r="4" spans="1:6" s="56" customFormat="1" ht="12.75">
      <c r="A4" s="20"/>
      <c r="B4" s="20"/>
      <c r="C4" s="20"/>
      <c r="D4" s="20"/>
      <c r="E4" s="20"/>
      <c r="F4" s="20"/>
    </row>
    <row r="5" spans="1:6" s="567" customFormat="1" ht="12.75" customHeight="1" thickBot="1">
      <c r="A5" s="1528" t="s">
        <v>544</v>
      </c>
      <c r="B5" s="1528"/>
      <c r="C5" s="1528"/>
      <c r="F5" s="58" t="s">
        <v>1035</v>
      </c>
    </row>
    <row r="6" spans="1:6" s="20" customFormat="1" ht="12.75">
      <c r="A6" s="570" t="s">
        <v>1299</v>
      </c>
      <c r="B6" s="571" t="s">
        <v>1221</v>
      </c>
      <c r="C6" s="571" t="s">
        <v>1037</v>
      </c>
      <c r="D6" s="572" t="s">
        <v>1038</v>
      </c>
      <c r="E6" s="572" t="s">
        <v>1039</v>
      </c>
      <c r="F6" s="997" t="s">
        <v>306</v>
      </c>
    </row>
    <row r="7" spans="1:6" s="1002" customFormat="1" ht="12.75" customHeight="1" thickBot="1">
      <c r="A7" s="998">
        <v>1</v>
      </c>
      <c r="B7" s="999">
        <v>2</v>
      </c>
      <c r="C7" s="999">
        <v>3</v>
      </c>
      <c r="D7" s="1000">
        <v>4</v>
      </c>
      <c r="E7" s="1000">
        <v>5</v>
      </c>
      <c r="F7" s="1001">
        <v>6</v>
      </c>
    </row>
    <row r="8" spans="1:6" s="567" customFormat="1" ht="27.75" customHeight="1">
      <c r="A8" s="1003" t="s">
        <v>307</v>
      </c>
      <c r="B8" s="1004"/>
      <c r="C8" s="1005" t="s">
        <v>683</v>
      </c>
      <c r="D8" s="1006">
        <v>144332</v>
      </c>
      <c r="E8" s="1006">
        <v>144332.35</v>
      </c>
      <c r="F8" s="1007" t="s">
        <v>1307</v>
      </c>
    </row>
    <row r="9" spans="1:6" s="567" customFormat="1" ht="18.75" customHeight="1">
      <c r="A9" s="1008" t="s">
        <v>312</v>
      </c>
      <c r="B9" s="1009"/>
      <c r="C9" s="1009" t="s">
        <v>1290</v>
      </c>
      <c r="D9" s="1010">
        <f>SUM(D10,D11,D12,)+D13+D14</f>
        <v>10710845</v>
      </c>
      <c r="E9" s="1010">
        <f>SUM(E10,E11,E12,)+E13+E14</f>
        <v>5551186.5</v>
      </c>
      <c r="F9" s="1011">
        <f aca="true" t="shared" si="0" ref="F9:F20">E9/D9*100</f>
        <v>51.82771760771442</v>
      </c>
    </row>
    <row r="10" spans="1:6" s="56" customFormat="1" ht="18.75" customHeight="1">
      <c r="A10" s="1012" t="s">
        <v>1302</v>
      </c>
      <c r="B10" s="1013" t="s">
        <v>178</v>
      </c>
      <c r="C10" s="1014" t="s">
        <v>313</v>
      </c>
      <c r="D10" s="1015">
        <v>8981800</v>
      </c>
      <c r="E10" s="1015">
        <v>4507467.09</v>
      </c>
      <c r="F10" s="1016">
        <f t="shared" si="0"/>
        <v>50.184451780266755</v>
      </c>
    </row>
    <row r="11" spans="1:6" s="56" customFormat="1" ht="18.75" customHeight="1">
      <c r="A11" s="1012" t="s">
        <v>1303</v>
      </c>
      <c r="B11" s="1013" t="s">
        <v>179</v>
      </c>
      <c r="C11" s="1014" t="s">
        <v>1229</v>
      </c>
      <c r="D11" s="1015">
        <v>320000</v>
      </c>
      <c r="E11" s="1015">
        <v>122517.63</v>
      </c>
      <c r="F11" s="1016">
        <f t="shared" si="0"/>
        <v>38.286759375</v>
      </c>
    </row>
    <row r="12" spans="1:6" s="56" customFormat="1" ht="18.75" customHeight="1">
      <c r="A12" s="1012" t="s">
        <v>75</v>
      </c>
      <c r="B12" s="1013" t="s">
        <v>180</v>
      </c>
      <c r="C12" s="1014" t="s">
        <v>1228</v>
      </c>
      <c r="D12" s="1015">
        <v>150000</v>
      </c>
      <c r="E12" s="1015">
        <v>120080.19</v>
      </c>
      <c r="F12" s="1016">
        <f t="shared" si="0"/>
        <v>80.05346</v>
      </c>
    </row>
    <row r="13" spans="1:6" s="56" customFormat="1" ht="27" customHeight="1">
      <c r="A13" s="1012" t="s">
        <v>83</v>
      </c>
      <c r="B13" s="1013" t="s">
        <v>314</v>
      </c>
      <c r="C13" s="850" t="s">
        <v>315</v>
      </c>
      <c r="D13" s="1015">
        <v>731045</v>
      </c>
      <c r="E13" s="1015">
        <v>515000</v>
      </c>
      <c r="F13" s="1016">
        <f t="shared" si="0"/>
        <v>70.44709969974488</v>
      </c>
    </row>
    <row r="14" spans="1:6" s="56" customFormat="1" ht="18.75" customHeight="1" thickBot="1">
      <c r="A14" s="1012"/>
      <c r="B14" s="1013"/>
      <c r="C14" s="1014" t="s">
        <v>316</v>
      </c>
      <c r="D14" s="1015">
        <v>528000</v>
      </c>
      <c r="E14" s="1015">
        <v>286121.59</v>
      </c>
      <c r="F14" s="1016">
        <f t="shared" si="0"/>
        <v>54.189695075757584</v>
      </c>
    </row>
    <row r="15" spans="1:6" s="567" customFormat="1" ht="18" customHeight="1" thickBot="1">
      <c r="A15" s="1526" t="s">
        <v>317</v>
      </c>
      <c r="B15" s="1527"/>
      <c r="C15" s="1527"/>
      <c r="D15" s="1017">
        <f>D9+D8</f>
        <v>10855177</v>
      </c>
      <c r="E15" s="1017">
        <f>E9+E8</f>
        <v>5695518.85</v>
      </c>
      <c r="F15" s="1018">
        <f t="shared" si="0"/>
        <v>52.468226450844604</v>
      </c>
    </row>
    <row r="16" spans="1:6" s="567" customFormat="1" ht="18" customHeight="1">
      <c r="A16" s="1008" t="s">
        <v>318</v>
      </c>
      <c r="B16" s="1009"/>
      <c r="C16" s="1009" t="s">
        <v>319</v>
      </c>
      <c r="D16" s="1010">
        <f>SUM(D17,D18,D19,D20,D21,D22,D23,D24,D25,D26,D27,D28,D29,D30,D31,D32,D33,D34,D35,D36,D37,D38,D39,D40,D41,D42,D43,D44,D45,D46)+D47+D48+D49+D50+D51</f>
        <v>10065031</v>
      </c>
      <c r="E16" s="1010">
        <f>SUM(E17,E18,E19,E20,E21,E22,E23,E24,E25,E26,E27,E28,E29,E30,E31,E32,E33,E34,E35,E36,E37,E38,E39,E40,E41,E42,E43,E44,E45,E46)+E47+E48+E49+E50+E51</f>
        <v>4923703.48</v>
      </c>
      <c r="F16" s="1011">
        <f t="shared" si="0"/>
        <v>48.918910234851744</v>
      </c>
    </row>
    <row r="17" spans="1:6" s="576" customFormat="1" ht="27.75" customHeight="1">
      <c r="A17" s="1019" t="s">
        <v>1302</v>
      </c>
      <c r="B17" s="1020">
        <v>2910</v>
      </c>
      <c r="C17" s="1021" t="s">
        <v>698</v>
      </c>
      <c r="D17" s="1022">
        <v>115000</v>
      </c>
      <c r="E17" s="1023">
        <v>114940.19</v>
      </c>
      <c r="F17" s="1024">
        <f t="shared" si="0"/>
        <v>99.94799130434782</v>
      </c>
    </row>
    <row r="18" spans="1:6" s="56" customFormat="1" ht="18.75" customHeight="1">
      <c r="A18" s="1019" t="s">
        <v>1303</v>
      </c>
      <c r="B18" s="1025">
        <v>3020</v>
      </c>
      <c r="C18" s="850" t="s">
        <v>320</v>
      </c>
      <c r="D18" s="1026">
        <v>70000</v>
      </c>
      <c r="E18" s="1015">
        <v>15538.74</v>
      </c>
      <c r="F18" s="1024">
        <f t="shared" si="0"/>
        <v>22.1982</v>
      </c>
    </row>
    <row r="19" spans="1:7" s="56" customFormat="1" ht="18.75" customHeight="1">
      <c r="A19" s="1019" t="s">
        <v>75</v>
      </c>
      <c r="B19" s="1025">
        <v>4010</v>
      </c>
      <c r="C19" s="850" t="s">
        <v>321</v>
      </c>
      <c r="D19" s="1015">
        <v>1537000</v>
      </c>
      <c r="E19" s="1015">
        <v>658681.93</v>
      </c>
      <c r="F19" s="1016">
        <f t="shared" si="0"/>
        <v>42.85503773584906</v>
      </c>
      <c r="G19" s="75"/>
    </row>
    <row r="20" spans="1:6" s="56" customFormat="1" ht="18.75" customHeight="1">
      <c r="A20" s="1019" t="s">
        <v>83</v>
      </c>
      <c r="B20" s="1025">
        <v>4040</v>
      </c>
      <c r="C20" s="850" t="s">
        <v>322</v>
      </c>
      <c r="D20" s="1015">
        <v>124000</v>
      </c>
      <c r="E20" s="1015">
        <v>0</v>
      </c>
      <c r="F20" s="1016">
        <f t="shared" si="0"/>
        <v>0</v>
      </c>
    </row>
    <row r="21" spans="1:6" s="56" customFormat="1" ht="18.75" customHeight="1">
      <c r="A21" s="1019" t="s">
        <v>84</v>
      </c>
      <c r="B21" s="1025">
        <v>4110</v>
      </c>
      <c r="C21" s="850" t="s">
        <v>328</v>
      </c>
      <c r="D21" s="1015">
        <v>245000</v>
      </c>
      <c r="E21" s="1015">
        <v>101893.43</v>
      </c>
      <c r="F21" s="1016">
        <f aca="true" t="shared" si="1" ref="F21:F50">E21/D21*100</f>
        <v>41.58915510204081</v>
      </c>
    </row>
    <row r="22" spans="1:6" s="56" customFormat="1" ht="18.75" customHeight="1">
      <c r="A22" s="1019" t="s">
        <v>85</v>
      </c>
      <c r="B22" s="1025">
        <v>4120</v>
      </c>
      <c r="C22" s="850" t="s">
        <v>329</v>
      </c>
      <c r="D22" s="1015">
        <v>39000</v>
      </c>
      <c r="E22" s="1015">
        <v>16081.91</v>
      </c>
      <c r="F22" s="1016">
        <f t="shared" si="1"/>
        <v>41.23566666666667</v>
      </c>
    </row>
    <row r="23" spans="1:6" s="56" customFormat="1" ht="18.75" customHeight="1">
      <c r="A23" s="1019" t="s">
        <v>133</v>
      </c>
      <c r="B23" s="1025">
        <v>4170</v>
      </c>
      <c r="C23" s="850" t="s">
        <v>330</v>
      </c>
      <c r="D23" s="1015">
        <v>24600</v>
      </c>
      <c r="E23" s="1015">
        <v>12554.45</v>
      </c>
      <c r="F23" s="1016">
        <f t="shared" si="1"/>
        <v>51.03434959349594</v>
      </c>
    </row>
    <row r="24" spans="1:6" s="56" customFormat="1" ht="18.75" customHeight="1">
      <c r="A24" s="1019" t="s">
        <v>134</v>
      </c>
      <c r="B24" s="1025">
        <v>4210</v>
      </c>
      <c r="C24" s="850" t="s">
        <v>331</v>
      </c>
      <c r="D24" s="1015">
        <v>123000</v>
      </c>
      <c r="E24" s="1015">
        <v>49645.17</v>
      </c>
      <c r="F24" s="1016">
        <f t="shared" si="1"/>
        <v>40.36192682926829</v>
      </c>
    </row>
    <row r="25" spans="1:6" s="56" customFormat="1" ht="18.75" customHeight="1">
      <c r="A25" s="1019" t="s">
        <v>86</v>
      </c>
      <c r="B25" s="1025">
        <v>4260</v>
      </c>
      <c r="C25" s="850" t="s">
        <v>332</v>
      </c>
      <c r="D25" s="1015">
        <v>1650000</v>
      </c>
      <c r="E25" s="1015">
        <v>849460.83</v>
      </c>
      <c r="F25" s="1016">
        <f t="shared" si="1"/>
        <v>51.48247454545454</v>
      </c>
    </row>
    <row r="26" spans="1:6" s="56" customFormat="1" ht="18.75" customHeight="1">
      <c r="A26" s="1019" t="s">
        <v>88</v>
      </c>
      <c r="B26" s="1025">
        <v>4270</v>
      </c>
      <c r="C26" s="850" t="s">
        <v>333</v>
      </c>
      <c r="D26" s="1015">
        <v>1969532</v>
      </c>
      <c r="E26" s="1015">
        <v>795258.89</v>
      </c>
      <c r="F26" s="1016">
        <f t="shared" si="1"/>
        <v>40.37806392584634</v>
      </c>
    </row>
    <row r="27" spans="1:6" s="56" customFormat="1" ht="18.75" customHeight="1">
      <c r="A27" s="1019" t="s">
        <v>135</v>
      </c>
      <c r="B27" s="1025">
        <v>4280</v>
      </c>
      <c r="C27" s="850" t="s">
        <v>398</v>
      </c>
      <c r="D27" s="1015">
        <v>3100</v>
      </c>
      <c r="E27" s="1015">
        <v>991.6</v>
      </c>
      <c r="F27" s="1016">
        <f t="shared" si="1"/>
        <v>31.987096774193546</v>
      </c>
    </row>
    <row r="28" spans="1:6" s="56" customFormat="1" ht="18.75" customHeight="1">
      <c r="A28" s="1019" t="s">
        <v>89</v>
      </c>
      <c r="B28" s="1025">
        <v>4300</v>
      </c>
      <c r="C28" s="850" t="s">
        <v>361</v>
      </c>
      <c r="D28" s="1015">
        <v>2617499</v>
      </c>
      <c r="E28" s="1015">
        <v>1322446.92</v>
      </c>
      <c r="F28" s="1016">
        <f t="shared" si="1"/>
        <v>50.523301823611014</v>
      </c>
    </row>
    <row r="29" spans="1:6" s="56" customFormat="1" ht="18.75" customHeight="1">
      <c r="A29" s="1019" t="s">
        <v>90</v>
      </c>
      <c r="B29" s="1025">
        <v>4350</v>
      </c>
      <c r="C29" s="1027" t="s">
        <v>362</v>
      </c>
      <c r="D29" s="1015">
        <v>1200</v>
      </c>
      <c r="E29" s="1015">
        <v>420</v>
      </c>
      <c r="F29" s="1016">
        <f t="shared" si="1"/>
        <v>35</v>
      </c>
    </row>
    <row r="30" spans="1:6" s="56" customFormat="1" ht="28.5" customHeight="1">
      <c r="A30" s="1019" t="s">
        <v>136</v>
      </c>
      <c r="B30" s="1025">
        <v>4360</v>
      </c>
      <c r="C30" s="1027" t="s">
        <v>363</v>
      </c>
      <c r="D30" s="1015">
        <v>9000</v>
      </c>
      <c r="E30" s="1015">
        <v>4299.7</v>
      </c>
      <c r="F30" s="1016">
        <f t="shared" si="1"/>
        <v>47.77444444444444</v>
      </c>
    </row>
    <row r="31" spans="1:6" s="56" customFormat="1" ht="28.5" customHeight="1">
      <c r="A31" s="1019" t="s">
        <v>91</v>
      </c>
      <c r="B31" s="1025">
        <v>4370</v>
      </c>
      <c r="C31" s="1027" t="s">
        <v>365</v>
      </c>
      <c r="D31" s="1015">
        <v>8000</v>
      </c>
      <c r="E31" s="1015">
        <v>4275.7</v>
      </c>
      <c r="F31" s="1016">
        <f t="shared" si="1"/>
        <v>53.44624999999999</v>
      </c>
    </row>
    <row r="32" spans="1:6" s="56" customFormat="1" ht="19.5" customHeight="1">
      <c r="A32" s="1019" t="s">
        <v>92</v>
      </c>
      <c r="B32" s="1025">
        <v>4390</v>
      </c>
      <c r="C32" s="1027" t="s">
        <v>402</v>
      </c>
      <c r="D32" s="1015">
        <v>47000</v>
      </c>
      <c r="E32" s="1015">
        <v>1708</v>
      </c>
      <c r="F32" s="1016">
        <f t="shared" si="1"/>
        <v>3.6340425531914895</v>
      </c>
    </row>
    <row r="33" spans="1:6" s="56" customFormat="1" ht="30" customHeight="1">
      <c r="A33" s="1019" t="s">
        <v>93</v>
      </c>
      <c r="B33" s="1025">
        <v>4400</v>
      </c>
      <c r="C33" s="1027" t="s">
        <v>366</v>
      </c>
      <c r="D33" s="1015">
        <v>12000</v>
      </c>
      <c r="E33" s="1015">
        <v>3641.6</v>
      </c>
      <c r="F33" s="1016">
        <f t="shared" si="1"/>
        <v>30.346666666666668</v>
      </c>
    </row>
    <row r="34" spans="1:6" s="56" customFormat="1" ht="18.75" customHeight="1">
      <c r="A34" s="1019" t="s">
        <v>94</v>
      </c>
      <c r="B34" s="1025">
        <v>4410</v>
      </c>
      <c r="C34" s="850" t="s">
        <v>367</v>
      </c>
      <c r="D34" s="1015">
        <v>10000</v>
      </c>
      <c r="E34" s="1015">
        <v>2991.31</v>
      </c>
      <c r="F34" s="1016">
        <f t="shared" si="1"/>
        <v>29.913099999999996</v>
      </c>
    </row>
    <row r="35" spans="1:6" s="56" customFormat="1" ht="18.75" customHeight="1">
      <c r="A35" s="1019" t="s">
        <v>97</v>
      </c>
      <c r="B35" s="1025">
        <v>4430</v>
      </c>
      <c r="C35" s="850" t="s">
        <v>368</v>
      </c>
      <c r="D35" s="1015">
        <v>15400</v>
      </c>
      <c r="E35" s="1015">
        <v>10345.5</v>
      </c>
      <c r="F35" s="1016">
        <f t="shared" si="1"/>
        <v>67.17857142857143</v>
      </c>
    </row>
    <row r="36" spans="1:6" s="56" customFormat="1" ht="18.75" customHeight="1">
      <c r="A36" s="1019" t="s">
        <v>98</v>
      </c>
      <c r="B36" s="1025">
        <v>4440</v>
      </c>
      <c r="C36" s="850" t="s">
        <v>369</v>
      </c>
      <c r="D36" s="1015">
        <v>50000</v>
      </c>
      <c r="E36" s="1015">
        <v>23800.98</v>
      </c>
      <c r="F36" s="1016">
        <f t="shared" si="1"/>
        <v>47.60196</v>
      </c>
    </row>
    <row r="37" spans="1:6" s="56" customFormat="1" ht="18.75" customHeight="1">
      <c r="A37" s="1019" t="s">
        <v>99</v>
      </c>
      <c r="B37" s="1025">
        <v>4480</v>
      </c>
      <c r="C37" s="850" t="s">
        <v>1246</v>
      </c>
      <c r="D37" s="1015">
        <v>578000</v>
      </c>
      <c r="E37" s="1015">
        <v>288525</v>
      </c>
      <c r="F37" s="1016">
        <f t="shared" si="1"/>
        <v>49.91782006920415</v>
      </c>
    </row>
    <row r="38" spans="1:6" s="56" customFormat="1" ht="28.5" customHeight="1">
      <c r="A38" s="1019" t="s">
        <v>100</v>
      </c>
      <c r="B38" s="1025">
        <v>4500</v>
      </c>
      <c r="C38" s="850" t="s">
        <v>476</v>
      </c>
      <c r="D38" s="1015">
        <v>2000</v>
      </c>
      <c r="E38" s="1015">
        <v>1925.7</v>
      </c>
      <c r="F38" s="1016">
        <f t="shared" si="1"/>
        <v>96.285</v>
      </c>
    </row>
    <row r="39" spans="1:6" s="56" customFormat="1" ht="23.25" customHeight="1">
      <c r="A39" s="1019" t="s">
        <v>1258</v>
      </c>
      <c r="B39" s="1025">
        <v>4510</v>
      </c>
      <c r="C39" s="850" t="s">
        <v>1114</v>
      </c>
      <c r="D39" s="1015">
        <v>70000</v>
      </c>
      <c r="E39" s="1015">
        <v>14396.59</v>
      </c>
      <c r="F39" s="1016">
        <f t="shared" si="1"/>
        <v>20.566557142857143</v>
      </c>
    </row>
    <row r="40" spans="1:6" s="56" customFormat="1" ht="23.25" customHeight="1">
      <c r="A40" s="1019" t="s">
        <v>1259</v>
      </c>
      <c r="B40" s="1025">
        <v>4520</v>
      </c>
      <c r="C40" s="850" t="s">
        <v>404</v>
      </c>
      <c r="D40" s="1015">
        <v>5000</v>
      </c>
      <c r="E40" s="1015">
        <v>0</v>
      </c>
      <c r="F40" s="1016">
        <f t="shared" si="1"/>
        <v>0</v>
      </c>
    </row>
    <row r="41" spans="1:6" s="56" customFormat="1" ht="27" customHeight="1">
      <c r="A41" s="1019" t="s">
        <v>1260</v>
      </c>
      <c r="B41" s="1025">
        <v>4570</v>
      </c>
      <c r="C41" s="850" t="s">
        <v>370</v>
      </c>
      <c r="D41" s="1015">
        <v>1000</v>
      </c>
      <c r="E41" s="1015">
        <v>0</v>
      </c>
      <c r="F41" s="1016">
        <f t="shared" si="1"/>
        <v>0</v>
      </c>
    </row>
    <row r="42" spans="1:6" s="56" customFormat="1" ht="18" customHeight="1">
      <c r="A42" s="1019" t="s">
        <v>1261</v>
      </c>
      <c r="B42" s="1025">
        <v>4580</v>
      </c>
      <c r="C42" s="850" t="s">
        <v>1229</v>
      </c>
      <c r="D42" s="1015">
        <v>1000</v>
      </c>
      <c r="E42" s="1015">
        <v>70.96</v>
      </c>
      <c r="F42" s="1016">
        <f t="shared" si="1"/>
        <v>7.095999999999999</v>
      </c>
    </row>
    <row r="43" spans="1:6" s="56" customFormat="1" ht="18" customHeight="1">
      <c r="A43" s="1019" t="s">
        <v>650</v>
      </c>
      <c r="B43" s="1025">
        <v>4590</v>
      </c>
      <c r="C43" s="850" t="s">
        <v>371</v>
      </c>
      <c r="D43" s="1015">
        <v>1000</v>
      </c>
      <c r="E43" s="1015">
        <v>0</v>
      </c>
      <c r="F43" s="1016">
        <f t="shared" si="1"/>
        <v>0</v>
      </c>
    </row>
    <row r="44" spans="1:6" s="56" customFormat="1" ht="19.5" customHeight="1">
      <c r="A44" s="1019" t="s">
        <v>651</v>
      </c>
      <c r="B44" s="1025">
        <v>4610</v>
      </c>
      <c r="C44" s="850" t="s">
        <v>372</v>
      </c>
      <c r="D44" s="1015">
        <v>70000</v>
      </c>
      <c r="E44" s="1015">
        <v>29324.32</v>
      </c>
      <c r="F44" s="1016">
        <f t="shared" si="1"/>
        <v>41.89188571428571</v>
      </c>
    </row>
    <row r="45" spans="1:6" s="56" customFormat="1" ht="26.25" customHeight="1">
      <c r="A45" s="1019" t="s">
        <v>652</v>
      </c>
      <c r="B45" s="1025">
        <v>4700</v>
      </c>
      <c r="C45" s="850" t="s">
        <v>373</v>
      </c>
      <c r="D45" s="1015">
        <v>6100</v>
      </c>
      <c r="E45" s="1015">
        <v>1159</v>
      </c>
      <c r="F45" s="1016">
        <f t="shared" si="1"/>
        <v>19</v>
      </c>
    </row>
    <row r="46" spans="1:6" s="56" customFormat="1" ht="28.5" customHeight="1">
      <c r="A46" s="1019" t="s">
        <v>914</v>
      </c>
      <c r="B46" s="1025">
        <v>4740</v>
      </c>
      <c r="C46" s="850" t="s">
        <v>374</v>
      </c>
      <c r="D46" s="1015">
        <v>7200</v>
      </c>
      <c r="E46" s="1015">
        <v>0</v>
      </c>
      <c r="F46" s="1016">
        <f t="shared" si="1"/>
        <v>0</v>
      </c>
    </row>
    <row r="47" spans="1:6" s="56" customFormat="1" ht="19.5" customHeight="1">
      <c r="A47" s="1019" t="s">
        <v>915</v>
      </c>
      <c r="B47" s="1025">
        <v>4750</v>
      </c>
      <c r="C47" s="850" t="s">
        <v>375</v>
      </c>
      <c r="D47" s="1015">
        <v>15400</v>
      </c>
      <c r="E47" s="1015">
        <v>2059.99</v>
      </c>
      <c r="F47" s="1016">
        <f t="shared" si="1"/>
        <v>13.376558441558439</v>
      </c>
    </row>
    <row r="48" spans="1:6" s="56" customFormat="1" ht="19.5" customHeight="1">
      <c r="A48" s="1019" t="s">
        <v>674</v>
      </c>
      <c r="B48" s="1025">
        <v>6070</v>
      </c>
      <c r="C48" s="850" t="s">
        <v>376</v>
      </c>
      <c r="D48" s="1015">
        <v>80000</v>
      </c>
      <c r="E48" s="1015">
        <v>29502</v>
      </c>
      <c r="F48" s="1016">
        <f t="shared" si="1"/>
        <v>36.877500000000005</v>
      </c>
    </row>
    <row r="49" spans="1:6" s="56" customFormat="1" ht="19.5" customHeight="1">
      <c r="A49" s="1019" t="s">
        <v>1111</v>
      </c>
      <c r="B49" s="1025">
        <v>6080</v>
      </c>
      <c r="C49" s="850" t="s">
        <v>377</v>
      </c>
      <c r="D49" s="1015">
        <v>30000</v>
      </c>
      <c r="E49" s="1015">
        <v>15405.5</v>
      </c>
      <c r="F49" s="1016">
        <f t="shared" si="1"/>
        <v>51.35166666666666</v>
      </c>
    </row>
    <row r="50" spans="1:6" s="56" customFormat="1" ht="18" customHeight="1">
      <c r="A50" s="1028"/>
      <c r="B50" s="1029"/>
      <c r="C50" s="850" t="s">
        <v>378</v>
      </c>
      <c r="D50" s="1015">
        <v>528000</v>
      </c>
      <c r="E50" s="1015">
        <v>286121.59</v>
      </c>
      <c r="F50" s="1016">
        <f t="shared" si="1"/>
        <v>54.189695075757584</v>
      </c>
    </row>
    <row r="51" spans="1:6" s="56" customFormat="1" ht="19.5" customHeight="1">
      <c r="A51" s="70"/>
      <c r="B51" s="602"/>
      <c r="C51" s="605" t="s">
        <v>379</v>
      </c>
      <c r="D51" s="603">
        <v>0</v>
      </c>
      <c r="E51" s="603">
        <v>266235.98</v>
      </c>
      <c r="F51" s="1248" t="s">
        <v>1274</v>
      </c>
    </row>
    <row r="52" spans="1:6" s="567" customFormat="1" ht="19.5" customHeight="1">
      <c r="A52" s="1030" t="s">
        <v>380</v>
      </c>
      <c r="B52" s="1031"/>
      <c r="C52" s="1032" t="s">
        <v>1275</v>
      </c>
      <c r="D52" s="1033">
        <v>250000</v>
      </c>
      <c r="E52" s="1033">
        <v>145325</v>
      </c>
      <c r="F52" s="1034" t="s">
        <v>1307</v>
      </c>
    </row>
    <row r="53" spans="1:6" s="567" customFormat="1" ht="19.5" customHeight="1">
      <c r="A53" s="1030" t="s">
        <v>406</v>
      </c>
      <c r="B53" s="1031"/>
      <c r="C53" s="1032" t="s">
        <v>405</v>
      </c>
      <c r="D53" s="1033">
        <v>216046</v>
      </c>
      <c r="E53" s="1033">
        <v>0</v>
      </c>
      <c r="F53" s="1034" t="s">
        <v>1274</v>
      </c>
    </row>
    <row r="54" spans="1:6" s="567" customFormat="1" ht="25.5" customHeight="1" thickBot="1">
      <c r="A54" s="1035" t="s">
        <v>699</v>
      </c>
      <c r="B54" s="1036"/>
      <c r="C54" s="1037" t="s">
        <v>684</v>
      </c>
      <c r="D54" s="1038">
        <v>324100</v>
      </c>
      <c r="E54" s="1038">
        <v>626490.37</v>
      </c>
      <c r="F54" s="1039" t="s">
        <v>1307</v>
      </c>
    </row>
    <row r="55" spans="1:6" s="56" customFormat="1" ht="18" customHeight="1" thickBot="1">
      <c r="A55" s="1523" t="s">
        <v>413</v>
      </c>
      <c r="B55" s="1524"/>
      <c r="C55" s="1525"/>
      <c r="D55" s="1017">
        <f>D16+D52+D53+D54</f>
        <v>10855177</v>
      </c>
      <c r="E55" s="1017">
        <f>E16+E52+E53+E54</f>
        <v>5695518.850000001</v>
      </c>
      <c r="F55" s="1018">
        <f>E55/D55*100</f>
        <v>52.46822645084461</v>
      </c>
    </row>
    <row r="56" spans="3:5" s="1040" customFormat="1" ht="12.75">
      <c r="C56" s="1041"/>
      <c r="D56" s="1042"/>
      <c r="E56" s="1042"/>
    </row>
  </sheetData>
  <sheetProtection password="CF93" sheet="1" objects="1" scenarios="1" selectLockedCells="1" selectUnlockedCells="1"/>
  <mergeCells count="5">
    <mergeCell ref="A55:C55"/>
    <mergeCell ref="A15:C15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7">
    <tabColor indexed="42"/>
  </sheetPr>
  <dimension ref="A1:F43"/>
  <sheetViews>
    <sheetView view="pageBreakPreview" zoomScaleSheetLayoutView="100" workbookViewId="0" topLeftCell="A1">
      <selection activeCell="A43" sqref="A43:IV43"/>
    </sheetView>
  </sheetViews>
  <sheetFormatPr defaultColWidth="9.00390625" defaultRowHeight="12.75"/>
  <cols>
    <col min="1" max="1" width="3.625" style="56" customWidth="1"/>
    <col min="2" max="2" width="4.375" style="56" customWidth="1"/>
    <col min="3" max="3" width="49.75390625" style="56" customWidth="1"/>
    <col min="4" max="4" width="11.875" style="56" customWidth="1"/>
    <col min="5" max="5" width="11.25390625" style="56" bestFit="1" customWidth="1"/>
    <col min="6" max="6" width="5.125" style="56" customWidth="1"/>
    <col min="7" max="16384" width="9.125" style="56" customWidth="1"/>
  </cols>
  <sheetData>
    <row r="1" spans="5:6" ht="27" customHeight="1">
      <c r="E1" s="1413" t="s">
        <v>466</v>
      </c>
      <c r="F1" s="1413"/>
    </row>
    <row r="2" spans="1:6" ht="31.5" customHeight="1">
      <c r="A2" s="1374" t="s">
        <v>382</v>
      </c>
      <c r="B2" s="1374"/>
      <c r="C2" s="1374"/>
      <c r="D2" s="1374"/>
      <c r="E2" s="1374"/>
      <c r="F2" s="1374"/>
    </row>
    <row r="3" spans="1:6" ht="19.5" customHeight="1" thickBot="1">
      <c r="A3" s="1528" t="s">
        <v>545</v>
      </c>
      <c r="B3" s="1528"/>
      <c r="C3" s="1528"/>
      <c r="F3" s="57" t="s">
        <v>1035</v>
      </c>
    </row>
    <row r="4" spans="1:6" s="20" customFormat="1" ht="15" customHeight="1">
      <c r="A4" s="570" t="s">
        <v>1299</v>
      </c>
      <c r="B4" s="571" t="s">
        <v>1221</v>
      </c>
      <c r="C4" s="571" t="s">
        <v>1037</v>
      </c>
      <c r="D4" s="572" t="s">
        <v>1038</v>
      </c>
      <c r="E4" s="572" t="s">
        <v>1039</v>
      </c>
      <c r="F4" s="997" t="s">
        <v>306</v>
      </c>
    </row>
    <row r="5" spans="1:6" s="1002" customFormat="1" ht="12" customHeight="1" thickBot="1">
      <c r="A5" s="998">
        <v>1</v>
      </c>
      <c r="B5" s="999">
        <v>2</v>
      </c>
      <c r="C5" s="999">
        <v>3</v>
      </c>
      <c r="D5" s="1000">
        <v>4</v>
      </c>
      <c r="E5" s="1000">
        <v>5</v>
      </c>
      <c r="F5" s="1001">
        <v>6</v>
      </c>
    </row>
    <row r="6" spans="1:6" s="567" customFormat="1" ht="24" customHeight="1">
      <c r="A6" s="1003" t="s">
        <v>307</v>
      </c>
      <c r="B6" s="1004"/>
      <c r="C6" s="1005" t="s">
        <v>683</v>
      </c>
      <c r="D6" s="1006">
        <v>-174141</v>
      </c>
      <c r="E6" s="1006">
        <v>-174141.1</v>
      </c>
      <c r="F6" s="1007" t="s">
        <v>1307</v>
      </c>
    </row>
    <row r="7" spans="1:6" s="567" customFormat="1" ht="19.5" customHeight="1">
      <c r="A7" s="1008" t="s">
        <v>312</v>
      </c>
      <c r="B7" s="1009"/>
      <c r="C7" s="1009" t="s">
        <v>1290</v>
      </c>
      <c r="D7" s="1010">
        <f>SUM(D8:D13)</f>
        <v>7521731.81</v>
      </c>
      <c r="E7" s="1010">
        <f>SUM(E8:E13)</f>
        <v>4355200.76</v>
      </c>
      <c r="F7" s="1011">
        <f aca="true" t="shared" si="0" ref="F7:F12">E7/D7*100</f>
        <v>57.90156934616897</v>
      </c>
    </row>
    <row r="8" spans="1:6" ht="54" customHeight="1">
      <c r="A8" s="1012" t="s">
        <v>1302</v>
      </c>
      <c r="B8" s="1013" t="s">
        <v>183</v>
      </c>
      <c r="C8" s="850" t="s">
        <v>283</v>
      </c>
      <c r="D8" s="1015">
        <v>17300</v>
      </c>
      <c r="E8" s="1015">
        <v>15212</v>
      </c>
      <c r="F8" s="1016">
        <f t="shared" si="0"/>
        <v>87.93063583815028</v>
      </c>
    </row>
    <row r="9" spans="1:6" ht="16.5" customHeight="1">
      <c r="A9" s="1012" t="s">
        <v>1303</v>
      </c>
      <c r="B9" s="1013" t="s">
        <v>178</v>
      </c>
      <c r="C9" s="1014" t="s">
        <v>313</v>
      </c>
      <c r="D9" s="1015">
        <v>2247678</v>
      </c>
      <c r="E9" s="1015">
        <v>1248225.02</v>
      </c>
      <c r="F9" s="1016">
        <f t="shared" si="0"/>
        <v>55.53397862149294</v>
      </c>
    </row>
    <row r="10" spans="1:6" ht="16.5" customHeight="1">
      <c r="A10" s="1012" t="s">
        <v>75</v>
      </c>
      <c r="B10" s="1013" t="s">
        <v>179</v>
      </c>
      <c r="C10" s="1014" t="s">
        <v>1229</v>
      </c>
      <c r="D10" s="1015">
        <v>2400</v>
      </c>
      <c r="E10" s="1015">
        <v>2288.35</v>
      </c>
      <c r="F10" s="1016">
        <f t="shared" si="0"/>
        <v>95.34791666666666</v>
      </c>
    </row>
    <row r="11" spans="1:6" ht="16.5" customHeight="1">
      <c r="A11" s="1012" t="s">
        <v>83</v>
      </c>
      <c r="B11" s="1013" t="s">
        <v>180</v>
      </c>
      <c r="C11" s="1014" t="s">
        <v>1228</v>
      </c>
      <c r="D11" s="1015">
        <v>2314</v>
      </c>
      <c r="E11" s="1015">
        <v>2909.62</v>
      </c>
      <c r="F11" s="1016">
        <f t="shared" si="0"/>
        <v>125.73984442523766</v>
      </c>
    </row>
    <row r="12" spans="1:6" ht="26.25" customHeight="1">
      <c r="A12" s="1012" t="s">
        <v>84</v>
      </c>
      <c r="B12" s="1013" t="s">
        <v>384</v>
      </c>
      <c r="C12" s="850" t="s">
        <v>395</v>
      </c>
      <c r="D12" s="1015">
        <v>5149597</v>
      </c>
      <c r="E12" s="1015">
        <v>3029400</v>
      </c>
      <c r="F12" s="1016">
        <f t="shared" si="0"/>
        <v>58.82790439717904</v>
      </c>
    </row>
    <row r="13" spans="1:6" ht="16.5" customHeight="1" thickBot="1">
      <c r="A13" s="1012"/>
      <c r="B13" s="1013"/>
      <c r="C13" s="1014" t="s">
        <v>316</v>
      </c>
      <c r="D13" s="1015">
        <v>102442.81</v>
      </c>
      <c r="E13" s="1015">
        <v>57165.77</v>
      </c>
      <c r="F13" s="1016">
        <f aca="true" t="shared" si="1" ref="F13:F18">E13/D13*100</f>
        <v>55.80261806563096</v>
      </c>
    </row>
    <row r="14" spans="1:6" s="567" customFormat="1" ht="18.75" customHeight="1" thickBot="1">
      <c r="A14" s="1526" t="s">
        <v>317</v>
      </c>
      <c r="B14" s="1527"/>
      <c r="C14" s="1527"/>
      <c r="D14" s="1017">
        <f>D7+D6</f>
        <v>7347590.81</v>
      </c>
      <c r="E14" s="1017">
        <f>E7+E6</f>
        <v>4181059.6599999997</v>
      </c>
      <c r="F14" s="1018">
        <f t="shared" si="1"/>
        <v>56.90381742964807</v>
      </c>
    </row>
    <row r="15" spans="1:6" s="567" customFormat="1" ht="18.75" customHeight="1">
      <c r="A15" s="1008" t="s">
        <v>318</v>
      </c>
      <c r="B15" s="1009"/>
      <c r="C15" s="1009" t="s">
        <v>319</v>
      </c>
      <c r="D15" s="1010">
        <f>SUM(D16,D17,D18,D19,D20,D21,D22,D23,D24,D25,D26,D27,D28,D29,D30,D31,D32,D33,D34,D35,D36,D37,D38,D39,D40)</f>
        <v>7287590.81</v>
      </c>
      <c r="E15" s="1010">
        <f>SUM(E16,E17,E18,E19,E20,E21,E22,E23,E24,E25,E26,E27,E28,E29,E30,E31,E32,E33,E34,E35,E36,E37,E38,E39,E40)</f>
        <v>3691501.7799999993</v>
      </c>
      <c r="F15" s="1011">
        <f t="shared" si="1"/>
        <v>50.65462477578375</v>
      </c>
    </row>
    <row r="16" spans="1:6" ht="16.5" customHeight="1">
      <c r="A16" s="1012" t="s">
        <v>1302</v>
      </c>
      <c r="B16" s="1025">
        <v>3020</v>
      </c>
      <c r="C16" s="1014" t="s">
        <v>320</v>
      </c>
      <c r="D16" s="1015">
        <v>10396</v>
      </c>
      <c r="E16" s="1015">
        <v>3986.23</v>
      </c>
      <c r="F16" s="1016">
        <f t="shared" si="1"/>
        <v>38.34388226240862</v>
      </c>
    </row>
    <row r="17" spans="1:6" ht="16.5" customHeight="1">
      <c r="A17" s="1012" t="s">
        <v>1303</v>
      </c>
      <c r="B17" s="1025">
        <v>4010</v>
      </c>
      <c r="C17" s="1014" t="s">
        <v>321</v>
      </c>
      <c r="D17" s="1015">
        <v>4296541</v>
      </c>
      <c r="E17" s="1015">
        <v>2235929.7</v>
      </c>
      <c r="F17" s="1016">
        <f t="shared" si="1"/>
        <v>52.04022724326383</v>
      </c>
    </row>
    <row r="18" spans="1:6" ht="16.5" customHeight="1">
      <c r="A18" s="1012" t="s">
        <v>75</v>
      </c>
      <c r="B18" s="1025">
        <v>4040</v>
      </c>
      <c r="C18" s="1014" t="s">
        <v>322</v>
      </c>
      <c r="D18" s="1015">
        <v>352707</v>
      </c>
      <c r="E18" s="1015">
        <v>0</v>
      </c>
      <c r="F18" s="1016">
        <f t="shared" si="1"/>
        <v>0</v>
      </c>
    </row>
    <row r="19" spans="1:6" ht="16.5" customHeight="1">
      <c r="A19" s="1012" t="s">
        <v>83</v>
      </c>
      <c r="B19" s="1025">
        <v>4110</v>
      </c>
      <c r="C19" s="1014" t="s">
        <v>328</v>
      </c>
      <c r="D19" s="1015">
        <v>655650</v>
      </c>
      <c r="E19" s="1015">
        <v>325026.21</v>
      </c>
      <c r="F19" s="1016">
        <f aca="true" t="shared" si="2" ref="F19:F39">E19/D19*100</f>
        <v>49.573127430793875</v>
      </c>
    </row>
    <row r="20" spans="1:6" ht="16.5" customHeight="1">
      <c r="A20" s="1012" t="s">
        <v>84</v>
      </c>
      <c r="B20" s="1025">
        <v>4120</v>
      </c>
      <c r="C20" s="1014" t="s">
        <v>329</v>
      </c>
      <c r="D20" s="1015">
        <v>120284</v>
      </c>
      <c r="E20" s="1015">
        <v>52505.9</v>
      </c>
      <c r="F20" s="1016">
        <f t="shared" si="2"/>
        <v>43.651607861394695</v>
      </c>
    </row>
    <row r="21" spans="1:6" ht="29.25" customHeight="1">
      <c r="A21" s="1012" t="s">
        <v>85</v>
      </c>
      <c r="B21" s="1025">
        <v>4140</v>
      </c>
      <c r="C21" s="850" t="s">
        <v>400</v>
      </c>
      <c r="D21" s="1015">
        <v>15337</v>
      </c>
      <c r="E21" s="1015">
        <v>6160</v>
      </c>
      <c r="F21" s="1016">
        <f t="shared" si="2"/>
        <v>40.16430853491556</v>
      </c>
    </row>
    <row r="22" spans="1:6" ht="16.5" customHeight="1">
      <c r="A22" s="1012" t="s">
        <v>133</v>
      </c>
      <c r="B22" s="1025">
        <v>4210</v>
      </c>
      <c r="C22" s="1014" t="s">
        <v>331</v>
      </c>
      <c r="D22" s="1015">
        <v>166000</v>
      </c>
      <c r="E22" s="1015">
        <v>90954.88</v>
      </c>
      <c r="F22" s="1016">
        <f t="shared" si="2"/>
        <v>54.792096385542166</v>
      </c>
    </row>
    <row r="23" spans="1:6" ht="16.5" customHeight="1">
      <c r="A23" s="1012" t="s">
        <v>134</v>
      </c>
      <c r="B23" s="1025">
        <v>4220</v>
      </c>
      <c r="C23" s="1014" t="s">
        <v>396</v>
      </c>
      <c r="D23" s="1015">
        <v>514198</v>
      </c>
      <c r="E23" s="1015">
        <v>358169.36</v>
      </c>
      <c r="F23" s="1016">
        <f t="shared" si="2"/>
        <v>69.65592242676945</v>
      </c>
    </row>
    <row r="24" spans="1:6" ht="16.5" customHeight="1">
      <c r="A24" s="1012" t="s">
        <v>86</v>
      </c>
      <c r="B24" s="1025">
        <v>4240</v>
      </c>
      <c r="C24" s="1014" t="s">
        <v>397</v>
      </c>
      <c r="D24" s="1015">
        <v>43000</v>
      </c>
      <c r="E24" s="1015">
        <v>14415.13</v>
      </c>
      <c r="F24" s="1016">
        <f t="shared" si="2"/>
        <v>33.523558139534885</v>
      </c>
    </row>
    <row r="25" spans="1:6" ht="16.5" customHeight="1">
      <c r="A25" s="1012" t="s">
        <v>88</v>
      </c>
      <c r="B25" s="1025">
        <v>4260</v>
      </c>
      <c r="C25" s="1014" t="s">
        <v>332</v>
      </c>
      <c r="D25" s="1015">
        <v>375100</v>
      </c>
      <c r="E25" s="1015">
        <v>236750.29</v>
      </c>
      <c r="F25" s="1016">
        <f t="shared" si="2"/>
        <v>63.116579578778996</v>
      </c>
    </row>
    <row r="26" spans="1:6" ht="16.5" customHeight="1">
      <c r="A26" s="1012" t="s">
        <v>135</v>
      </c>
      <c r="B26" s="1025">
        <v>4270</v>
      </c>
      <c r="C26" s="1014" t="s">
        <v>333</v>
      </c>
      <c r="D26" s="1015">
        <v>105921</v>
      </c>
      <c r="E26" s="1015">
        <v>33609.34</v>
      </c>
      <c r="F26" s="1016">
        <f t="shared" si="2"/>
        <v>31.73057278537778</v>
      </c>
    </row>
    <row r="27" spans="1:6" ht="16.5" customHeight="1">
      <c r="A27" s="1012" t="s">
        <v>89</v>
      </c>
      <c r="B27" s="1025">
        <v>4280</v>
      </c>
      <c r="C27" s="1014" t="s">
        <v>398</v>
      </c>
      <c r="D27" s="1015">
        <v>6000</v>
      </c>
      <c r="E27" s="1015">
        <v>1167.3</v>
      </c>
      <c r="F27" s="1016">
        <f t="shared" si="2"/>
        <v>19.455</v>
      </c>
    </row>
    <row r="28" spans="1:6" ht="16.5" customHeight="1">
      <c r="A28" s="1012" t="s">
        <v>90</v>
      </c>
      <c r="B28" s="1025">
        <v>4300</v>
      </c>
      <c r="C28" s="1014" t="s">
        <v>361</v>
      </c>
      <c r="D28" s="1015">
        <v>162899</v>
      </c>
      <c r="E28" s="1015">
        <v>92929.42</v>
      </c>
      <c r="F28" s="1016">
        <f t="shared" si="2"/>
        <v>57.04726241413391</v>
      </c>
    </row>
    <row r="29" spans="1:6" ht="16.5" customHeight="1">
      <c r="A29" s="1012" t="s">
        <v>136</v>
      </c>
      <c r="B29" s="1025">
        <v>4350</v>
      </c>
      <c r="C29" s="1014" t="s">
        <v>362</v>
      </c>
      <c r="D29" s="1015">
        <v>5580</v>
      </c>
      <c r="E29" s="1015">
        <v>2118.2</v>
      </c>
      <c r="F29" s="1016">
        <f t="shared" si="2"/>
        <v>37.96057347670251</v>
      </c>
    </row>
    <row r="30" spans="1:6" ht="27.75" customHeight="1">
      <c r="A30" s="1012" t="s">
        <v>91</v>
      </c>
      <c r="B30" s="1025">
        <v>4370</v>
      </c>
      <c r="C30" s="850" t="s">
        <v>365</v>
      </c>
      <c r="D30" s="1015">
        <v>16200</v>
      </c>
      <c r="E30" s="1015">
        <v>6949.07</v>
      </c>
      <c r="F30" s="1016">
        <f t="shared" si="2"/>
        <v>42.89549382716049</v>
      </c>
    </row>
    <row r="31" spans="1:6" ht="16.5" customHeight="1">
      <c r="A31" s="1012" t="s">
        <v>92</v>
      </c>
      <c r="B31" s="1025">
        <v>4410</v>
      </c>
      <c r="C31" s="1014" t="s">
        <v>367</v>
      </c>
      <c r="D31" s="1015">
        <v>1800</v>
      </c>
      <c r="E31" s="1015">
        <v>388.4</v>
      </c>
      <c r="F31" s="1016">
        <f t="shared" si="2"/>
        <v>21.577777777777776</v>
      </c>
    </row>
    <row r="32" spans="1:6" ht="16.5" customHeight="1">
      <c r="A32" s="1012" t="s">
        <v>93</v>
      </c>
      <c r="B32" s="1025">
        <v>4430</v>
      </c>
      <c r="C32" s="1014" t="s">
        <v>368</v>
      </c>
      <c r="D32" s="1015">
        <v>9719</v>
      </c>
      <c r="E32" s="1015">
        <v>6981.9</v>
      </c>
      <c r="F32" s="1016">
        <f t="shared" si="2"/>
        <v>71.83763761703878</v>
      </c>
    </row>
    <row r="33" spans="1:6" ht="16.5" customHeight="1">
      <c r="A33" s="1012" t="s">
        <v>94</v>
      </c>
      <c r="B33" s="1025">
        <v>4440</v>
      </c>
      <c r="C33" s="1014" t="s">
        <v>369</v>
      </c>
      <c r="D33" s="1015">
        <v>288277</v>
      </c>
      <c r="E33" s="1015">
        <v>149166</v>
      </c>
      <c r="F33" s="1016">
        <f t="shared" si="2"/>
        <v>51.743982350308904</v>
      </c>
    </row>
    <row r="34" spans="1:6" ht="16.5" customHeight="1">
      <c r="A34" s="1012" t="s">
        <v>97</v>
      </c>
      <c r="B34" s="1025">
        <v>4480</v>
      </c>
      <c r="C34" s="1014" t="s">
        <v>1246</v>
      </c>
      <c r="D34" s="1015">
        <v>100</v>
      </c>
      <c r="E34" s="1015">
        <v>17</v>
      </c>
      <c r="F34" s="1016">
        <f t="shared" si="2"/>
        <v>17</v>
      </c>
    </row>
    <row r="35" spans="1:6" ht="16.5" customHeight="1">
      <c r="A35" s="1012" t="s">
        <v>98</v>
      </c>
      <c r="B35" s="1025">
        <v>4510</v>
      </c>
      <c r="C35" s="850" t="s">
        <v>1114</v>
      </c>
      <c r="D35" s="1015">
        <v>139</v>
      </c>
      <c r="E35" s="1015">
        <v>130</v>
      </c>
      <c r="F35" s="1016">
        <f t="shared" si="2"/>
        <v>93.5251798561151</v>
      </c>
    </row>
    <row r="36" spans="1:6" ht="30" customHeight="1">
      <c r="A36" s="1012" t="s">
        <v>99</v>
      </c>
      <c r="B36" s="1025">
        <v>4700</v>
      </c>
      <c r="C36" s="850" t="s">
        <v>373</v>
      </c>
      <c r="D36" s="1015">
        <v>13300</v>
      </c>
      <c r="E36" s="1015">
        <v>8380</v>
      </c>
      <c r="F36" s="1016">
        <f t="shared" si="2"/>
        <v>63.00751879699248</v>
      </c>
    </row>
    <row r="37" spans="1:6" ht="25.5" customHeight="1">
      <c r="A37" s="1012" t="s">
        <v>100</v>
      </c>
      <c r="B37" s="1025">
        <v>4740</v>
      </c>
      <c r="C37" s="850" t="s">
        <v>374</v>
      </c>
      <c r="D37" s="1015">
        <v>6000</v>
      </c>
      <c r="E37" s="1015">
        <v>1168.37</v>
      </c>
      <c r="F37" s="1016">
        <f t="shared" si="2"/>
        <v>19.47283333333333</v>
      </c>
    </row>
    <row r="38" spans="1:6" ht="16.5" customHeight="1">
      <c r="A38" s="1012" t="s">
        <v>1258</v>
      </c>
      <c r="B38" s="1025">
        <v>4750</v>
      </c>
      <c r="C38" s="1014" t="s">
        <v>375</v>
      </c>
      <c r="D38" s="1015">
        <v>14000</v>
      </c>
      <c r="E38" s="1015">
        <v>7433.31</v>
      </c>
      <c r="F38" s="1016">
        <f t="shared" si="2"/>
        <v>53.09507142857143</v>
      </c>
    </row>
    <row r="39" spans="1:6" ht="16.5" customHeight="1">
      <c r="A39" s="1012" t="s">
        <v>1259</v>
      </c>
      <c r="B39" s="1025">
        <v>6080</v>
      </c>
      <c r="C39" s="1014" t="s">
        <v>377</v>
      </c>
      <c r="D39" s="1015">
        <v>6000</v>
      </c>
      <c r="E39" s="1015">
        <v>0</v>
      </c>
      <c r="F39" s="1016">
        <f t="shared" si="2"/>
        <v>0</v>
      </c>
    </row>
    <row r="40" spans="1:6" ht="16.5" customHeight="1">
      <c r="A40" s="70"/>
      <c r="B40" s="601"/>
      <c r="C40" s="602" t="s">
        <v>378</v>
      </c>
      <c r="D40" s="603">
        <v>102442.81</v>
      </c>
      <c r="E40" s="603">
        <v>57165.77</v>
      </c>
      <c r="F40" s="607">
        <f>E40/D40*100</f>
        <v>55.80261806563096</v>
      </c>
    </row>
    <row r="41" spans="1:6" s="567" customFormat="1" ht="30" customHeight="1" thickBot="1">
      <c r="A41" s="1035" t="s">
        <v>380</v>
      </c>
      <c r="B41" s="1036"/>
      <c r="C41" s="1037" t="s">
        <v>684</v>
      </c>
      <c r="D41" s="1038">
        <f>D6+D7-D15</f>
        <v>60000</v>
      </c>
      <c r="E41" s="1038">
        <f>E6+E7-E15</f>
        <v>489557.88000000035</v>
      </c>
      <c r="F41" s="1039" t="s">
        <v>1307</v>
      </c>
    </row>
    <row r="42" spans="1:6" ht="18.75" customHeight="1" thickBot="1">
      <c r="A42" s="1526" t="s">
        <v>381</v>
      </c>
      <c r="B42" s="1527"/>
      <c r="C42" s="1527"/>
      <c r="D42" s="1017">
        <f>D41+D15</f>
        <v>7347590.81</v>
      </c>
      <c r="E42" s="1017">
        <f>E41+E15</f>
        <v>4181059.6599999997</v>
      </c>
      <c r="F42" s="1018">
        <f>E42/D42*100</f>
        <v>56.90381742964807</v>
      </c>
    </row>
    <row r="43" spans="3:5" ht="12.75">
      <c r="C43" s="57"/>
      <c r="D43" s="75"/>
      <c r="E43" s="75"/>
    </row>
  </sheetData>
  <sheetProtection password="CF93" sheet="1" objects="1" scenarios="1" selectLockedCells="1" selectUnlockedCells="1"/>
  <mergeCells count="5">
    <mergeCell ref="A14:C14"/>
    <mergeCell ref="A42:C42"/>
    <mergeCell ref="A2:F2"/>
    <mergeCell ref="E1:F1"/>
    <mergeCell ref="A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8">
    <tabColor indexed="42"/>
  </sheetPr>
  <dimension ref="A1:F52"/>
  <sheetViews>
    <sheetView view="pageBreakPreview" zoomScaleSheetLayoutView="100" workbookViewId="0" topLeftCell="A1">
      <selection activeCell="I12" sqref="I12"/>
    </sheetView>
  </sheetViews>
  <sheetFormatPr defaultColWidth="9.00390625" defaultRowHeight="12.75"/>
  <cols>
    <col min="1" max="1" width="3.625" style="56" customWidth="1"/>
    <col min="2" max="2" width="4.375" style="56" customWidth="1"/>
    <col min="3" max="3" width="50.625" style="56" customWidth="1"/>
    <col min="4" max="4" width="11.25390625" style="56" customWidth="1"/>
    <col min="5" max="5" width="11.25390625" style="56" bestFit="1" customWidth="1"/>
    <col min="6" max="6" width="5.625" style="56" customWidth="1"/>
    <col min="7" max="16384" width="9.125" style="56" customWidth="1"/>
  </cols>
  <sheetData>
    <row r="1" spans="5:6" ht="12.75">
      <c r="E1" s="1413" t="s">
        <v>465</v>
      </c>
      <c r="F1" s="1413"/>
    </row>
    <row r="3" spans="1:6" ht="12" customHeight="1">
      <c r="A3" s="1374" t="s">
        <v>399</v>
      </c>
      <c r="B3" s="1374"/>
      <c r="C3" s="1374"/>
      <c r="D3" s="1374"/>
      <c r="E3" s="1374"/>
      <c r="F3" s="1374"/>
    </row>
    <row r="4" spans="1:6" ht="12" customHeight="1">
      <c r="A4" s="20"/>
      <c r="B4" s="20"/>
      <c r="C4" s="20"/>
      <c r="D4" s="20"/>
      <c r="E4" s="20"/>
      <c r="F4" s="20"/>
    </row>
    <row r="5" spans="1:6" ht="14.25" customHeight="1" thickBot="1">
      <c r="A5" s="1528" t="s">
        <v>546</v>
      </c>
      <c r="B5" s="1528"/>
      <c r="C5" s="1528"/>
      <c r="F5" s="57" t="s">
        <v>1035</v>
      </c>
    </row>
    <row r="6" spans="1:6" s="20" customFormat="1" ht="22.5" customHeight="1">
      <c r="A6" s="570" t="s">
        <v>1299</v>
      </c>
      <c r="B6" s="571" t="s">
        <v>1221</v>
      </c>
      <c r="C6" s="571" t="s">
        <v>1037</v>
      </c>
      <c r="D6" s="572" t="s">
        <v>1038</v>
      </c>
      <c r="E6" s="572" t="s">
        <v>1039</v>
      </c>
      <c r="F6" s="997" t="s">
        <v>306</v>
      </c>
    </row>
    <row r="7" spans="1:6" s="1002" customFormat="1" ht="12" customHeight="1" thickBot="1">
      <c r="A7" s="998">
        <v>1</v>
      </c>
      <c r="B7" s="999">
        <v>2</v>
      </c>
      <c r="C7" s="999">
        <v>3</v>
      </c>
      <c r="D7" s="1000">
        <v>4</v>
      </c>
      <c r="E7" s="1000">
        <v>5</v>
      </c>
      <c r="F7" s="1001">
        <v>6</v>
      </c>
    </row>
    <row r="8" spans="1:6" s="567" customFormat="1" ht="27" customHeight="1">
      <c r="A8" s="1003" t="s">
        <v>307</v>
      </c>
      <c r="B8" s="1004"/>
      <c r="C8" s="1005" t="s">
        <v>683</v>
      </c>
      <c r="D8" s="1006">
        <v>376334</v>
      </c>
      <c r="E8" s="1006">
        <v>376333.87</v>
      </c>
      <c r="F8" s="1043" t="s">
        <v>1307</v>
      </c>
    </row>
    <row r="9" spans="1:6" s="567" customFormat="1" ht="19.5" customHeight="1">
      <c r="A9" s="1008" t="s">
        <v>312</v>
      </c>
      <c r="B9" s="1009"/>
      <c r="C9" s="1009" t="s">
        <v>1290</v>
      </c>
      <c r="D9" s="1010">
        <f>SUM(D10,D11,D12,D13,D14,D15)</f>
        <v>5086400</v>
      </c>
      <c r="E9" s="1010">
        <f>SUM(E10,E11,E12,E13,E14,E15)</f>
        <v>2886728.04</v>
      </c>
      <c r="F9" s="1011">
        <f aca="true" t="shared" si="0" ref="F9:F21">E9/D9*100</f>
        <v>56.75385419943378</v>
      </c>
    </row>
    <row r="10" spans="1:6" ht="53.25" customHeight="1">
      <c r="A10" s="1012" t="s">
        <v>1302</v>
      </c>
      <c r="B10" s="1013" t="s">
        <v>183</v>
      </c>
      <c r="C10" s="850" t="s">
        <v>383</v>
      </c>
      <c r="D10" s="1015">
        <v>1100000</v>
      </c>
      <c r="E10" s="1015">
        <v>511923.95</v>
      </c>
      <c r="F10" s="1016">
        <f t="shared" si="0"/>
        <v>46.53854090909091</v>
      </c>
    </row>
    <row r="11" spans="1:6" ht="18.75" customHeight="1">
      <c r="A11" s="1012" t="s">
        <v>1303</v>
      </c>
      <c r="B11" s="1013" t="s">
        <v>178</v>
      </c>
      <c r="C11" s="1014" t="s">
        <v>313</v>
      </c>
      <c r="D11" s="1015">
        <v>2100000</v>
      </c>
      <c r="E11" s="1015">
        <v>730560.35</v>
      </c>
      <c r="F11" s="1016">
        <f t="shared" si="0"/>
        <v>34.78858809523809</v>
      </c>
    </row>
    <row r="12" spans="1:6" ht="18.75" customHeight="1">
      <c r="A12" s="1012" t="s">
        <v>75</v>
      </c>
      <c r="B12" s="1013" t="s">
        <v>179</v>
      </c>
      <c r="C12" s="1014" t="s">
        <v>1229</v>
      </c>
      <c r="D12" s="1015">
        <v>6000</v>
      </c>
      <c r="E12" s="1015">
        <v>4653.78</v>
      </c>
      <c r="F12" s="1016">
        <f t="shared" si="0"/>
        <v>77.56299999999999</v>
      </c>
    </row>
    <row r="13" spans="1:6" ht="18.75" customHeight="1">
      <c r="A13" s="1012" t="s">
        <v>83</v>
      </c>
      <c r="B13" s="1013" t="s">
        <v>180</v>
      </c>
      <c r="C13" s="1014" t="s">
        <v>1228</v>
      </c>
      <c r="D13" s="1015">
        <v>8000</v>
      </c>
      <c r="E13" s="1015">
        <v>852.9</v>
      </c>
      <c r="F13" s="1016">
        <f t="shared" si="0"/>
        <v>10.661249999999999</v>
      </c>
    </row>
    <row r="14" spans="1:6" ht="31.5" customHeight="1">
      <c r="A14" s="1012" t="s">
        <v>84</v>
      </c>
      <c r="B14" s="1013" t="s">
        <v>314</v>
      </c>
      <c r="C14" s="850" t="s">
        <v>315</v>
      </c>
      <c r="D14" s="1015">
        <v>775700</v>
      </c>
      <c r="E14" s="1015">
        <v>542056.05</v>
      </c>
      <c r="F14" s="1016">
        <f t="shared" si="0"/>
        <v>69.87959907180613</v>
      </c>
    </row>
    <row r="15" spans="1:6" ht="18.75" customHeight="1">
      <c r="A15" s="1012"/>
      <c r="B15" s="1013"/>
      <c r="C15" s="1014" t="s">
        <v>316</v>
      </c>
      <c r="D15" s="1015">
        <v>1096700</v>
      </c>
      <c r="E15" s="1015">
        <v>1096681.01</v>
      </c>
      <c r="F15" s="1016">
        <f t="shared" si="0"/>
        <v>99.9982684416887</v>
      </c>
    </row>
    <row r="16" spans="1:6" ht="5.25" customHeight="1" thickBot="1">
      <c r="A16" s="1012"/>
      <c r="B16" s="1013"/>
      <c r="C16" s="1014"/>
      <c r="D16" s="1015"/>
      <c r="E16" s="1015"/>
      <c r="F16" s="1016"/>
    </row>
    <row r="17" spans="1:6" s="567" customFormat="1" ht="18.75" customHeight="1" thickBot="1">
      <c r="A17" s="1526" t="s">
        <v>317</v>
      </c>
      <c r="B17" s="1527"/>
      <c r="C17" s="1527"/>
      <c r="D17" s="1017">
        <f>D9+D8</f>
        <v>5462734</v>
      </c>
      <c r="E17" s="1017">
        <f>E9+E8</f>
        <v>3263061.91</v>
      </c>
      <c r="F17" s="1018">
        <f t="shared" si="0"/>
        <v>59.733128319995075</v>
      </c>
    </row>
    <row r="18" spans="1:6" s="567" customFormat="1" ht="18.75" customHeight="1">
      <c r="A18" s="1003" t="s">
        <v>318</v>
      </c>
      <c r="B18" s="1004"/>
      <c r="C18" s="1004" t="s">
        <v>319</v>
      </c>
      <c r="D18" s="1006">
        <f>SUM(D19,D20,D21,D22,D23,D24,D25,D26,D27,D28,D29,D30,D31,D32,D33,D34,D35,D36,D37,D38,D39,D40,D41,D42,D43,D44,D45,D46,D47,D48)</f>
        <v>5351600</v>
      </c>
      <c r="E18" s="1006">
        <f>SUM(E19,E20,E21,E22,E23,E24,E25,E26,E27,E28,E29,E30,E31,E32,E33,E34,E35,E36,E37,E38,E39,E40,E41,E42,E43,E44,E45,E46,E47,E48)</f>
        <v>2931964.08</v>
      </c>
      <c r="F18" s="1044">
        <f t="shared" si="0"/>
        <v>54.78668211376038</v>
      </c>
    </row>
    <row r="19" spans="1:6" ht="18.75" customHeight="1">
      <c r="A19" s="1012" t="s">
        <v>1302</v>
      </c>
      <c r="B19" s="1025">
        <v>3020</v>
      </c>
      <c r="C19" s="1014" t="s">
        <v>320</v>
      </c>
      <c r="D19" s="1015">
        <v>10000</v>
      </c>
      <c r="E19" s="1015">
        <v>7620.96</v>
      </c>
      <c r="F19" s="1016">
        <f t="shared" si="0"/>
        <v>76.2096</v>
      </c>
    </row>
    <row r="20" spans="1:6" ht="18.75" customHeight="1">
      <c r="A20" s="1012" t="s">
        <v>1303</v>
      </c>
      <c r="B20" s="1025">
        <v>4010</v>
      </c>
      <c r="C20" s="1014" t="s">
        <v>321</v>
      </c>
      <c r="D20" s="1015">
        <v>1690000</v>
      </c>
      <c r="E20" s="1015">
        <v>688564.1</v>
      </c>
      <c r="F20" s="1016">
        <f t="shared" si="0"/>
        <v>40.743437869822486</v>
      </c>
    </row>
    <row r="21" spans="1:6" ht="18.75" customHeight="1">
      <c r="A21" s="1012" t="s">
        <v>75</v>
      </c>
      <c r="B21" s="1025">
        <v>4040</v>
      </c>
      <c r="C21" s="1014" t="s">
        <v>322</v>
      </c>
      <c r="D21" s="1015">
        <v>143000</v>
      </c>
      <c r="E21" s="1015">
        <v>0</v>
      </c>
      <c r="F21" s="1016">
        <f t="shared" si="0"/>
        <v>0</v>
      </c>
    </row>
    <row r="22" spans="1:6" ht="18.75" customHeight="1">
      <c r="A22" s="1012" t="s">
        <v>83</v>
      </c>
      <c r="B22" s="1025">
        <v>4110</v>
      </c>
      <c r="C22" s="1014" t="s">
        <v>328</v>
      </c>
      <c r="D22" s="1015">
        <v>255000</v>
      </c>
      <c r="E22" s="1015">
        <v>121080.59</v>
      </c>
      <c r="F22" s="1016">
        <f aca="true" t="shared" si="1" ref="F22:F37">E22/D22*100</f>
        <v>47.48258431372549</v>
      </c>
    </row>
    <row r="23" spans="1:6" ht="18.75" customHeight="1">
      <c r="A23" s="1012" t="s">
        <v>84</v>
      </c>
      <c r="B23" s="1025">
        <v>4120</v>
      </c>
      <c r="C23" s="1014" t="s">
        <v>329</v>
      </c>
      <c r="D23" s="1015">
        <v>41000</v>
      </c>
      <c r="E23" s="1015">
        <v>19212.93</v>
      </c>
      <c r="F23" s="1016">
        <f t="shared" si="1"/>
        <v>46.86080487804878</v>
      </c>
    </row>
    <row r="24" spans="1:6" ht="30" customHeight="1">
      <c r="A24" s="1012" t="s">
        <v>85</v>
      </c>
      <c r="B24" s="1025">
        <v>4140</v>
      </c>
      <c r="C24" s="850" t="s">
        <v>400</v>
      </c>
      <c r="D24" s="1015">
        <v>9500</v>
      </c>
      <c r="E24" s="1015">
        <v>4994</v>
      </c>
      <c r="F24" s="1016">
        <f t="shared" si="1"/>
        <v>52.56842105263158</v>
      </c>
    </row>
    <row r="25" spans="1:6" ht="18.75" customHeight="1">
      <c r="A25" s="1012" t="s">
        <v>133</v>
      </c>
      <c r="B25" s="1025">
        <v>4170</v>
      </c>
      <c r="C25" s="1014" t="s">
        <v>330</v>
      </c>
      <c r="D25" s="1015">
        <v>380000</v>
      </c>
      <c r="E25" s="1015">
        <v>144411.46</v>
      </c>
      <c r="F25" s="1016">
        <f t="shared" si="1"/>
        <v>38.00301578947368</v>
      </c>
    </row>
    <row r="26" spans="1:6" ht="18.75" customHeight="1">
      <c r="A26" s="1012" t="s">
        <v>134</v>
      </c>
      <c r="B26" s="1025">
        <v>4210</v>
      </c>
      <c r="C26" s="1014" t="s">
        <v>331</v>
      </c>
      <c r="D26" s="1015">
        <v>455700</v>
      </c>
      <c r="E26" s="1015">
        <v>204835.4</v>
      </c>
      <c r="F26" s="1016">
        <f t="shared" si="1"/>
        <v>44.949615975422425</v>
      </c>
    </row>
    <row r="27" spans="1:6" ht="18.75" customHeight="1">
      <c r="A27" s="1012" t="s">
        <v>86</v>
      </c>
      <c r="B27" s="1025">
        <v>4260</v>
      </c>
      <c r="C27" s="1014" t="s">
        <v>332</v>
      </c>
      <c r="D27" s="1015">
        <v>520000</v>
      </c>
      <c r="E27" s="1015">
        <v>340199.89</v>
      </c>
      <c r="F27" s="1016">
        <f t="shared" si="1"/>
        <v>65.42305576923077</v>
      </c>
    </row>
    <row r="28" spans="1:6" ht="18.75" customHeight="1">
      <c r="A28" s="1012" t="s">
        <v>88</v>
      </c>
      <c r="B28" s="1025">
        <v>4270</v>
      </c>
      <c r="C28" s="1014" t="s">
        <v>333</v>
      </c>
      <c r="D28" s="1015">
        <v>30000</v>
      </c>
      <c r="E28" s="1015">
        <v>2500</v>
      </c>
      <c r="F28" s="1016">
        <f t="shared" si="1"/>
        <v>8.333333333333332</v>
      </c>
    </row>
    <row r="29" spans="1:6" ht="18.75" customHeight="1">
      <c r="A29" s="1012" t="s">
        <v>135</v>
      </c>
      <c r="B29" s="1025">
        <v>4280</v>
      </c>
      <c r="C29" s="1014" t="s">
        <v>398</v>
      </c>
      <c r="D29" s="1015">
        <v>2200</v>
      </c>
      <c r="E29" s="1015">
        <v>1045.7</v>
      </c>
      <c r="F29" s="1016">
        <f t="shared" si="1"/>
        <v>47.53181818181819</v>
      </c>
    </row>
    <row r="30" spans="1:6" ht="18.75" customHeight="1">
      <c r="A30" s="1012" t="s">
        <v>89</v>
      </c>
      <c r="B30" s="1025">
        <v>4300</v>
      </c>
      <c r="C30" s="1014" t="s">
        <v>361</v>
      </c>
      <c r="D30" s="1015">
        <v>480000</v>
      </c>
      <c r="E30" s="1015">
        <v>188629.67</v>
      </c>
      <c r="F30" s="1016">
        <f t="shared" si="1"/>
        <v>39.29784791666667</v>
      </c>
    </row>
    <row r="31" spans="1:6" ht="18.75" customHeight="1">
      <c r="A31" s="1012" t="s">
        <v>90</v>
      </c>
      <c r="B31" s="1025">
        <v>4350</v>
      </c>
      <c r="C31" s="1014" t="s">
        <v>362</v>
      </c>
      <c r="D31" s="1015">
        <v>2500</v>
      </c>
      <c r="E31" s="1015">
        <v>1213.32</v>
      </c>
      <c r="F31" s="1016">
        <f t="shared" si="1"/>
        <v>48.532799999999995</v>
      </c>
    </row>
    <row r="32" spans="1:6" ht="27.75" customHeight="1">
      <c r="A32" s="1012" t="s">
        <v>136</v>
      </c>
      <c r="B32" s="1025">
        <v>4360</v>
      </c>
      <c r="C32" s="850" t="s">
        <v>363</v>
      </c>
      <c r="D32" s="1015">
        <v>12000</v>
      </c>
      <c r="E32" s="1015">
        <v>5269.05</v>
      </c>
      <c r="F32" s="1016">
        <f t="shared" si="1"/>
        <v>43.908750000000005</v>
      </c>
    </row>
    <row r="33" spans="1:6" ht="30.75" customHeight="1">
      <c r="A33" s="1012" t="s">
        <v>91</v>
      </c>
      <c r="B33" s="1025">
        <v>4370</v>
      </c>
      <c r="C33" s="850" t="s">
        <v>365</v>
      </c>
      <c r="D33" s="1015">
        <v>17000</v>
      </c>
      <c r="E33" s="1015">
        <v>7975.07</v>
      </c>
      <c r="F33" s="1016">
        <f t="shared" si="1"/>
        <v>46.912176470588236</v>
      </c>
    </row>
    <row r="34" spans="1:6" ht="18.75" customHeight="1">
      <c r="A34" s="1012" t="s">
        <v>92</v>
      </c>
      <c r="B34" s="1025">
        <v>4390</v>
      </c>
      <c r="C34" s="1014" t="s">
        <v>402</v>
      </c>
      <c r="D34" s="1015">
        <v>11000</v>
      </c>
      <c r="E34" s="1015">
        <v>1279.7</v>
      </c>
      <c r="F34" s="1016">
        <f t="shared" si="1"/>
        <v>11.633636363636365</v>
      </c>
    </row>
    <row r="35" spans="1:6" ht="27.75" customHeight="1">
      <c r="A35" s="1012" t="s">
        <v>93</v>
      </c>
      <c r="B35" s="1025">
        <v>4400</v>
      </c>
      <c r="C35" s="850" t="s">
        <v>366</v>
      </c>
      <c r="D35" s="1015">
        <v>6000</v>
      </c>
      <c r="E35" s="1015">
        <v>1559.04</v>
      </c>
      <c r="F35" s="1016">
        <f t="shared" si="1"/>
        <v>25.984</v>
      </c>
    </row>
    <row r="36" spans="1:6" ht="18.75" customHeight="1">
      <c r="A36" s="1012" t="s">
        <v>94</v>
      </c>
      <c r="B36" s="1025">
        <v>4410</v>
      </c>
      <c r="C36" s="1014" t="s">
        <v>367</v>
      </c>
      <c r="D36" s="1015">
        <v>15000</v>
      </c>
      <c r="E36" s="1015">
        <v>9294.43</v>
      </c>
      <c r="F36" s="1016">
        <f t="shared" si="1"/>
        <v>61.96286666666667</v>
      </c>
    </row>
    <row r="37" spans="1:6" ht="18.75" customHeight="1">
      <c r="A37" s="1012" t="s">
        <v>97</v>
      </c>
      <c r="B37" s="1025">
        <v>4420</v>
      </c>
      <c r="C37" s="1014" t="s">
        <v>403</v>
      </c>
      <c r="D37" s="1015">
        <v>5000</v>
      </c>
      <c r="E37" s="1015">
        <v>422.3</v>
      </c>
      <c r="F37" s="1016">
        <f t="shared" si="1"/>
        <v>8.446000000000002</v>
      </c>
    </row>
    <row r="38" spans="1:6" ht="18.75" customHeight="1">
      <c r="A38" s="1012" t="s">
        <v>98</v>
      </c>
      <c r="B38" s="1025">
        <v>4430</v>
      </c>
      <c r="C38" s="1014" t="s">
        <v>368</v>
      </c>
      <c r="D38" s="1015">
        <v>35000</v>
      </c>
      <c r="E38" s="1015">
        <v>23733.58</v>
      </c>
      <c r="F38" s="1016">
        <f aca="true" t="shared" si="2" ref="F38:F48">E38/D38*100</f>
        <v>67.81022857142858</v>
      </c>
    </row>
    <row r="39" spans="1:6" ht="18.75" customHeight="1">
      <c r="A39" s="1012" t="s">
        <v>99</v>
      </c>
      <c r="B39" s="1025">
        <v>4440</v>
      </c>
      <c r="C39" s="1014" t="s">
        <v>369</v>
      </c>
      <c r="D39" s="1015">
        <v>49000</v>
      </c>
      <c r="E39" s="1015">
        <v>33085</v>
      </c>
      <c r="F39" s="1016">
        <f t="shared" si="2"/>
        <v>67.52040816326532</v>
      </c>
    </row>
    <row r="40" spans="1:6" ht="18.75" customHeight="1">
      <c r="A40" s="1012" t="s">
        <v>100</v>
      </c>
      <c r="B40" s="1025">
        <v>4480</v>
      </c>
      <c r="C40" s="1014" t="s">
        <v>1246</v>
      </c>
      <c r="D40" s="1015">
        <v>60000</v>
      </c>
      <c r="E40" s="1015">
        <v>16288</v>
      </c>
      <c r="F40" s="1016">
        <f t="shared" si="2"/>
        <v>27.14666666666667</v>
      </c>
    </row>
    <row r="41" spans="1:6" ht="30.75" customHeight="1">
      <c r="A41" s="1012" t="s">
        <v>1258</v>
      </c>
      <c r="B41" s="1025">
        <v>4500</v>
      </c>
      <c r="C41" s="850" t="s">
        <v>476</v>
      </c>
      <c r="D41" s="1015">
        <v>4000</v>
      </c>
      <c r="E41" s="1015">
        <v>625</v>
      </c>
      <c r="F41" s="1016">
        <f t="shared" si="2"/>
        <v>15.625</v>
      </c>
    </row>
    <row r="42" spans="1:6" ht="18.75" customHeight="1">
      <c r="A42" s="1012" t="s">
        <v>1259</v>
      </c>
      <c r="B42" s="1025">
        <v>4520</v>
      </c>
      <c r="C42" s="850" t="s">
        <v>404</v>
      </c>
      <c r="D42" s="1015">
        <v>3000</v>
      </c>
      <c r="E42" s="1015">
        <v>1953.83</v>
      </c>
      <c r="F42" s="1016">
        <f t="shared" si="2"/>
        <v>65.12766666666666</v>
      </c>
    </row>
    <row r="43" spans="1:6" ht="18.75" customHeight="1">
      <c r="A43" s="1012" t="s">
        <v>1260</v>
      </c>
      <c r="B43" s="1025">
        <v>4610</v>
      </c>
      <c r="C43" s="850" t="s">
        <v>372</v>
      </c>
      <c r="D43" s="1015">
        <v>2000</v>
      </c>
      <c r="E43" s="1015">
        <v>190</v>
      </c>
      <c r="F43" s="1016">
        <f t="shared" si="2"/>
        <v>9.5</v>
      </c>
    </row>
    <row r="44" spans="1:6" ht="27" customHeight="1">
      <c r="A44" s="1012" t="s">
        <v>1261</v>
      </c>
      <c r="B44" s="1025">
        <v>4700</v>
      </c>
      <c r="C44" s="850" t="s">
        <v>373</v>
      </c>
      <c r="D44" s="1015">
        <v>4000</v>
      </c>
      <c r="E44" s="1015">
        <v>2065.74</v>
      </c>
      <c r="F44" s="1016">
        <f t="shared" si="2"/>
        <v>51.643499999999996</v>
      </c>
    </row>
    <row r="45" spans="1:6" ht="30" customHeight="1">
      <c r="A45" s="1012" t="s">
        <v>650</v>
      </c>
      <c r="B45" s="1025">
        <v>4740</v>
      </c>
      <c r="C45" s="850" t="s">
        <v>374</v>
      </c>
      <c r="D45" s="1015">
        <v>3000</v>
      </c>
      <c r="E45" s="1015">
        <v>1059.95</v>
      </c>
      <c r="F45" s="1016">
        <f t="shared" si="2"/>
        <v>35.33166666666666</v>
      </c>
    </row>
    <row r="46" spans="1:6" ht="18.75" customHeight="1">
      <c r="A46" s="1012" t="s">
        <v>651</v>
      </c>
      <c r="B46" s="1025">
        <v>4750</v>
      </c>
      <c r="C46" s="850" t="s">
        <v>375</v>
      </c>
      <c r="D46" s="1015">
        <v>10000</v>
      </c>
      <c r="E46" s="1015">
        <v>6174.36</v>
      </c>
      <c r="F46" s="1016">
        <f t="shared" si="2"/>
        <v>61.7436</v>
      </c>
    </row>
    <row r="47" spans="1:6" ht="18.75" customHeight="1">
      <c r="A47" s="70"/>
      <c r="B47" s="601"/>
      <c r="C47" s="602" t="s">
        <v>378</v>
      </c>
      <c r="D47" s="603">
        <v>1096700</v>
      </c>
      <c r="E47" s="603">
        <v>1096681.01</v>
      </c>
      <c r="F47" s="607">
        <f t="shared" si="2"/>
        <v>99.9982684416887</v>
      </c>
    </row>
    <row r="48" spans="1:6" ht="18.75" customHeight="1" hidden="1">
      <c r="A48" s="70"/>
      <c r="B48" s="602"/>
      <c r="C48" s="602" t="s">
        <v>379</v>
      </c>
      <c r="D48" s="603">
        <v>0</v>
      </c>
      <c r="E48" s="603">
        <v>0</v>
      </c>
      <c r="F48" s="607" t="e">
        <f t="shared" si="2"/>
        <v>#DIV/0!</v>
      </c>
    </row>
    <row r="49" spans="1:6" s="567" customFormat="1" ht="22.5" customHeight="1">
      <c r="A49" s="1045" t="s">
        <v>380</v>
      </c>
      <c r="B49" s="1009"/>
      <c r="C49" s="1009" t="s">
        <v>405</v>
      </c>
      <c r="D49" s="1010">
        <v>0</v>
      </c>
      <c r="E49" s="1010">
        <v>0</v>
      </c>
      <c r="F49" s="1011">
        <v>0</v>
      </c>
    </row>
    <row r="50" spans="1:6" s="567" customFormat="1" ht="30.75" customHeight="1" thickBot="1">
      <c r="A50" s="1035" t="s">
        <v>406</v>
      </c>
      <c r="B50" s="1036"/>
      <c r="C50" s="1037" t="s">
        <v>684</v>
      </c>
      <c r="D50" s="1038">
        <v>111134</v>
      </c>
      <c r="E50" s="1038">
        <v>331097.83</v>
      </c>
      <c r="F50" s="1039" t="s">
        <v>1307</v>
      </c>
    </row>
    <row r="51" spans="1:6" ht="18.75" customHeight="1" thickBot="1">
      <c r="A51" s="1526" t="s">
        <v>413</v>
      </c>
      <c r="B51" s="1527"/>
      <c r="C51" s="1527"/>
      <c r="D51" s="1017">
        <f>D49+D50+D18</f>
        <v>5462734</v>
      </c>
      <c r="E51" s="1017">
        <f>E49+E50+E18</f>
        <v>3263061.91</v>
      </c>
      <c r="F51" s="1018">
        <f>E51/D51*100</f>
        <v>59.733128319995075</v>
      </c>
    </row>
    <row r="52" spans="3:5" ht="12.75">
      <c r="C52" s="57"/>
      <c r="D52" s="75"/>
      <c r="E52" s="75"/>
    </row>
  </sheetData>
  <sheetProtection password="CF93" sheet="1" objects="1" scenarios="1" selectLockedCells="1" selectUnlockedCells="1"/>
  <mergeCells count="5">
    <mergeCell ref="A17:C17"/>
    <mergeCell ref="A51:C51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1">
    <tabColor indexed="42"/>
  </sheetPr>
  <dimension ref="A1:F31"/>
  <sheetViews>
    <sheetView view="pageBreakPreview" zoomScaleSheetLayoutView="100" workbookViewId="0" topLeftCell="A1">
      <selection activeCell="A31" sqref="A31:IV31"/>
    </sheetView>
  </sheetViews>
  <sheetFormatPr defaultColWidth="9.00390625" defaultRowHeight="12.75"/>
  <cols>
    <col min="1" max="1" width="3.625" style="56" customWidth="1"/>
    <col min="2" max="2" width="4.375" style="56" customWidth="1"/>
    <col min="3" max="3" width="52.125" style="56" customWidth="1"/>
    <col min="4" max="5" width="10.75390625" style="56" customWidth="1"/>
    <col min="6" max="6" width="5.125" style="56" customWidth="1"/>
    <col min="7" max="16384" width="9.125" style="56" customWidth="1"/>
  </cols>
  <sheetData>
    <row r="1" spans="5:6" ht="12.75">
      <c r="E1" s="1413" t="s">
        <v>464</v>
      </c>
      <c r="F1" s="1413"/>
    </row>
    <row r="2" ht="28.5" customHeight="1"/>
    <row r="3" spans="1:6" ht="12.75">
      <c r="A3" s="1531" t="s">
        <v>414</v>
      </c>
      <c r="B3" s="1531"/>
      <c r="C3" s="1531"/>
      <c r="D3" s="1531"/>
      <c r="E3" s="1531"/>
      <c r="F3" s="1531"/>
    </row>
    <row r="4" spans="1:6" ht="20.25" customHeight="1">
      <c r="A4" s="1046"/>
      <c r="B4" s="1046"/>
      <c r="C4" s="1046"/>
      <c r="D4" s="1046"/>
      <c r="E4" s="1046"/>
      <c r="F4" s="1046"/>
    </row>
    <row r="5" spans="1:6" ht="15" customHeight="1" thickBot="1">
      <c r="A5" s="1528" t="s">
        <v>547</v>
      </c>
      <c r="B5" s="1528"/>
      <c r="C5" s="1528"/>
      <c r="F5" s="57" t="s">
        <v>1035</v>
      </c>
    </row>
    <row r="6" spans="1:6" s="1047" customFormat="1" ht="22.5" customHeight="1">
      <c r="A6" s="570" t="s">
        <v>1299</v>
      </c>
      <c r="B6" s="571" t="s">
        <v>1221</v>
      </c>
      <c r="C6" s="571" t="s">
        <v>1037</v>
      </c>
      <c r="D6" s="572" t="s">
        <v>1038</v>
      </c>
      <c r="E6" s="572" t="s">
        <v>1039</v>
      </c>
      <c r="F6" s="997" t="s">
        <v>306</v>
      </c>
    </row>
    <row r="7" spans="1:6" s="1048" customFormat="1" ht="9.75" customHeight="1" thickBot="1">
      <c r="A7" s="998">
        <v>1</v>
      </c>
      <c r="B7" s="999">
        <v>2</v>
      </c>
      <c r="C7" s="999">
        <v>3</v>
      </c>
      <c r="D7" s="1000">
        <v>4</v>
      </c>
      <c r="E7" s="1000">
        <v>5</v>
      </c>
      <c r="F7" s="1001">
        <v>6</v>
      </c>
    </row>
    <row r="8" spans="1:6" s="567" customFormat="1" ht="29.25" customHeight="1">
      <c r="A8" s="1003" t="s">
        <v>307</v>
      </c>
      <c r="B8" s="1004"/>
      <c r="C8" s="1005" t="s">
        <v>683</v>
      </c>
      <c r="D8" s="1006">
        <v>251405</v>
      </c>
      <c r="E8" s="1006">
        <v>251256.08</v>
      </c>
      <c r="F8" s="1007" t="s">
        <v>1307</v>
      </c>
    </row>
    <row r="9" spans="1:6" s="567" customFormat="1" ht="18" customHeight="1">
      <c r="A9" s="1008" t="s">
        <v>312</v>
      </c>
      <c r="B9" s="1009"/>
      <c r="C9" s="1009" t="s">
        <v>1290</v>
      </c>
      <c r="D9" s="1010">
        <f>SUM(D10,D11,D12,D13)</f>
        <v>327500</v>
      </c>
      <c r="E9" s="1010">
        <f>SUM(E10,E11,E12,E13)</f>
        <v>172231.58</v>
      </c>
      <c r="F9" s="1011">
        <f aca="true" t="shared" si="0" ref="F9:F15">E9/D9*100</f>
        <v>52.58979541984733</v>
      </c>
    </row>
    <row r="10" spans="1:6" ht="18" customHeight="1">
      <c r="A10" s="1012" t="s">
        <v>1302</v>
      </c>
      <c r="B10" s="1013" t="s">
        <v>178</v>
      </c>
      <c r="C10" s="1014" t="s">
        <v>313</v>
      </c>
      <c r="D10" s="1015">
        <v>270000</v>
      </c>
      <c r="E10" s="1015">
        <v>122724.65</v>
      </c>
      <c r="F10" s="1016">
        <f t="shared" si="0"/>
        <v>45.45357407407407</v>
      </c>
    </row>
    <row r="11" spans="1:6" ht="18" customHeight="1">
      <c r="A11" s="1012" t="s">
        <v>1303</v>
      </c>
      <c r="B11" s="1013" t="s">
        <v>179</v>
      </c>
      <c r="C11" s="1014" t="s">
        <v>1229</v>
      </c>
      <c r="D11" s="1015">
        <v>12500</v>
      </c>
      <c r="E11" s="1015">
        <v>4506.93</v>
      </c>
      <c r="F11" s="1016">
        <f t="shared" si="0"/>
        <v>36.05544</v>
      </c>
    </row>
    <row r="12" spans="1:6" ht="18" customHeight="1">
      <c r="A12" s="1012" t="s">
        <v>75</v>
      </c>
      <c r="B12" s="1013" t="s">
        <v>415</v>
      </c>
      <c r="C12" s="1014" t="s">
        <v>416</v>
      </c>
      <c r="D12" s="1015">
        <v>45000</v>
      </c>
      <c r="E12" s="1015">
        <v>45000</v>
      </c>
      <c r="F12" s="1016">
        <f t="shared" si="0"/>
        <v>100</v>
      </c>
    </row>
    <row r="13" spans="1:6" ht="7.5" customHeight="1" thickBot="1">
      <c r="A13" s="1012"/>
      <c r="B13" s="1013"/>
      <c r="C13" s="850"/>
      <c r="D13" s="1015"/>
      <c r="E13" s="1015"/>
      <c r="F13" s="1016"/>
    </row>
    <row r="14" spans="1:6" s="567" customFormat="1" ht="18" customHeight="1" thickBot="1">
      <c r="A14" s="1526" t="s">
        <v>317</v>
      </c>
      <c r="B14" s="1527"/>
      <c r="C14" s="1527"/>
      <c r="D14" s="1017">
        <f>D9+D8</f>
        <v>578905</v>
      </c>
      <c r="E14" s="1017">
        <f>E9+E8</f>
        <v>423487.66</v>
      </c>
      <c r="F14" s="1018">
        <f t="shared" si="0"/>
        <v>73.15322203124865</v>
      </c>
    </row>
    <row r="15" spans="1:6" s="567" customFormat="1" ht="18" customHeight="1">
      <c r="A15" s="1008" t="s">
        <v>318</v>
      </c>
      <c r="B15" s="1009"/>
      <c r="C15" s="1009" t="s">
        <v>319</v>
      </c>
      <c r="D15" s="1010">
        <f>SUM(D16:D28)</f>
        <v>578905</v>
      </c>
      <c r="E15" s="1010">
        <f>SUM(E16:E28)</f>
        <v>70743.37000000001</v>
      </c>
      <c r="F15" s="1011">
        <f t="shared" si="0"/>
        <v>12.220203660358782</v>
      </c>
    </row>
    <row r="16" spans="1:6" ht="18" customHeight="1">
      <c r="A16" s="1012" t="s">
        <v>1302</v>
      </c>
      <c r="B16" s="1025">
        <v>2960</v>
      </c>
      <c r="C16" s="850" t="s">
        <v>416</v>
      </c>
      <c r="D16" s="1015">
        <v>56500</v>
      </c>
      <c r="E16" s="1015">
        <v>25227.88</v>
      </c>
      <c r="F16" s="1016">
        <f aca="true" t="shared" si="1" ref="F16:F28">E16/D16*100</f>
        <v>44.65111504424779</v>
      </c>
    </row>
    <row r="17" spans="1:6" ht="18" customHeight="1">
      <c r="A17" s="1012" t="s">
        <v>1303</v>
      </c>
      <c r="B17" s="1025">
        <v>4110</v>
      </c>
      <c r="C17" s="1014" t="s">
        <v>328</v>
      </c>
      <c r="D17" s="1015">
        <v>1700</v>
      </c>
      <c r="E17" s="1015">
        <v>0</v>
      </c>
      <c r="F17" s="1016">
        <f t="shared" si="1"/>
        <v>0</v>
      </c>
    </row>
    <row r="18" spans="1:6" ht="18" customHeight="1">
      <c r="A18" s="1012" t="s">
        <v>75</v>
      </c>
      <c r="B18" s="1025">
        <v>4120</v>
      </c>
      <c r="C18" s="850" t="s">
        <v>329</v>
      </c>
      <c r="D18" s="1015">
        <v>250</v>
      </c>
      <c r="E18" s="1015">
        <v>0</v>
      </c>
      <c r="F18" s="1016">
        <f t="shared" si="1"/>
        <v>0</v>
      </c>
    </row>
    <row r="19" spans="1:6" ht="18" customHeight="1">
      <c r="A19" s="1012" t="s">
        <v>83</v>
      </c>
      <c r="B19" s="1025">
        <v>4170</v>
      </c>
      <c r="C19" s="850" t="s">
        <v>330</v>
      </c>
      <c r="D19" s="1015">
        <v>10000</v>
      </c>
      <c r="E19" s="1015">
        <v>0</v>
      </c>
      <c r="F19" s="1016">
        <f t="shared" si="1"/>
        <v>0</v>
      </c>
    </row>
    <row r="20" spans="1:6" ht="18" customHeight="1">
      <c r="A20" s="1012" t="s">
        <v>84</v>
      </c>
      <c r="B20" s="1025">
        <v>4210</v>
      </c>
      <c r="C20" s="1014" t="s">
        <v>331</v>
      </c>
      <c r="D20" s="1015">
        <v>25000</v>
      </c>
      <c r="E20" s="1015">
        <v>11628.27</v>
      </c>
      <c r="F20" s="1016">
        <f t="shared" si="1"/>
        <v>46.51308</v>
      </c>
    </row>
    <row r="21" spans="1:6" ht="18" customHeight="1">
      <c r="A21" s="1012" t="s">
        <v>85</v>
      </c>
      <c r="B21" s="1025">
        <v>4240</v>
      </c>
      <c r="C21" s="1014" t="s">
        <v>397</v>
      </c>
      <c r="D21" s="1015">
        <v>1000</v>
      </c>
      <c r="E21" s="1015">
        <v>0</v>
      </c>
      <c r="F21" s="1016">
        <f t="shared" si="1"/>
        <v>0</v>
      </c>
    </row>
    <row r="22" spans="1:6" ht="18" customHeight="1">
      <c r="A22" s="1012" t="s">
        <v>133</v>
      </c>
      <c r="B22" s="1025">
        <v>4270</v>
      </c>
      <c r="C22" s="1014" t="s">
        <v>333</v>
      </c>
      <c r="D22" s="1015">
        <v>4000</v>
      </c>
      <c r="E22" s="1015">
        <v>0</v>
      </c>
      <c r="F22" s="1016">
        <f t="shared" si="1"/>
        <v>0</v>
      </c>
    </row>
    <row r="23" spans="1:6" ht="18" customHeight="1">
      <c r="A23" s="1012" t="s">
        <v>134</v>
      </c>
      <c r="B23" s="1025">
        <v>4300</v>
      </c>
      <c r="C23" s="1014" t="s">
        <v>361</v>
      </c>
      <c r="D23" s="1015">
        <v>422455</v>
      </c>
      <c r="E23" s="1015">
        <v>14677.28</v>
      </c>
      <c r="F23" s="1016">
        <f t="shared" si="1"/>
        <v>3.474282467955167</v>
      </c>
    </row>
    <row r="24" spans="1:6" ht="18" customHeight="1">
      <c r="A24" s="1012" t="s">
        <v>86</v>
      </c>
      <c r="B24" s="1025">
        <v>4430</v>
      </c>
      <c r="C24" s="1014" t="s">
        <v>368</v>
      </c>
      <c r="D24" s="1015">
        <v>1000</v>
      </c>
      <c r="E24" s="1015">
        <v>0</v>
      </c>
      <c r="F24" s="1016">
        <f t="shared" si="1"/>
        <v>0</v>
      </c>
    </row>
    <row r="25" spans="1:6" ht="30" customHeight="1">
      <c r="A25" s="1012" t="s">
        <v>88</v>
      </c>
      <c r="B25" s="1025">
        <v>4700</v>
      </c>
      <c r="C25" s="850" t="s">
        <v>373</v>
      </c>
      <c r="D25" s="1015">
        <v>7000</v>
      </c>
      <c r="E25" s="1015">
        <v>2540</v>
      </c>
      <c r="F25" s="1016">
        <f t="shared" si="1"/>
        <v>36.285714285714285</v>
      </c>
    </row>
    <row r="26" spans="1:6" ht="27" customHeight="1">
      <c r="A26" s="1012" t="s">
        <v>135</v>
      </c>
      <c r="B26" s="1025">
        <v>4740</v>
      </c>
      <c r="C26" s="850" t="s">
        <v>374</v>
      </c>
      <c r="D26" s="1015">
        <v>15000</v>
      </c>
      <c r="E26" s="1015">
        <v>1065.98</v>
      </c>
      <c r="F26" s="1016">
        <f t="shared" si="1"/>
        <v>7.106533333333334</v>
      </c>
    </row>
    <row r="27" spans="1:6" ht="18" customHeight="1">
      <c r="A27" s="1012" t="s">
        <v>89</v>
      </c>
      <c r="B27" s="1025">
        <v>4750</v>
      </c>
      <c r="C27" s="850" t="s">
        <v>375</v>
      </c>
      <c r="D27" s="1015">
        <v>15000</v>
      </c>
      <c r="E27" s="1015">
        <v>9336.36</v>
      </c>
      <c r="F27" s="1016">
        <f t="shared" si="1"/>
        <v>62.24240000000001</v>
      </c>
    </row>
    <row r="28" spans="1:6" ht="18" customHeight="1">
      <c r="A28" s="70" t="s">
        <v>90</v>
      </c>
      <c r="B28" s="601">
        <v>6120</v>
      </c>
      <c r="C28" s="605" t="s">
        <v>417</v>
      </c>
      <c r="D28" s="603">
        <v>20000</v>
      </c>
      <c r="E28" s="603">
        <v>6267.6</v>
      </c>
      <c r="F28" s="607">
        <f t="shared" si="1"/>
        <v>31.338</v>
      </c>
    </row>
    <row r="29" spans="1:6" s="567" customFormat="1" ht="33" customHeight="1">
      <c r="A29" s="1035" t="s">
        <v>380</v>
      </c>
      <c r="B29" s="1036"/>
      <c r="C29" s="1037" t="s">
        <v>684</v>
      </c>
      <c r="D29" s="1038">
        <f>SUM(D8+D9-D15)</f>
        <v>0</v>
      </c>
      <c r="E29" s="1038">
        <f>SUM(E8+E9-E15)</f>
        <v>352744.29</v>
      </c>
      <c r="F29" s="1039" t="s">
        <v>1307</v>
      </c>
    </row>
    <row r="30" spans="1:6" ht="18" customHeight="1" thickBot="1">
      <c r="A30" s="1529" t="s">
        <v>381</v>
      </c>
      <c r="B30" s="1530"/>
      <c r="C30" s="1530"/>
      <c r="D30" s="1049">
        <f>D29+D15</f>
        <v>578905</v>
      </c>
      <c r="E30" s="1049">
        <f>E29+E15</f>
        <v>423487.66</v>
      </c>
      <c r="F30" s="1050">
        <f>E30/D30*100</f>
        <v>73.15322203124865</v>
      </c>
    </row>
    <row r="31" spans="4:5" ht="12.75">
      <c r="D31" s="75"/>
      <c r="E31" s="75"/>
    </row>
  </sheetData>
  <sheetProtection password="CF93" sheet="1" objects="1" scenarios="1" selectLockedCells="1" selectUnlockedCells="1"/>
  <mergeCells count="5">
    <mergeCell ref="A14:C14"/>
    <mergeCell ref="A30:C30"/>
    <mergeCell ref="A3:F3"/>
    <mergeCell ref="E1:F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22">
    <tabColor indexed="42"/>
  </sheetPr>
  <dimension ref="A1:F28"/>
  <sheetViews>
    <sheetView view="pageBreakPreview" zoomScaleSheetLayoutView="100" workbookViewId="0" topLeftCell="A1">
      <selection activeCell="A28" sqref="A28:IV28"/>
    </sheetView>
  </sheetViews>
  <sheetFormatPr defaultColWidth="9.00390625" defaultRowHeight="12.75"/>
  <cols>
    <col min="1" max="1" width="3.625" style="56" customWidth="1"/>
    <col min="2" max="2" width="4.375" style="56" customWidth="1"/>
    <col min="3" max="3" width="49.125" style="56" customWidth="1"/>
    <col min="4" max="5" width="11.25390625" style="56" bestFit="1" customWidth="1"/>
    <col min="6" max="6" width="7.125" style="56" customWidth="1"/>
    <col min="7" max="16384" width="9.125" style="56" customWidth="1"/>
  </cols>
  <sheetData>
    <row r="1" spans="5:6" ht="12.75">
      <c r="E1" s="1413" t="s">
        <v>463</v>
      </c>
      <c r="F1" s="1413"/>
    </row>
    <row r="2" ht="26.25" customHeight="1"/>
    <row r="3" spans="1:6" ht="12.75">
      <c r="A3" s="1374" t="s">
        <v>418</v>
      </c>
      <c r="B3" s="1374"/>
      <c r="C3" s="1374"/>
      <c r="D3" s="1374"/>
      <c r="E3" s="1374"/>
      <c r="F3" s="1374"/>
    </row>
    <row r="4" spans="1:6" ht="21" customHeight="1">
      <c r="A4" s="20"/>
      <c r="B4" s="20"/>
      <c r="C4" s="20"/>
      <c r="D4" s="20"/>
      <c r="E4" s="20"/>
      <c r="F4" s="20"/>
    </row>
    <row r="5" spans="1:6" s="567" customFormat="1" ht="15" customHeight="1" thickBot="1">
      <c r="A5" s="1528" t="s">
        <v>548</v>
      </c>
      <c r="B5" s="1528"/>
      <c r="C5" s="1528"/>
      <c r="F5" s="58" t="s">
        <v>1035</v>
      </c>
    </row>
    <row r="6" spans="1:6" s="20" customFormat="1" ht="21.75" customHeight="1">
      <c r="A6" s="570" t="s">
        <v>1299</v>
      </c>
      <c r="B6" s="571" t="s">
        <v>1221</v>
      </c>
      <c r="C6" s="571" t="s">
        <v>1037</v>
      </c>
      <c r="D6" s="572" t="s">
        <v>1038</v>
      </c>
      <c r="E6" s="572" t="s">
        <v>1039</v>
      </c>
      <c r="F6" s="997" t="s">
        <v>306</v>
      </c>
    </row>
    <row r="7" spans="1:6" s="1002" customFormat="1" ht="9.75" customHeight="1" thickBot="1">
      <c r="A7" s="998">
        <v>1</v>
      </c>
      <c r="B7" s="999">
        <v>2</v>
      </c>
      <c r="C7" s="999">
        <v>3</v>
      </c>
      <c r="D7" s="1000">
        <v>4</v>
      </c>
      <c r="E7" s="1000">
        <v>5</v>
      </c>
      <c r="F7" s="1001">
        <v>6</v>
      </c>
    </row>
    <row r="8" spans="1:6" s="567" customFormat="1" ht="27" customHeight="1">
      <c r="A8" s="1003" t="s">
        <v>307</v>
      </c>
      <c r="B8" s="1004"/>
      <c r="C8" s="1005" t="s">
        <v>683</v>
      </c>
      <c r="D8" s="1006">
        <v>1644486</v>
      </c>
      <c r="E8" s="1006">
        <v>1644485.83</v>
      </c>
      <c r="F8" s="1007" t="s">
        <v>1307</v>
      </c>
    </row>
    <row r="9" spans="1:6" s="567" customFormat="1" ht="24" customHeight="1">
      <c r="A9" s="1008" t="s">
        <v>312</v>
      </c>
      <c r="B9" s="1009"/>
      <c r="C9" s="1009" t="s">
        <v>1290</v>
      </c>
      <c r="D9" s="1010">
        <f>SUM(D10,D11,D12)</f>
        <v>2316000</v>
      </c>
      <c r="E9" s="1010">
        <f>SUM(E10,E11,E12)</f>
        <v>525462.9299999999</v>
      </c>
      <c r="F9" s="1011">
        <f aca="true" t="shared" si="0" ref="F9:F14">E9/D9*100</f>
        <v>22.68838212435233</v>
      </c>
    </row>
    <row r="10" spans="1:6" ht="18" customHeight="1">
      <c r="A10" s="1012" t="s">
        <v>1302</v>
      </c>
      <c r="B10" s="1013" t="s">
        <v>182</v>
      </c>
      <c r="C10" s="1014" t="s">
        <v>1225</v>
      </c>
      <c r="D10" s="1015">
        <v>2300000</v>
      </c>
      <c r="E10" s="1015">
        <v>505088.22</v>
      </c>
      <c r="F10" s="1016">
        <f t="shared" si="0"/>
        <v>21.960357391304345</v>
      </c>
    </row>
    <row r="11" spans="1:6" ht="18" customHeight="1">
      <c r="A11" s="1012" t="s">
        <v>1303</v>
      </c>
      <c r="B11" s="1013" t="s">
        <v>179</v>
      </c>
      <c r="C11" s="1014" t="s">
        <v>1229</v>
      </c>
      <c r="D11" s="1015">
        <v>15000</v>
      </c>
      <c r="E11" s="1015">
        <v>20374.71</v>
      </c>
      <c r="F11" s="1016">
        <f t="shared" si="0"/>
        <v>135.8314</v>
      </c>
    </row>
    <row r="12" spans="1:6" ht="20.25" customHeight="1" thickBot="1">
      <c r="A12" s="1012" t="s">
        <v>75</v>
      </c>
      <c r="B12" s="1013" t="s">
        <v>419</v>
      </c>
      <c r="C12" s="1014" t="s">
        <v>420</v>
      </c>
      <c r="D12" s="1015">
        <v>1000</v>
      </c>
      <c r="E12" s="1015">
        <v>0</v>
      </c>
      <c r="F12" s="1016">
        <f t="shared" si="0"/>
        <v>0</v>
      </c>
    </row>
    <row r="13" spans="1:6" s="567" customFormat="1" ht="23.25" customHeight="1" thickBot="1">
      <c r="A13" s="1526" t="s">
        <v>317</v>
      </c>
      <c r="B13" s="1527"/>
      <c r="C13" s="1527"/>
      <c r="D13" s="1017">
        <f>D9+D8</f>
        <v>3960486</v>
      </c>
      <c r="E13" s="1017">
        <f>E9+E8</f>
        <v>2169948.76</v>
      </c>
      <c r="F13" s="1018">
        <f t="shared" si="0"/>
        <v>54.78996163602143</v>
      </c>
    </row>
    <row r="14" spans="1:6" s="567" customFormat="1" ht="22.5" customHeight="1">
      <c r="A14" s="1008" t="s">
        <v>318</v>
      </c>
      <c r="B14" s="1009"/>
      <c r="C14" s="1009" t="s">
        <v>319</v>
      </c>
      <c r="D14" s="1010">
        <f>SUM(D15,D16,D17,D18,D19,D20,D21)</f>
        <v>3813200</v>
      </c>
      <c r="E14" s="1010">
        <f>SUM(E15,E16,E17,E18,E19,E20,E21)</f>
        <v>1617360.32</v>
      </c>
      <c r="F14" s="1011">
        <f t="shared" si="0"/>
        <v>42.41477813909577</v>
      </c>
    </row>
    <row r="15" spans="1:6" ht="37.5" customHeight="1">
      <c r="A15" s="1012" t="s">
        <v>1302</v>
      </c>
      <c r="B15" s="1025">
        <v>2440</v>
      </c>
      <c r="C15" s="850" t="s">
        <v>431</v>
      </c>
      <c r="D15" s="1015">
        <v>20000</v>
      </c>
      <c r="E15" s="1015">
        <v>5440</v>
      </c>
      <c r="F15" s="1016">
        <f aca="true" t="shared" si="1" ref="F15:F21">E15/D15*100</f>
        <v>27.200000000000003</v>
      </c>
    </row>
    <row r="16" spans="1:6" ht="45" customHeight="1">
      <c r="A16" s="1012" t="s">
        <v>1303</v>
      </c>
      <c r="B16" s="1051">
        <v>2450</v>
      </c>
      <c r="C16" s="850" t="s">
        <v>432</v>
      </c>
      <c r="D16" s="1015">
        <v>40000</v>
      </c>
      <c r="E16" s="1015">
        <v>30000</v>
      </c>
      <c r="F16" s="1016">
        <f t="shared" si="1"/>
        <v>75</v>
      </c>
    </row>
    <row r="17" spans="1:6" ht="18" customHeight="1">
      <c r="A17" s="1012" t="s">
        <v>75</v>
      </c>
      <c r="B17" s="1025">
        <v>4210</v>
      </c>
      <c r="C17" s="1014" t="s">
        <v>331</v>
      </c>
      <c r="D17" s="1015">
        <v>35000</v>
      </c>
      <c r="E17" s="1015">
        <v>11205.69</v>
      </c>
      <c r="F17" s="1016">
        <f t="shared" si="1"/>
        <v>32.01625714285715</v>
      </c>
    </row>
    <row r="18" spans="1:6" ht="18" customHeight="1">
      <c r="A18" s="1012" t="s">
        <v>83</v>
      </c>
      <c r="B18" s="1025">
        <v>4240</v>
      </c>
      <c r="C18" s="1014" t="s">
        <v>397</v>
      </c>
      <c r="D18" s="1015">
        <v>1000</v>
      </c>
      <c r="E18" s="1015">
        <v>657</v>
      </c>
      <c r="F18" s="1016">
        <f t="shared" si="1"/>
        <v>65.7</v>
      </c>
    </row>
    <row r="19" spans="1:6" ht="18" customHeight="1">
      <c r="A19" s="1012" t="s">
        <v>84</v>
      </c>
      <c r="B19" s="1025">
        <v>4300</v>
      </c>
      <c r="C19" s="1014" t="s">
        <v>361</v>
      </c>
      <c r="D19" s="1015">
        <v>641000</v>
      </c>
      <c r="E19" s="1015">
        <v>125799.94</v>
      </c>
      <c r="F19" s="1016">
        <f t="shared" si="1"/>
        <v>19.62557566302652</v>
      </c>
    </row>
    <row r="20" spans="1:6" ht="18" customHeight="1">
      <c r="A20" s="1012" t="s">
        <v>85</v>
      </c>
      <c r="B20" s="1025">
        <v>4390</v>
      </c>
      <c r="C20" s="1014" t="s">
        <v>402</v>
      </c>
      <c r="D20" s="1015">
        <v>112200</v>
      </c>
      <c r="E20" s="1015">
        <v>6356.2</v>
      </c>
      <c r="F20" s="1016">
        <f t="shared" si="1"/>
        <v>5.6650623885918</v>
      </c>
    </row>
    <row r="21" spans="1:6" ht="18" customHeight="1">
      <c r="A21" s="70" t="s">
        <v>133</v>
      </c>
      <c r="B21" s="601">
        <v>6110</v>
      </c>
      <c r="C21" s="602" t="s">
        <v>433</v>
      </c>
      <c r="D21" s="603">
        <v>2964000</v>
      </c>
      <c r="E21" s="603">
        <v>1437901.49</v>
      </c>
      <c r="F21" s="607">
        <f t="shared" si="1"/>
        <v>48.51219601889339</v>
      </c>
    </row>
    <row r="22" spans="1:6" s="567" customFormat="1" ht="28.5" customHeight="1">
      <c r="A22" s="1035" t="s">
        <v>380</v>
      </c>
      <c r="B22" s="1036"/>
      <c r="C22" s="1037" t="s">
        <v>684</v>
      </c>
      <c r="D22" s="1038">
        <f>SUM(D8+D9-D14)</f>
        <v>147286</v>
      </c>
      <c r="E22" s="1038">
        <f>SUM(E8+E9-E14)</f>
        <v>552588.4399999997</v>
      </c>
      <c r="F22" s="1039" t="s">
        <v>1307</v>
      </c>
    </row>
    <row r="23" spans="1:6" ht="29.25" customHeight="1" hidden="1">
      <c r="A23" s="1052" t="s">
        <v>1302</v>
      </c>
      <c r="B23" s="1053"/>
      <c r="C23" s="869" t="s">
        <v>308</v>
      </c>
      <c r="D23" s="1054"/>
      <c r="E23" s="1054">
        <v>66440</v>
      </c>
      <c r="F23" s="1055"/>
    </row>
    <row r="24" spans="1:6" ht="29.25" customHeight="1" hidden="1">
      <c r="A24" s="1056" t="s">
        <v>1303</v>
      </c>
      <c r="B24" s="1057"/>
      <c r="C24" s="1029" t="s">
        <v>309</v>
      </c>
      <c r="D24" s="1026"/>
      <c r="E24" s="1026">
        <v>2057626</v>
      </c>
      <c r="F24" s="1058"/>
    </row>
    <row r="25" spans="1:6" ht="29.25" customHeight="1" hidden="1">
      <c r="A25" s="1012" t="s">
        <v>75</v>
      </c>
      <c r="B25" s="595"/>
      <c r="C25" s="1029" t="s">
        <v>310</v>
      </c>
      <c r="D25" s="1026"/>
      <c r="E25" s="1026"/>
      <c r="F25" s="1059"/>
    </row>
    <row r="26" spans="1:6" ht="29.25" customHeight="1" hidden="1">
      <c r="A26" s="1060" t="s">
        <v>75</v>
      </c>
      <c r="B26" s="1061"/>
      <c r="C26" s="834" t="s">
        <v>311</v>
      </c>
      <c r="D26" s="604"/>
      <c r="E26" s="604">
        <v>97</v>
      </c>
      <c r="F26" s="1062"/>
    </row>
    <row r="27" spans="1:6" ht="25.5" customHeight="1" thickBot="1">
      <c r="A27" s="1529" t="s">
        <v>381</v>
      </c>
      <c r="B27" s="1530"/>
      <c r="C27" s="1530"/>
      <c r="D27" s="1049">
        <f>D22+D14</f>
        <v>3960486</v>
      </c>
      <c r="E27" s="1049">
        <f>E22+E14</f>
        <v>2169948.76</v>
      </c>
      <c r="F27" s="1050">
        <f>E27/D27*100</f>
        <v>54.78996163602143</v>
      </c>
    </row>
    <row r="28" spans="4:5" ht="12.75">
      <c r="D28" s="75"/>
      <c r="E28" s="75"/>
    </row>
  </sheetData>
  <sheetProtection password="CF93" sheet="1" objects="1" scenarios="1" selectLockedCells="1" selectUnlockedCells="1"/>
  <mergeCells count="5">
    <mergeCell ref="A13:C13"/>
    <mergeCell ref="A27:C27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3">
    <tabColor indexed="42"/>
  </sheetPr>
  <dimension ref="A1:F22"/>
  <sheetViews>
    <sheetView view="pageBreakPreview" zoomScaleSheetLayoutView="100" workbookViewId="0" topLeftCell="A4">
      <selection activeCell="A22" sqref="A22:IV22"/>
    </sheetView>
  </sheetViews>
  <sheetFormatPr defaultColWidth="9.00390625" defaultRowHeight="12.75"/>
  <cols>
    <col min="1" max="1" width="3.625" style="1063" customWidth="1"/>
    <col min="2" max="2" width="4.375" style="1063" customWidth="1"/>
    <col min="3" max="3" width="51.875" style="1063" customWidth="1"/>
    <col min="4" max="5" width="10.75390625" style="1063" customWidth="1"/>
    <col min="6" max="6" width="5.25390625" style="1063" customWidth="1"/>
    <col min="7" max="16384" width="9.125" style="1063" customWidth="1"/>
  </cols>
  <sheetData>
    <row r="1" spans="5:6" ht="12.75">
      <c r="E1" s="1413" t="s">
        <v>462</v>
      </c>
      <c r="F1" s="1413"/>
    </row>
    <row r="2" ht="33.75" customHeight="1"/>
    <row r="3" spans="1:6" ht="12.75">
      <c r="A3" s="1374" t="s">
        <v>475</v>
      </c>
      <c r="B3" s="1374"/>
      <c r="C3" s="1374"/>
      <c r="D3" s="1374"/>
      <c r="E3" s="1374"/>
      <c r="F3" s="1374"/>
    </row>
    <row r="4" spans="1:6" ht="12.75">
      <c r="A4" s="20"/>
      <c r="B4" s="20"/>
      <c r="C4" s="20"/>
      <c r="D4" s="20"/>
      <c r="E4" s="20"/>
      <c r="F4" s="20"/>
    </row>
    <row r="5" spans="1:6" ht="27" customHeight="1" thickBot="1">
      <c r="A5" s="1528" t="s">
        <v>548</v>
      </c>
      <c r="B5" s="1528"/>
      <c r="C5" s="1528"/>
      <c r="F5" s="1064" t="s">
        <v>1035</v>
      </c>
    </row>
    <row r="6" spans="1:6" s="1046" customFormat="1" ht="18.75" customHeight="1">
      <c r="A6" s="1065" t="s">
        <v>1299</v>
      </c>
      <c r="B6" s="1066" t="s">
        <v>1221</v>
      </c>
      <c r="C6" s="1066" t="s">
        <v>1037</v>
      </c>
      <c r="D6" s="1067" t="s">
        <v>1038</v>
      </c>
      <c r="E6" s="1067" t="s">
        <v>1039</v>
      </c>
      <c r="F6" s="1068" t="s">
        <v>306</v>
      </c>
    </row>
    <row r="7" spans="1:6" s="1073" customFormat="1" ht="9.75" customHeight="1" thickBot="1">
      <c r="A7" s="1069">
        <v>1</v>
      </c>
      <c r="B7" s="1070">
        <v>2</v>
      </c>
      <c r="C7" s="1070">
        <v>3</v>
      </c>
      <c r="D7" s="1071">
        <v>4</v>
      </c>
      <c r="E7" s="1071">
        <v>5</v>
      </c>
      <c r="F7" s="1072">
        <v>6</v>
      </c>
    </row>
    <row r="8" spans="1:6" s="1079" customFormat="1" ht="29.25" customHeight="1">
      <c r="A8" s="1074" t="s">
        <v>307</v>
      </c>
      <c r="B8" s="1075"/>
      <c r="C8" s="1076" t="s">
        <v>683</v>
      </c>
      <c r="D8" s="1077">
        <v>300</v>
      </c>
      <c r="E8" s="1077">
        <v>34714.31</v>
      </c>
      <c r="F8" s="1078" t="s">
        <v>1307</v>
      </c>
    </row>
    <row r="9" spans="1:6" s="1079" customFormat="1" ht="22.5" customHeight="1">
      <c r="A9" s="1080" t="s">
        <v>312</v>
      </c>
      <c r="B9" s="1081"/>
      <c r="C9" s="1081" t="s">
        <v>1290</v>
      </c>
      <c r="D9" s="1082">
        <f>SUM(D10,D11,D12)</f>
        <v>201000</v>
      </c>
      <c r="E9" s="1082">
        <f>SUM(E10,E11,E12)</f>
        <v>128085.41</v>
      </c>
      <c r="F9" s="1083">
        <f aca="true" t="shared" si="0" ref="F9:F18">E9/D9*100</f>
        <v>63.724084577114425</v>
      </c>
    </row>
    <row r="10" spans="1:6" ht="21" customHeight="1">
      <c r="A10" s="1084" t="s">
        <v>1302</v>
      </c>
      <c r="B10" s="1085" t="s">
        <v>182</v>
      </c>
      <c r="C10" s="1086" t="s">
        <v>1225</v>
      </c>
      <c r="D10" s="1087">
        <v>200000</v>
      </c>
      <c r="E10" s="1087">
        <v>124558.77</v>
      </c>
      <c r="F10" s="1088">
        <f t="shared" si="0"/>
        <v>62.279385</v>
      </c>
    </row>
    <row r="11" spans="1:6" ht="21" customHeight="1">
      <c r="A11" s="1084" t="s">
        <v>1303</v>
      </c>
      <c r="B11" s="1013" t="s">
        <v>179</v>
      </c>
      <c r="C11" s="1014" t="s">
        <v>1229</v>
      </c>
      <c r="D11" s="1015">
        <v>1000</v>
      </c>
      <c r="E11" s="1015">
        <v>1189.76</v>
      </c>
      <c r="F11" s="1088">
        <f t="shared" si="0"/>
        <v>118.976</v>
      </c>
    </row>
    <row r="12" spans="1:6" ht="33" customHeight="1" thickBot="1">
      <c r="A12" s="1084" t="s">
        <v>75</v>
      </c>
      <c r="B12" s="1013" t="s">
        <v>95</v>
      </c>
      <c r="C12" s="1021" t="s">
        <v>698</v>
      </c>
      <c r="D12" s="1015">
        <v>0</v>
      </c>
      <c r="E12" s="1015">
        <v>2336.88</v>
      </c>
      <c r="F12" s="1089" t="s">
        <v>1274</v>
      </c>
    </row>
    <row r="13" spans="1:6" s="1079" customFormat="1" ht="22.5" customHeight="1" thickBot="1">
      <c r="A13" s="1532" t="s">
        <v>317</v>
      </c>
      <c r="B13" s="1533"/>
      <c r="C13" s="1533"/>
      <c r="D13" s="1090">
        <f>D9+D8</f>
        <v>201300</v>
      </c>
      <c r="E13" s="1090">
        <f>E9+E8</f>
        <v>162799.72</v>
      </c>
      <c r="F13" s="1091">
        <f t="shared" si="0"/>
        <v>80.8741778440139</v>
      </c>
    </row>
    <row r="14" spans="1:6" s="1079" customFormat="1" ht="24.75" customHeight="1">
      <c r="A14" s="1080" t="s">
        <v>318</v>
      </c>
      <c r="B14" s="1081"/>
      <c r="C14" s="1081" t="s">
        <v>319</v>
      </c>
      <c r="D14" s="1082">
        <f>SUM(D15,D16,D17,D18)</f>
        <v>200000</v>
      </c>
      <c r="E14" s="1082">
        <f>SUM(E15,E16,E17,E18)</f>
        <v>76846.25</v>
      </c>
      <c r="F14" s="1083">
        <f t="shared" si="0"/>
        <v>38.423125</v>
      </c>
    </row>
    <row r="15" spans="1:6" ht="33" customHeight="1">
      <c r="A15" s="1084" t="s">
        <v>1302</v>
      </c>
      <c r="B15" s="1092">
        <v>2440</v>
      </c>
      <c r="C15" s="1093" t="s">
        <v>431</v>
      </c>
      <c r="D15" s="1087">
        <v>52700</v>
      </c>
      <c r="E15" s="1087">
        <v>25561.43</v>
      </c>
      <c r="F15" s="1088">
        <f t="shared" si="0"/>
        <v>48.50366223908919</v>
      </c>
    </row>
    <row r="16" spans="1:6" ht="40.5" customHeight="1">
      <c r="A16" s="1084" t="s">
        <v>1303</v>
      </c>
      <c r="B16" s="1092">
        <v>2450</v>
      </c>
      <c r="C16" s="1093" t="s">
        <v>432</v>
      </c>
      <c r="D16" s="1087">
        <v>60000</v>
      </c>
      <c r="E16" s="1087">
        <v>24404</v>
      </c>
      <c r="F16" s="1088">
        <f t="shared" si="0"/>
        <v>40.67333333333333</v>
      </c>
    </row>
    <row r="17" spans="1:6" ht="24" customHeight="1" hidden="1">
      <c r="A17" s="1084" t="s">
        <v>75</v>
      </c>
      <c r="B17" s="1092">
        <v>4210</v>
      </c>
      <c r="C17" s="1014" t="s">
        <v>331</v>
      </c>
      <c r="D17" s="1087"/>
      <c r="E17" s="1087"/>
      <c r="F17" s="1088" t="e">
        <f t="shared" si="0"/>
        <v>#DIV/0!</v>
      </c>
    </row>
    <row r="18" spans="1:6" ht="23.25" customHeight="1">
      <c r="A18" s="1094" t="s">
        <v>75</v>
      </c>
      <c r="B18" s="1095">
        <v>4300</v>
      </c>
      <c r="C18" s="1096" t="s">
        <v>361</v>
      </c>
      <c r="D18" s="1097">
        <v>87300</v>
      </c>
      <c r="E18" s="1097">
        <v>26880.82</v>
      </c>
      <c r="F18" s="1098">
        <f t="shared" si="0"/>
        <v>30.791317296678123</v>
      </c>
    </row>
    <row r="19" spans="1:6" s="1079" customFormat="1" ht="28.5" customHeight="1">
      <c r="A19" s="1099" t="s">
        <v>380</v>
      </c>
      <c r="B19" s="1100"/>
      <c r="C19" s="1101" t="s">
        <v>684</v>
      </c>
      <c r="D19" s="1102">
        <f>SUM(D8+D9-D14)</f>
        <v>1300</v>
      </c>
      <c r="E19" s="1102">
        <f>SUM(E8+E9-E14)</f>
        <v>85953.47</v>
      </c>
      <c r="F19" s="1103" t="s">
        <v>1307</v>
      </c>
    </row>
    <row r="20" spans="1:6" ht="22.5" customHeight="1" thickBot="1">
      <c r="A20" s="1534" t="s">
        <v>381</v>
      </c>
      <c r="B20" s="1535"/>
      <c r="C20" s="1535"/>
      <c r="D20" s="1104">
        <f>D19+D14</f>
        <v>201300</v>
      </c>
      <c r="E20" s="1104">
        <f>E19+E14</f>
        <v>162799.72</v>
      </c>
      <c r="F20" s="1105">
        <f>E20/D20*100</f>
        <v>80.8741778440139</v>
      </c>
    </row>
    <row r="22" spans="3:5" ht="12.75">
      <c r="C22" s="1064"/>
      <c r="D22" s="1106"/>
      <c r="E22" s="1106"/>
    </row>
  </sheetData>
  <sheetProtection password="CF93" sheet="1" objects="1" scenarios="1" selectLockedCells="1" selectUnlockedCells="1"/>
  <mergeCells count="5">
    <mergeCell ref="A13:C13"/>
    <mergeCell ref="A20:C20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E36"/>
  <sheetViews>
    <sheetView view="pageBreakPreview" zoomScaleSheetLayoutView="100" workbookViewId="0" topLeftCell="A14">
      <selection activeCell="A29" sqref="A29:IV29"/>
    </sheetView>
  </sheetViews>
  <sheetFormatPr defaultColWidth="9.00390625" defaultRowHeight="15.75" customHeight="1"/>
  <cols>
    <col min="1" max="1" width="4.875" style="55" customWidth="1"/>
    <col min="2" max="2" width="53.75390625" style="56" customWidth="1"/>
    <col min="3" max="3" width="11.75390625" style="56" customWidth="1"/>
    <col min="4" max="4" width="11.125" style="56" customWidth="1"/>
    <col min="5" max="5" width="5.375" style="56" customWidth="1"/>
    <col min="6" max="16384" width="9.125" style="56" customWidth="1"/>
  </cols>
  <sheetData>
    <row r="1" spans="4:5" ht="15.75" customHeight="1">
      <c r="D1" s="1413" t="s">
        <v>461</v>
      </c>
      <c r="E1" s="1413"/>
    </row>
    <row r="3" spans="1:5" ht="15.75" customHeight="1">
      <c r="A3" s="1374" t="s">
        <v>1158</v>
      </c>
      <c r="B3" s="1374"/>
      <c r="C3" s="1374"/>
      <c r="D3" s="1374"/>
      <c r="E3" s="1374"/>
    </row>
    <row r="4" ht="17.25" customHeight="1"/>
    <row r="5" spans="1:5" ht="12.75" customHeight="1" thickBot="1">
      <c r="A5" s="1528" t="s">
        <v>549</v>
      </c>
      <c r="B5" s="1528"/>
      <c r="E5" s="57" t="s">
        <v>1035</v>
      </c>
    </row>
    <row r="6" spans="1:5" s="20" customFormat="1" ht="15.75" customHeight="1">
      <c r="A6" s="59" t="s">
        <v>1299</v>
      </c>
      <c r="B6" s="60" t="s">
        <v>1037</v>
      </c>
      <c r="C6" s="60" t="s">
        <v>1038</v>
      </c>
      <c r="D6" s="60" t="s">
        <v>1039</v>
      </c>
      <c r="E6" s="1107" t="s">
        <v>1040</v>
      </c>
    </row>
    <row r="7" spans="1:5" s="567" customFormat="1" ht="10.5" customHeight="1" thickBot="1">
      <c r="A7" s="1108">
        <v>1</v>
      </c>
      <c r="B7" s="1109">
        <v>2</v>
      </c>
      <c r="C7" s="1109">
        <v>3</v>
      </c>
      <c r="D7" s="1109">
        <v>4</v>
      </c>
      <c r="E7" s="1110">
        <v>5</v>
      </c>
    </row>
    <row r="8" spans="1:5" s="567" customFormat="1" ht="19.5" customHeight="1" thickBot="1">
      <c r="A8" s="1249" t="s">
        <v>307</v>
      </c>
      <c r="B8" s="1250" t="s">
        <v>1</v>
      </c>
      <c r="C8" s="1251">
        <v>60171.71</v>
      </c>
      <c r="D8" s="1251">
        <v>60171.71</v>
      </c>
      <c r="E8" s="1255" t="s">
        <v>1307</v>
      </c>
    </row>
    <row r="9" spans="1:5" ht="19.5" customHeight="1">
      <c r="A9" s="67" t="s">
        <v>312</v>
      </c>
      <c r="B9" s="1187" t="s">
        <v>1290</v>
      </c>
      <c r="C9" s="1181">
        <f>SUM(C10:C14)</f>
        <v>5179000</v>
      </c>
      <c r="D9" s="1181">
        <f>SUM(D10,D13,D14)</f>
        <v>1470617.5599999998</v>
      </c>
      <c r="E9" s="1044">
        <f>D9/C9*100</f>
        <v>28.39578219733539</v>
      </c>
    </row>
    <row r="10" spans="1:5" ht="19.5" customHeight="1">
      <c r="A10" s="1056" t="s">
        <v>1302</v>
      </c>
      <c r="B10" s="1029" t="s">
        <v>1308</v>
      </c>
      <c r="C10" s="1182">
        <f>SUM(C11,C12)</f>
        <v>2419000</v>
      </c>
      <c r="D10" s="1182">
        <f>SUM(D11,D12)</f>
        <v>1246591.88</v>
      </c>
      <c r="E10" s="1016">
        <f>D10/C10*100</f>
        <v>51.533355932203385</v>
      </c>
    </row>
    <row r="11" spans="1:5" s="86" customFormat="1" ht="19.5" customHeight="1">
      <c r="A11" s="1269" t="s">
        <v>1131</v>
      </c>
      <c r="B11" s="1310" t="s">
        <v>426</v>
      </c>
      <c r="C11" s="1270">
        <v>1329000</v>
      </c>
      <c r="D11" s="1270">
        <v>668000</v>
      </c>
      <c r="E11" s="1311">
        <f>D11/C11*100</f>
        <v>50.26335590669676</v>
      </c>
    </row>
    <row r="12" spans="1:5" s="86" customFormat="1" ht="19.5" customHeight="1">
      <c r="A12" s="1269" t="s">
        <v>1132</v>
      </c>
      <c r="B12" s="1310" t="s">
        <v>427</v>
      </c>
      <c r="C12" s="1270">
        <v>1090000</v>
      </c>
      <c r="D12" s="1270">
        <v>578591.88</v>
      </c>
      <c r="E12" s="1311">
        <f>D12/C12*100</f>
        <v>53.081823853211006</v>
      </c>
    </row>
    <row r="13" spans="1:5" ht="19.5" customHeight="1">
      <c r="A13" s="1056" t="s">
        <v>1303</v>
      </c>
      <c r="B13" s="1029" t="s">
        <v>860</v>
      </c>
      <c r="C13" s="1182">
        <v>341000</v>
      </c>
      <c r="D13" s="1182">
        <v>186437.52</v>
      </c>
      <c r="E13" s="1016">
        <f>D13/C13*100</f>
        <v>54.673759530791784</v>
      </c>
    </row>
    <row r="14" spans="1:5" ht="19.5" customHeight="1" thickBot="1">
      <c r="A14" s="1183" t="s">
        <v>75</v>
      </c>
      <c r="B14" s="1184" t="s">
        <v>104</v>
      </c>
      <c r="C14" s="1185">
        <v>0</v>
      </c>
      <c r="D14" s="1185">
        <v>37588.16</v>
      </c>
      <c r="E14" s="1276" t="s">
        <v>1274</v>
      </c>
    </row>
    <row r="15" spans="1:5" s="567" customFormat="1" ht="19.5" customHeight="1" thickBot="1">
      <c r="A15" s="1508" t="s">
        <v>317</v>
      </c>
      <c r="B15" s="1509"/>
      <c r="C15" s="1252">
        <f>SUM(C8,C9)</f>
        <v>5239171.71</v>
      </c>
      <c r="D15" s="995">
        <f>SUM(D8,D9)</f>
        <v>1530789.2699999998</v>
      </c>
      <c r="E15" s="631">
        <f aca="true" t="shared" si="0" ref="E15:E26">D15/C15*100</f>
        <v>29.21815421850336</v>
      </c>
    </row>
    <row r="16" spans="1:5" s="567" customFormat="1" ht="19.5" customHeight="1">
      <c r="A16" s="67" t="s">
        <v>318</v>
      </c>
      <c r="B16" s="1187" t="s">
        <v>679</v>
      </c>
      <c r="C16" s="1181">
        <f>SUM(C17,C18,C19,C20,C21,C22,C23,C24,C25,C26)</f>
        <v>2760000</v>
      </c>
      <c r="D16" s="1181">
        <f>SUM(D17,D18,D19,D20,D21,D22,D23,D24,D25,D26)</f>
        <v>1166554.18</v>
      </c>
      <c r="E16" s="1044">
        <f t="shared" si="0"/>
        <v>42.26645579710145</v>
      </c>
    </row>
    <row r="17" spans="1:5" ht="19.5" customHeight="1">
      <c r="A17" s="1056" t="s">
        <v>1302</v>
      </c>
      <c r="B17" s="1057" t="s">
        <v>321</v>
      </c>
      <c r="C17" s="1182">
        <v>945000</v>
      </c>
      <c r="D17" s="1182">
        <v>459866.05</v>
      </c>
      <c r="E17" s="1016">
        <f t="shared" si="0"/>
        <v>48.663074074074075</v>
      </c>
    </row>
    <row r="18" spans="1:5" ht="19.5" customHeight="1">
      <c r="A18" s="1056" t="s">
        <v>1303</v>
      </c>
      <c r="B18" s="1057" t="s">
        <v>799</v>
      </c>
      <c r="C18" s="1182">
        <v>192118</v>
      </c>
      <c r="D18" s="1182">
        <v>81956.55</v>
      </c>
      <c r="E18" s="1016">
        <f t="shared" si="0"/>
        <v>42.659485316316015</v>
      </c>
    </row>
    <row r="19" spans="1:5" ht="19.5" customHeight="1">
      <c r="A19" s="1056" t="s">
        <v>75</v>
      </c>
      <c r="B19" s="1057" t="s">
        <v>369</v>
      </c>
      <c r="C19" s="1182">
        <v>19000</v>
      </c>
      <c r="D19" s="1182">
        <v>21875.84</v>
      </c>
      <c r="E19" s="1016">
        <f t="shared" si="0"/>
        <v>115.136</v>
      </c>
    </row>
    <row r="20" spans="1:5" ht="19.5" customHeight="1">
      <c r="A20" s="1056" t="s">
        <v>83</v>
      </c>
      <c r="B20" s="1057" t="s">
        <v>331</v>
      </c>
      <c r="C20" s="1182">
        <v>52100</v>
      </c>
      <c r="D20" s="1182">
        <v>46495.98</v>
      </c>
      <c r="E20" s="1016">
        <f t="shared" si="0"/>
        <v>89.24372360844531</v>
      </c>
    </row>
    <row r="21" spans="1:5" ht="19.5" customHeight="1">
      <c r="A21" s="1056" t="s">
        <v>84</v>
      </c>
      <c r="B21" s="1057" t="s">
        <v>332</v>
      </c>
      <c r="C21" s="1182">
        <v>240000</v>
      </c>
      <c r="D21" s="1182">
        <v>161043.89</v>
      </c>
      <c r="E21" s="1016">
        <f t="shared" si="0"/>
        <v>67.10162083333334</v>
      </c>
    </row>
    <row r="22" spans="1:5" ht="19.5" customHeight="1">
      <c r="A22" s="1056" t="s">
        <v>85</v>
      </c>
      <c r="B22" s="1057" t="s">
        <v>1310</v>
      </c>
      <c r="C22" s="1182">
        <v>7000</v>
      </c>
      <c r="D22" s="1182">
        <v>98</v>
      </c>
      <c r="E22" s="1016">
        <f t="shared" si="0"/>
        <v>1.4000000000000001</v>
      </c>
    </row>
    <row r="23" spans="1:5" ht="19.5" customHeight="1">
      <c r="A23" s="1056" t="s">
        <v>133</v>
      </c>
      <c r="B23" s="1057" t="s">
        <v>861</v>
      </c>
      <c r="C23" s="1182">
        <v>161300</v>
      </c>
      <c r="D23" s="1182">
        <v>82861.48</v>
      </c>
      <c r="E23" s="1016">
        <f t="shared" si="0"/>
        <v>51.371035337879725</v>
      </c>
    </row>
    <row r="24" spans="1:5" ht="19.5" customHeight="1">
      <c r="A24" s="1056" t="s">
        <v>134</v>
      </c>
      <c r="B24" s="1057" t="s">
        <v>367</v>
      </c>
      <c r="C24" s="1182">
        <v>3000</v>
      </c>
      <c r="D24" s="1182">
        <v>2918.79</v>
      </c>
      <c r="E24" s="1016">
        <f t="shared" si="0"/>
        <v>97.29299999999999</v>
      </c>
    </row>
    <row r="25" spans="1:5" ht="19.5" customHeight="1">
      <c r="A25" s="1056" t="s">
        <v>86</v>
      </c>
      <c r="B25" s="1057" t="s">
        <v>368</v>
      </c>
      <c r="C25" s="1182">
        <v>50482</v>
      </c>
      <c r="D25" s="1182">
        <v>22119.58</v>
      </c>
      <c r="E25" s="1016">
        <f t="shared" si="0"/>
        <v>43.81676637217226</v>
      </c>
    </row>
    <row r="26" spans="1:5" ht="19.5" customHeight="1" thickBot="1">
      <c r="A26" s="1056" t="s">
        <v>88</v>
      </c>
      <c r="B26" s="1057" t="s">
        <v>1311</v>
      </c>
      <c r="C26" s="1182">
        <v>1090000</v>
      </c>
      <c r="D26" s="1182">
        <v>287318.02</v>
      </c>
      <c r="E26" s="1016">
        <f t="shared" si="0"/>
        <v>26.359451376146794</v>
      </c>
    </row>
    <row r="27" spans="1:5" s="567" customFormat="1" ht="19.5" customHeight="1" thickBot="1">
      <c r="A27" s="1253" t="s">
        <v>380</v>
      </c>
      <c r="B27" s="1194" t="s">
        <v>0</v>
      </c>
      <c r="C27" s="1254">
        <v>60171.71</v>
      </c>
      <c r="D27" s="1254">
        <v>364235.09</v>
      </c>
      <c r="E27" s="1255" t="s">
        <v>1307</v>
      </c>
    </row>
    <row r="28" spans="1:5" s="567" customFormat="1" ht="20.25" customHeight="1" thickBot="1">
      <c r="A28" s="1526" t="s">
        <v>381</v>
      </c>
      <c r="B28" s="1536"/>
      <c r="C28" s="1186">
        <f>SUM(C16,C27)</f>
        <v>2820171.71</v>
      </c>
      <c r="D28" s="1186">
        <f>SUM(D16,D27)</f>
        <v>1530789.27</v>
      </c>
      <c r="E28" s="1198">
        <f>D28/C28*100</f>
        <v>54.28000233361677</v>
      </c>
    </row>
    <row r="29" spans="2:4" ht="15.75" customHeight="1">
      <c r="B29" s="57"/>
      <c r="C29" s="1199"/>
      <c r="D29" s="1199"/>
    </row>
    <row r="30" spans="3:4" ht="15.75" customHeight="1">
      <c r="C30" s="57"/>
      <c r="D30" s="57"/>
    </row>
    <row r="31" spans="3:4" ht="15.75" customHeight="1">
      <c r="C31" s="57"/>
      <c r="D31" s="57"/>
    </row>
    <row r="32" spans="3:4" ht="15.75" customHeight="1">
      <c r="C32" s="57"/>
      <c r="D32" s="57"/>
    </row>
    <row r="33" spans="3:4" ht="15.75" customHeight="1">
      <c r="C33" s="57"/>
      <c r="D33" s="57"/>
    </row>
    <row r="34" spans="3:4" ht="15.75" customHeight="1">
      <c r="C34" s="57"/>
      <c r="D34" s="57"/>
    </row>
    <row r="35" spans="3:4" ht="15.75" customHeight="1">
      <c r="C35" s="57"/>
      <c r="D35" s="57"/>
    </row>
    <row r="36" spans="3:4" ht="15.75" customHeight="1">
      <c r="C36" s="57"/>
      <c r="D36" s="57"/>
    </row>
  </sheetData>
  <sheetProtection password="CF93" sheet="1" objects="1" scenarios="1" selectLockedCells="1" selectUnlockedCells="1"/>
  <mergeCells count="5">
    <mergeCell ref="A3:E3"/>
    <mergeCell ref="A15:B15"/>
    <mergeCell ref="A28:B28"/>
    <mergeCell ref="D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E34"/>
  <sheetViews>
    <sheetView view="pageBreakPreview" zoomScaleSheetLayoutView="100" workbookViewId="0" topLeftCell="A11">
      <selection activeCell="A34" sqref="A34:IV34"/>
    </sheetView>
  </sheetViews>
  <sheetFormatPr defaultColWidth="9.00390625" defaultRowHeight="12.75"/>
  <cols>
    <col min="1" max="1" width="4.875" style="55" customWidth="1"/>
    <col min="2" max="2" width="51.625" style="56" customWidth="1"/>
    <col min="3" max="3" width="12.625" style="1256" customWidth="1"/>
    <col min="4" max="4" width="11.625" style="1256" customWidth="1"/>
    <col min="5" max="5" width="6.375" style="1257" customWidth="1"/>
    <col min="6" max="16384" width="9.125" style="56" customWidth="1"/>
  </cols>
  <sheetData>
    <row r="1" spans="4:5" ht="12.75">
      <c r="D1" s="1413" t="s">
        <v>460</v>
      </c>
      <c r="E1" s="1413"/>
    </row>
    <row r="3" spans="1:5" ht="12.75">
      <c r="A3" s="1374" t="s">
        <v>68</v>
      </c>
      <c r="B3" s="1374"/>
      <c r="C3" s="1374"/>
      <c r="D3" s="1374"/>
      <c r="E3" s="1374"/>
    </row>
    <row r="5" spans="1:5" ht="13.5" thickBot="1">
      <c r="A5" s="1528" t="s">
        <v>271</v>
      </c>
      <c r="B5" s="1528"/>
      <c r="E5" s="1257" t="s">
        <v>1035</v>
      </c>
    </row>
    <row r="6" spans="1:5" s="1261" customFormat="1" ht="18" customHeight="1">
      <c r="A6" s="1258" t="s">
        <v>1299</v>
      </c>
      <c r="B6" s="1259" t="s">
        <v>1037</v>
      </c>
      <c r="C6" s="1260" t="s">
        <v>1038</v>
      </c>
      <c r="D6" s="1260" t="s">
        <v>1039</v>
      </c>
      <c r="E6" s="1107" t="s">
        <v>1040</v>
      </c>
    </row>
    <row r="7" spans="1:5" s="1261" customFormat="1" ht="10.5" customHeight="1" thickBot="1">
      <c r="A7" s="1262">
        <v>1</v>
      </c>
      <c r="B7" s="1263">
        <v>2</v>
      </c>
      <c r="C7" s="1264">
        <v>3</v>
      </c>
      <c r="D7" s="1264">
        <v>4</v>
      </c>
      <c r="E7" s="1265">
        <v>5</v>
      </c>
    </row>
    <row r="8" spans="1:5" s="1261" customFormat="1" ht="18" customHeight="1">
      <c r="A8" s="67" t="s">
        <v>307</v>
      </c>
      <c r="B8" s="1180" t="s">
        <v>1</v>
      </c>
      <c r="C8" s="1181">
        <v>0</v>
      </c>
      <c r="D8" s="1181">
        <v>-53822</v>
      </c>
      <c r="E8" s="1007" t="s">
        <v>1307</v>
      </c>
    </row>
    <row r="9" spans="1:5" s="618" customFormat="1" ht="18" customHeight="1">
      <c r="A9" s="1030" t="s">
        <v>312</v>
      </c>
      <c r="B9" s="1266" t="s">
        <v>1290</v>
      </c>
      <c r="C9" s="1267">
        <f>SUM(C10,C13)</f>
        <v>1245000</v>
      </c>
      <c r="D9" s="1267">
        <f>SUM(D10,D13)</f>
        <v>898722.42</v>
      </c>
      <c r="E9" s="1268">
        <f aca="true" t="shared" si="0" ref="E9:E30">D9/C9*100</f>
        <v>72.18653975903615</v>
      </c>
    </row>
    <row r="10" spans="1:5" s="595" customFormat="1" ht="18" customHeight="1">
      <c r="A10" s="1056" t="s">
        <v>1302</v>
      </c>
      <c r="B10" s="1029" t="s">
        <v>682</v>
      </c>
      <c r="C10" s="1182">
        <f>SUM(C11,C12)</f>
        <v>40000</v>
      </c>
      <c r="D10" s="1182">
        <f>SUM(D11,D12)</f>
        <v>19722.42</v>
      </c>
      <c r="E10" s="1089">
        <f t="shared" si="0"/>
        <v>49.30605</v>
      </c>
    </row>
    <row r="11" spans="1:5" s="1271" customFormat="1" ht="18" customHeight="1">
      <c r="A11" s="1269" t="s">
        <v>1131</v>
      </c>
      <c r="B11" s="1314" t="s">
        <v>36</v>
      </c>
      <c r="C11" s="1270">
        <v>20000</v>
      </c>
      <c r="D11" s="1270">
        <v>10890</v>
      </c>
      <c r="E11" s="1089">
        <f t="shared" si="0"/>
        <v>54.449999999999996</v>
      </c>
    </row>
    <row r="12" spans="1:5" s="1271" customFormat="1" ht="18" customHeight="1">
      <c r="A12" s="1269" t="s">
        <v>1132</v>
      </c>
      <c r="B12" s="1314" t="s">
        <v>87</v>
      </c>
      <c r="C12" s="1270">
        <v>20000</v>
      </c>
      <c r="D12" s="1270">
        <v>8832.42</v>
      </c>
      <c r="E12" s="1089">
        <f t="shared" si="0"/>
        <v>44.162099999999995</v>
      </c>
    </row>
    <row r="13" spans="1:5" s="595" customFormat="1" ht="18" customHeight="1">
      <c r="A13" s="1056" t="s">
        <v>1303</v>
      </c>
      <c r="B13" s="1057" t="s">
        <v>1308</v>
      </c>
      <c r="C13" s="1182">
        <f>SUM(C14,C15)</f>
        <v>1205000</v>
      </c>
      <c r="D13" s="1182">
        <f>SUM(D14,D15)</f>
        <v>879000</v>
      </c>
      <c r="E13" s="1089">
        <f t="shared" si="0"/>
        <v>72.9460580912863</v>
      </c>
    </row>
    <row r="14" spans="1:5" s="1271" customFormat="1" ht="18" customHeight="1">
      <c r="A14" s="1269" t="s">
        <v>1134</v>
      </c>
      <c r="B14" s="1314" t="s">
        <v>39</v>
      </c>
      <c r="C14" s="1270">
        <v>1156000</v>
      </c>
      <c r="D14" s="1270">
        <v>830000</v>
      </c>
      <c r="E14" s="1089">
        <f t="shared" si="0"/>
        <v>71.79930795847751</v>
      </c>
    </row>
    <row r="15" spans="1:5" s="1271" customFormat="1" ht="18" customHeight="1" thickBot="1">
      <c r="A15" s="1312" t="s">
        <v>1135</v>
      </c>
      <c r="B15" s="1315" t="s">
        <v>40</v>
      </c>
      <c r="C15" s="1313">
        <v>49000</v>
      </c>
      <c r="D15" s="1313">
        <v>49000</v>
      </c>
      <c r="E15" s="1273">
        <f t="shared" si="0"/>
        <v>100</v>
      </c>
    </row>
    <row r="16" spans="1:5" s="618" customFormat="1" ht="18" customHeight="1" thickBot="1">
      <c r="A16" s="1523" t="s">
        <v>317</v>
      </c>
      <c r="B16" s="1524"/>
      <c r="C16" s="1186">
        <f>SUM(C8,C9)</f>
        <v>1245000</v>
      </c>
      <c r="D16" s="1186">
        <f>SUM(D8,D9)</f>
        <v>844900.42</v>
      </c>
      <c r="E16" s="1272">
        <f t="shared" si="0"/>
        <v>67.8634875502008</v>
      </c>
    </row>
    <row r="17" spans="1:5" s="618" customFormat="1" ht="18" customHeight="1">
      <c r="A17" s="67" t="s">
        <v>318</v>
      </c>
      <c r="B17" s="1187" t="s">
        <v>679</v>
      </c>
      <c r="C17" s="1181">
        <f>SUM(C18,C19,C20,C21,C22,C25,C26,C27,C28,C29,C30,C31)</f>
        <v>1245000</v>
      </c>
      <c r="D17" s="1181">
        <f>SUM(D18,D19,D20,D21,D22,D25,D26,D27,D28,D29,D30,D31)</f>
        <v>638916.01</v>
      </c>
      <c r="E17" s="69">
        <f t="shared" si="0"/>
        <v>51.318555020080325</v>
      </c>
    </row>
    <row r="18" spans="1:5" s="595" customFormat="1" ht="18" customHeight="1">
      <c r="A18" s="1056" t="s">
        <v>1302</v>
      </c>
      <c r="B18" s="1029" t="s">
        <v>1153</v>
      </c>
      <c r="C18" s="1182">
        <v>77000</v>
      </c>
      <c r="D18" s="1182">
        <v>45321.25</v>
      </c>
      <c r="E18" s="1089">
        <f t="shared" si="0"/>
        <v>58.85876623376623</v>
      </c>
    </row>
    <row r="19" spans="1:5" ht="18" customHeight="1">
      <c r="A19" s="1056" t="s">
        <v>1303</v>
      </c>
      <c r="B19" s="1057" t="s">
        <v>792</v>
      </c>
      <c r="C19" s="1182">
        <v>75000</v>
      </c>
      <c r="D19" s="1182">
        <v>40975.99</v>
      </c>
      <c r="E19" s="1089">
        <f t="shared" si="0"/>
        <v>54.634653333333326</v>
      </c>
    </row>
    <row r="20" spans="1:5" ht="18" customHeight="1">
      <c r="A20" s="1056" t="s">
        <v>75</v>
      </c>
      <c r="B20" s="1057" t="s">
        <v>793</v>
      </c>
      <c r="C20" s="1182">
        <v>70000</v>
      </c>
      <c r="D20" s="1182">
        <v>37606.2</v>
      </c>
      <c r="E20" s="1089">
        <f t="shared" si="0"/>
        <v>53.72314285714286</v>
      </c>
    </row>
    <row r="21" spans="1:5" ht="18" customHeight="1">
      <c r="A21" s="1056" t="s">
        <v>83</v>
      </c>
      <c r="B21" s="1057" t="s">
        <v>1154</v>
      </c>
      <c r="C21" s="1182">
        <v>101000</v>
      </c>
      <c r="D21" s="1182">
        <v>71376.51</v>
      </c>
      <c r="E21" s="1089">
        <f t="shared" si="0"/>
        <v>70.66981188118811</v>
      </c>
    </row>
    <row r="22" spans="1:5" ht="18" customHeight="1">
      <c r="A22" s="1056" t="s">
        <v>84</v>
      </c>
      <c r="B22" s="1057" t="s">
        <v>1155</v>
      </c>
      <c r="C22" s="1182">
        <f>SUM(C23:C24)</f>
        <v>701000</v>
      </c>
      <c r="D22" s="1182">
        <f>SUM(D23:D24)</f>
        <v>333620.7</v>
      </c>
      <c r="E22" s="1089">
        <f t="shared" si="0"/>
        <v>47.59211126961484</v>
      </c>
    </row>
    <row r="23" spans="1:5" s="86" customFormat="1" ht="18" customHeight="1">
      <c r="A23" s="1269" t="s">
        <v>750</v>
      </c>
      <c r="B23" s="1314" t="s">
        <v>37</v>
      </c>
      <c r="C23" s="1270">
        <v>690000</v>
      </c>
      <c r="D23" s="1270">
        <v>330020.7</v>
      </c>
      <c r="E23" s="1273">
        <f t="shared" si="0"/>
        <v>47.82908695652174</v>
      </c>
    </row>
    <row r="24" spans="1:5" s="86" customFormat="1" ht="18" customHeight="1">
      <c r="A24" s="1269" t="s">
        <v>752</v>
      </c>
      <c r="B24" s="1314" t="s">
        <v>38</v>
      </c>
      <c r="C24" s="1270">
        <v>11000</v>
      </c>
      <c r="D24" s="1270">
        <v>3600</v>
      </c>
      <c r="E24" s="1273">
        <f t="shared" si="0"/>
        <v>32.72727272727273</v>
      </c>
    </row>
    <row r="25" spans="1:5" ht="18" customHeight="1">
      <c r="A25" s="1056" t="s">
        <v>85</v>
      </c>
      <c r="B25" s="1057" t="s">
        <v>799</v>
      </c>
      <c r="C25" s="1182">
        <v>127700</v>
      </c>
      <c r="D25" s="1182">
        <v>57186.38</v>
      </c>
      <c r="E25" s="1089">
        <f t="shared" si="0"/>
        <v>44.78181675802662</v>
      </c>
    </row>
    <row r="26" spans="1:5" ht="18" customHeight="1">
      <c r="A26" s="1056" t="s">
        <v>133</v>
      </c>
      <c r="B26" s="1057" t="s">
        <v>1156</v>
      </c>
      <c r="C26" s="1182">
        <v>2000</v>
      </c>
      <c r="D26" s="1182">
        <v>790.7</v>
      </c>
      <c r="E26" s="1089">
        <f t="shared" si="0"/>
        <v>39.535000000000004</v>
      </c>
    </row>
    <row r="27" spans="1:5" ht="18" customHeight="1">
      <c r="A27" s="1056" t="s">
        <v>134</v>
      </c>
      <c r="B27" s="1057" t="s">
        <v>1157</v>
      </c>
      <c r="C27" s="1182">
        <v>58500</v>
      </c>
      <c r="D27" s="1182">
        <v>30586.06</v>
      </c>
      <c r="E27" s="1089">
        <f t="shared" si="0"/>
        <v>52.28386324786325</v>
      </c>
    </row>
    <row r="28" spans="1:5" ht="18" customHeight="1">
      <c r="A28" s="1056" t="s">
        <v>86</v>
      </c>
      <c r="B28" s="1057" t="s">
        <v>368</v>
      </c>
      <c r="C28" s="1182">
        <v>9300</v>
      </c>
      <c r="D28" s="1182">
        <v>4635.72</v>
      </c>
      <c r="E28" s="1089">
        <f t="shared" si="0"/>
        <v>49.84645161290323</v>
      </c>
    </row>
    <row r="29" spans="1:5" ht="18" customHeight="1">
      <c r="A29" s="1056" t="s">
        <v>88</v>
      </c>
      <c r="B29" s="1057" t="s">
        <v>369</v>
      </c>
      <c r="C29" s="1182">
        <v>21000</v>
      </c>
      <c r="D29" s="1182">
        <v>16000</v>
      </c>
      <c r="E29" s="1089">
        <f t="shared" si="0"/>
        <v>76.19047619047619</v>
      </c>
    </row>
    <row r="30" spans="1:5" ht="14.25" customHeight="1">
      <c r="A30" s="1056" t="s">
        <v>135</v>
      </c>
      <c r="B30" s="1029" t="s">
        <v>575</v>
      </c>
      <c r="C30" s="1274">
        <v>2500</v>
      </c>
      <c r="D30" s="1182">
        <v>816.5</v>
      </c>
      <c r="E30" s="1089">
        <f t="shared" si="0"/>
        <v>32.66</v>
      </c>
    </row>
    <row r="31" spans="1:5" ht="2.25" customHeight="1" thickBot="1">
      <c r="A31" s="1188"/>
      <c r="B31" s="1275"/>
      <c r="C31" s="1185"/>
      <c r="D31" s="1185"/>
      <c r="E31" s="1276"/>
    </row>
    <row r="32" spans="1:5" s="618" customFormat="1" ht="18" customHeight="1" thickBot="1">
      <c r="A32" s="1035" t="s">
        <v>380</v>
      </c>
      <c r="B32" s="1277" t="s">
        <v>0</v>
      </c>
      <c r="C32" s="1278">
        <f>C8+C9-C17</f>
        <v>0</v>
      </c>
      <c r="D32" s="1278">
        <f>D8+D9-D17</f>
        <v>205984.41000000003</v>
      </c>
      <c r="E32" s="1039" t="s">
        <v>1307</v>
      </c>
    </row>
    <row r="33" spans="1:5" s="567" customFormat="1" ht="18" customHeight="1" thickBot="1">
      <c r="A33" s="1523" t="s">
        <v>381</v>
      </c>
      <c r="B33" s="1524"/>
      <c r="C33" s="1186">
        <f>C17+C32</f>
        <v>1245000</v>
      </c>
      <c r="D33" s="1186">
        <f>D17+D32</f>
        <v>844900.42</v>
      </c>
      <c r="E33" s="1272">
        <f>D33/C33*100</f>
        <v>67.8634875502008</v>
      </c>
    </row>
    <row r="34" ht="12.75">
      <c r="B34" s="57"/>
    </row>
  </sheetData>
  <sheetProtection password="CF93" sheet="1" objects="1" scenarios="1" selectLockedCells="1" selectUnlockedCells="1"/>
  <mergeCells count="5">
    <mergeCell ref="A3:E3"/>
    <mergeCell ref="A16:B16"/>
    <mergeCell ref="A33:B33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E42"/>
  <sheetViews>
    <sheetView view="pageBreakPreview" zoomScaleSheetLayoutView="100" workbookViewId="0" topLeftCell="A15">
      <selection activeCell="A35" sqref="A35:IV35"/>
    </sheetView>
  </sheetViews>
  <sheetFormatPr defaultColWidth="9.00390625" defaultRowHeight="15.75" customHeight="1"/>
  <cols>
    <col min="1" max="1" width="4.875" style="55" customWidth="1"/>
    <col min="2" max="2" width="54.25390625" style="56" customWidth="1"/>
    <col min="3" max="3" width="11.75390625" style="56" customWidth="1"/>
    <col min="4" max="4" width="10.875" style="56" customWidth="1"/>
    <col min="5" max="5" width="5.375" style="56" customWidth="1"/>
    <col min="6" max="16384" width="9.125" style="56" customWidth="1"/>
  </cols>
  <sheetData>
    <row r="1" spans="4:5" ht="15.75" customHeight="1">
      <c r="D1" s="1413" t="s">
        <v>459</v>
      </c>
      <c r="E1" s="1413"/>
    </row>
    <row r="3" spans="1:5" ht="15.75" customHeight="1">
      <c r="A3" s="1374" t="s">
        <v>680</v>
      </c>
      <c r="B3" s="1374"/>
      <c r="C3" s="1374"/>
      <c r="D3" s="1374"/>
      <c r="E3" s="1374"/>
    </row>
    <row r="4" ht="11.25" customHeight="1"/>
    <row r="5" spans="1:5" ht="15.75" customHeight="1" thickBot="1">
      <c r="A5" s="1528" t="s">
        <v>470</v>
      </c>
      <c r="B5" s="1528"/>
      <c r="E5" s="57" t="s">
        <v>1035</v>
      </c>
    </row>
    <row r="6" spans="1:5" s="20" customFormat="1" ht="18" customHeight="1">
      <c r="A6" s="59" t="s">
        <v>1299</v>
      </c>
      <c r="B6" s="60" t="s">
        <v>1037</v>
      </c>
      <c r="C6" s="60" t="s">
        <v>1038</v>
      </c>
      <c r="D6" s="60" t="s">
        <v>1039</v>
      </c>
      <c r="E6" s="1107" t="s">
        <v>1040</v>
      </c>
    </row>
    <row r="7" spans="1:5" s="567" customFormat="1" ht="10.5" customHeight="1" thickBot="1">
      <c r="A7" s="1108">
        <v>1</v>
      </c>
      <c r="B7" s="1109">
        <v>2</v>
      </c>
      <c r="C7" s="1109">
        <v>3</v>
      </c>
      <c r="D7" s="1109">
        <v>4</v>
      </c>
      <c r="E7" s="1110">
        <v>5</v>
      </c>
    </row>
    <row r="8" spans="1:5" s="567" customFormat="1" ht="19.5" customHeight="1" thickBot="1">
      <c r="A8" s="1189" t="s">
        <v>307</v>
      </c>
      <c r="B8" s="1180" t="s">
        <v>1</v>
      </c>
      <c r="C8" s="1190">
        <v>241281.47</v>
      </c>
      <c r="D8" s="1190">
        <v>241281.47</v>
      </c>
      <c r="E8" s="1196" t="s">
        <v>1307</v>
      </c>
    </row>
    <row r="9" spans="1:5" ht="19.5" customHeight="1">
      <c r="A9" s="67" t="s">
        <v>312</v>
      </c>
      <c r="B9" s="1187" t="s">
        <v>1290</v>
      </c>
      <c r="C9" s="1181">
        <f>SUM(C10:C14)</f>
        <v>604965</v>
      </c>
      <c r="D9" s="1181">
        <f>SUM(D10:D14)</f>
        <v>233463.86000000002</v>
      </c>
      <c r="E9" s="1044">
        <f aca="true" t="shared" si="0" ref="E9:E32">D9/C9*100</f>
        <v>38.591300323159196</v>
      </c>
    </row>
    <row r="10" spans="1:5" ht="19.5" customHeight="1">
      <c r="A10" s="1056" t="s">
        <v>1302</v>
      </c>
      <c r="B10" s="1029" t="s">
        <v>681</v>
      </c>
      <c r="C10" s="1182">
        <v>392465</v>
      </c>
      <c r="D10" s="1182">
        <v>200000</v>
      </c>
      <c r="E10" s="1016">
        <f t="shared" si="0"/>
        <v>50.959958212834266</v>
      </c>
    </row>
    <row r="11" spans="1:5" ht="19.5" customHeight="1">
      <c r="A11" s="1056" t="s">
        <v>1303</v>
      </c>
      <c r="B11" s="1057" t="s">
        <v>682</v>
      </c>
      <c r="C11" s="1182">
        <v>85000</v>
      </c>
      <c r="D11" s="1182">
        <v>29921.51</v>
      </c>
      <c r="E11" s="1016">
        <f t="shared" si="0"/>
        <v>35.20177647058823</v>
      </c>
    </row>
    <row r="12" spans="1:5" ht="19.5" customHeight="1">
      <c r="A12" s="1056" t="s">
        <v>75</v>
      </c>
      <c r="B12" s="1029" t="s">
        <v>800</v>
      </c>
      <c r="C12" s="1182">
        <v>18000</v>
      </c>
      <c r="D12" s="1182">
        <v>3542.35</v>
      </c>
      <c r="E12" s="1016">
        <f t="shared" si="0"/>
        <v>19.67972222222222</v>
      </c>
    </row>
    <row r="13" spans="1:5" ht="19.5" customHeight="1" hidden="1">
      <c r="A13" s="1056" t="s">
        <v>83</v>
      </c>
      <c r="B13" s="1057" t="s">
        <v>1033</v>
      </c>
      <c r="C13" s="1182">
        <v>0</v>
      </c>
      <c r="D13" s="1182">
        <v>0</v>
      </c>
      <c r="E13" s="1089" t="s">
        <v>1274</v>
      </c>
    </row>
    <row r="14" spans="1:5" ht="20.25" customHeight="1" thickBot="1">
      <c r="A14" s="1188" t="s">
        <v>83</v>
      </c>
      <c r="B14" s="1184" t="s">
        <v>468</v>
      </c>
      <c r="C14" s="1185">
        <v>109500</v>
      </c>
      <c r="D14" s="1185">
        <v>0</v>
      </c>
      <c r="E14" s="1191">
        <f t="shared" si="0"/>
        <v>0</v>
      </c>
    </row>
    <row r="15" spans="1:5" s="567" customFormat="1" ht="19.5" customHeight="1" thickBot="1">
      <c r="A15" s="1537" t="s">
        <v>317</v>
      </c>
      <c r="B15" s="1538"/>
      <c r="C15" s="1192">
        <f>SUM(C8,C9)</f>
        <v>846246.47</v>
      </c>
      <c r="D15" s="1192">
        <f>SUM(D8,D9)</f>
        <v>474745.33</v>
      </c>
      <c r="E15" s="1193">
        <f t="shared" si="0"/>
        <v>56.100125298011584</v>
      </c>
    </row>
    <row r="16" spans="1:5" s="567" customFormat="1" ht="19.5" customHeight="1">
      <c r="A16" s="67" t="s">
        <v>318</v>
      </c>
      <c r="B16" s="1187" t="s">
        <v>679</v>
      </c>
      <c r="C16" s="1181">
        <f>SUM(C17:C32)</f>
        <v>604965</v>
      </c>
      <c r="D16" s="1181">
        <f>SUM(D17:D32)</f>
        <v>229537.26</v>
      </c>
      <c r="E16" s="1044">
        <f t="shared" si="0"/>
        <v>37.94223798070963</v>
      </c>
    </row>
    <row r="17" spans="1:5" ht="19.5" customHeight="1">
      <c r="A17" s="1056" t="s">
        <v>1302</v>
      </c>
      <c r="B17" s="1057" t="s">
        <v>321</v>
      </c>
      <c r="C17" s="1182">
        <v>328428</v>
      </c>
      <c r="D17" s="1182">
        <v>140113.53</v>
      </c>
      <c r="E17" s="1016">
        <f t="shared" si="0"/>
        <v>42.66187109503453</v>
      </c>
    </row>
    <row r="18" spans="1:5" ht="19.5" customHeight="1">
      <c r="A18" s="1056" t="s">
        <v>1303</v>
      </c>
      <c r="B18" s="1057" t="s">
        <v>330</v>
      </c>
      <c r="C18" s="1182">
        <v>9200</v>
      </c>
      <c r="D18" s="1182">
        <v>3810</v>
      </c>
      <c r="E18" s="1016">
        <f t="shared" si="0"/>
        <v>41.41304347826087</v>
      </c>
    </row>
    <row r="19" spans="1:5" ht="19.5" customHeight="1">
      <c r="A19" s="1056" t="s">
        <v>75</v>
      </c>
      <c r="B19" s="1057" t="s">
        <v>109</v>
      </c>
      <c r="C19" s="1182">
        <v>770</v>
      </c>
      <c r="D19" s="1182">
        <v>475.54</v>
      </c>
      <c r="E19" s="1016">
        <f t="shared" si="0"/>
        <v>61.758441558441554</v>
      </c>
    </row>
    <row r="20" spans="1:5" ht="19.5" customHeight="1">
      <c r="A20" s="1056" t="s">
        <v>83</v>
      </c>
      <c r="B20" s="1057" t="s">
        <v>685</v>
      </c>
      <c r="C20" s="1182">
        <v>61091</v>
      </c>
      <c r="D20" s="1182">
        <v>24911.52</v>
      </c>
      <c r="E20" s="1016">
        <f t="shared" si="0"/>
        <v>40.77772503314727</v>
      </c>
    </row>
    <row r="21" spans="1:5" ht="19.5" customHeight="1">
      <c r="A21" s="1056" t="s">
        <v>84</v>
      </c>
      <c r="B21" s="1057" t="s">
        <v>331</v>
      </c>
      <c r="C21" s="1182">
        <v>25363</v>
      </c>
      <c r="D21" s="1182">
        <v>17858.29</v>
      </c>
      <c r="E21" s="1016">
        <f t="shared" si="0"/>
        <v>70.4107952529275</v>
      </c>
    </row>
    <row r="22" spans="1:5" ht="19.5" customHeight="1">
      <c r="A22" s="1056" t="s">
        <v>85</v>
      </c>
      <c r="B22" s="1057" t="s">
        <v>686</v>
      </c>
      <c r="C22" s="1182">
        <v>10000</v>
      </c>
      <c r="D22" s="1182">
        <v>13965.7</v>
      </c>
      <c r="E22" s="1016">
        <f t="shared" si="0"/>
        <v>139.657</v>
      </c>
    </row>
    <row r="23" spans="1:5" ht="19.5" customHeight="1">
      <c r="A23" s="1056" t="s">
        <v>133</v>
      </c>
      <c r="B23" s="1057" t="s">
        <v>333</v>
      </c>
      <c r="C23" s="1182">
        <v>109500</v>
      </c>
      <c r="D23" s="1182">
        <v>0</v>
      </c>
      <c r="E23" s="1016">
        <f t="shared" si="0"/>
        <v>0</v>
      </c>
    </row>
    <row r="24" spans="1:5" ht="19.5" customHeight="1">
      <c r="A24" s="1056" t="s">
        <v>134</v>
      </c>
      <c r="B24" s="1057" t="s">
        <v>332</v>
      </c>
      <c r="C24" s="1182">
        <v>26300</v>
      </c>
      <c r="D24" s="1182">
        <v>16202.72</v>
      </c>
      <c r="E24" s="1016">
        <f t="shared" si="0"/>
        <v>61.60730038022814</v>
      </c>
    </row>
    <row r="25" spans="1:5" ht="19.5" customHeight="1">
      <c r="A25" s="1056" t="s">
        <v>86</v>
      </c>
      <c r="B25" s="1057" t="s">
        <v>361</v>
      </c>
      <c r="C25" s="1182">
        <v>19200</v>
      </c>
      <c r="D25" s="1182">
        <v>8386.66</v>
      </c>
      <c r="E25" s="1016">
        <f t="shared" si="0"/>
        <v>43.68052083333333</v>
      </c>
    </row>
    <row r="26" spans="1:5" ht="19.5" customHeight="1">
      <c r="A26" s="1056" t="s">
        <v>88</v>
      </c>
      <c r="B26" s="1057" t="s">
        <v>687</v>
      </c>
      <c r="C26" s="1182">
        <v>1449</v>
      </c>
      <c r="D26" s="1182">
        <v>1409</v>
      </c>
      <c r="E26" s="1016">
        <f t="shared" si="0"/>
        <v>97.23947550034507</v>
      </c>
    </row>
    <row r="27" spans="1:5" ht="19.5" customHeight="1">
      <c r="A27" s="1056" t="s">
        <v>135</v>
      </c>
      <c r="B27" s="1057" t="s">
        <v>688</v>
      </c>
      <c r="C27" s="1182">
        <v>4000</v>
      </c>
      <c r="D27" s="1182">
        <v>2353.3</v>
      </c>
      <c r="E27" s="1016">
        <f t="shared" si="0"/>
        <v>58.83250000000001</v>
      </c>
    </row>
    <row r="28" spans="1:5" ht="19.5" customHeight="1">
      <c r="A28" s="1056" t="s">
        <v>89</v>
      </c>
      <c r="B28" s="1057" t="s">
        <v>1242</v>
      </c>
      <c r="C28" s="1182">
        <v>9613</v>
      </c>
      <c r="D28" s="1182">
        <v>0</v>
      </c>
      <c r="E28" s="1016">
        <f t="shared" si="0"/>
        <v>0</v>
      </c>
    </row>
    <row r="29" spans="1:5" ht="19.5" customHeight="1" hidden="1">
      <c r="A29" s="1056" t="s">
        <v>90</v>
      </c>
      <c r="B29" s="1057" t="s">
        <v>689</v>
      </c>
      <c r="C29" s="1182">
        <v>0</v>
      </c>
      <c r="D29" s="1182">
        <v>0</v>
      </c>
      <c r="E29" s="1016" t="e">
        <f t="shared" si="0"/>
        <v>#DIV/0!</v>
      </c>
    </row>
    <row r="30" spans="1:5" ht="19.5" customHeight="1" thickBot="1">
      <c r="A30" s="1056" t="s">
        <v>90</v>
      </c>
      <c r="B30" s="1057" t="s">
        <v>690</v>
      </c>
      <c r="C30" s="1182">
        <v>51</v>
      </c>
      <c r="D30" s="1182">
        <v>51</v>
      </c>
      <c r="E30" s="1016">
        <f t="shared" si="0"/>
        <v>100</v>
      </c>
    </row>
    <row r="31" spans="1:5" ht="19.5" customHeight="1" hidden="1">
      <c r="A31" s="1056" t="s">
        <v>91</v>
      </c>
      <c r="B31" s="1057" t="s">
        <v>691</v>
      </c>
      <c r="C31" s="1182">
        <v>0</v>
      </c>
      <c r="D31" s="1182">
        <v>0</v>
      </c>
      <c r="E31" s="1016" t="e">
        <f t="shared" si="0"/>
        <v>#DIV/0!</v>
      </c>
    </row>
    <row r="32" spans="1:5" ht="19.5" customHeight="1" hidden="1">
      <c r="A32" s="1056" t="s">
        <v>92</v>
      </c>
      <c r="B32" s="1057" t="s">
        <v>469</v>
      </c>
      <c r="C32" s="1182">
        <v>0</v>
      </c>
      <c r="D32" s="1182">
        <v>0</v>
      </c>
      <c r="E32" s="1016" t="e">
        <f t="shared" si="0"/>
        <v>#DIV/0!</v>
      </c>
    </row>
    <row r="33" spans="1:5" s="567" customFormat="1" ht="19.5" customHeight="1" thickBot="1">
      <c r="A33" s="1189" t="s">
        <v>380</v>
      </c>
      <c r="B33" s="1194" t="s">
        <v>0</v>
      </c>
      <c r="C33" s="1195">
        <f>C8+C9-C16</f>
        <v>241281.46999999997</v>
      </c>
      <c r="D33" s="1195">
        <f>D8+D9-D16</f>
        <v>245208.07</v>
      </c>
      <c r="E33" s="1196" t="s">
        <v>1307</v>
      </c>
    </row>
    <row r="34" spans="1:5" s="567" customFormat="1" ht="20.25" customHeight="1" thickBot="1">
      <c r="A34" s="1526" t="s">
        <v>381</v>
      </c>
      <c r="B34" s="1527"/>
      <c r="C34" s="1197">
        <f>SUM(C16,C33)</f>
        <v>846246.47</v>
      </c>
      <c r="D34" s="1197">
        <f>SUM(D16,D33)</f>
        <v>474745.33</v>
      </c>
      <c r="E34" s="1198">
        <f>D34/C34*100</f>
        <v>56.100125298011584</v>
      </c>
    </row>
    <row r="35" spans="2:4" ht="15.75" customHeight="1">
      <c r="B35" s="57"/>
      <c r="C35" s="1199"/>
      <c r="D35" s="1199"/>
    </row>
    <row r="36" spans="3:4" ht="15.75" customHeight="1">
      <c r="C36" s="57"/>
      <c r="D36" s="57"/>
    </row>
    <row r="37" spans="3:4" ht="15.75" customHeight="1">
      <c r="C37" s="57"/>
      <c r="D37" s="57"/>
    </row>
    <row r="38" spans="3:4" ht="15.75" customHeight="1">
      <c r="C38" s="57"/>
      <c r="D38" s="57"/>
    </row>
    <row r="39" spans="3:4" ht="15.75" customHeight="1">
      <c r="C39" s="57"/>
      <c r="D39" s="57"/>
    </row>
    <row r="40" spans="3:4" ht="15.75" customHeight="1">
      <c r="C40" s="57"/>
      <c r="D40" s="57"/>
    </row>
    <row r="41" spans="3:4" ht="15.75" customHeight="1">
      <c r="C41" s="57"/>
      <c r="D41" s="57"/>
    </row>
    <row r="42" spans="3:4" ht="15.75" customHeight="1">
      <c r="C42" s="57"/>
      <c r="D42" s="57"/>
    </row>
  </sheetData>
  <sheetProtection password="CF93" sheet="1" objects="1" scenarios="1" selectLockedCells="1" selectUnlockedCells="1"/>
  <mergeCells count="5">
    <mergeCell ref="A3:E3"/>
    <mergeCell ref="A15:B15"/>
    <mergeCell ref="A34:B34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E82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I82" sqref="I82"/>
    </sheetView>
  </sheetViews>
  <sheetFormatPr defaultColWidth="9.00390625" defaultRowHeight="12.75"/>
  <cols>
    <col min="1" max="1" width="6.375" style="1111" customWidth="1"/>
    <col min="2" max="2" width="40.625" style="1112" customWidth="1"/>
    <col min="3" max="3" width="16.00390625" style="1113" customWidth="1"/>
    <col min="4" max="4" width="15.125" style="1113" customWidth="1"/>
    <col min="5" max="5" width="7.375" style="1112" customWidth="1"/>
    <col min="6" max="16384" width="9.125" style="1112" customWidth="1"/>
  </cols>
  <sheetData>
    <row r="1" spans="4:5" ht="12.75">
      <c r="D1" s="1540" t="s">
        <v>458</v>
      </c>
      <c r="E1" s="1540"/>
    </row>
    <row r="2" ht="7.5" customHeight="1"/>
    <row r="3" spans="1:5" ht="24" customHeight="1">
      <c r="A3" s="1539" t="s">
        <v>3</v>
      </c>
      <c r="B3" s="1539"/>
      <c r="C3" s="1539"/>
      <c r="D3" s="1539"/>
      <c r="E3" s="1539"/>
    </row>
    <row r="4" spans="4:5" ht="13.5" thickBot="1">
      <c r="D4" s="1115"/>
      <c r="E4" s="1115" t="s">
        <v>1035</v>
      </c>
    </row>
    <row r="5" spans="1:5" s="1111" customFormat="1" ht="15.75" customHeight="1">
      <c r="A5" s="1116" t="s">
        <v>1299</v>
      </c>
      <c r="B5" s="1117" t="s">
        <v>1037</v>
      </c>
      <c r="C5" s="1118" t="s">
        <v>1038</v>
      </c>
      <c r="D5" s="1119" t="s">
        <v>1039</v>
      </c>
      <c r="E5" s="1120" t="s">
        <v>1040</v>
      </c>
    </row>
    <row r="6" spans="1:5" s="1126" customFormat="1" ht="9.75" customHeight="1" thickBot="1">
      <c r="A6" s="1121">
        <v>1</v>
      </c>
      <c r="B6" s="1122">
        <v>2</v>
      </c>
      <c r="C6" s="1123">
        <v>3</v>
      </c>
      <c r="D6" s="1124">
        <v>4</v>
      </c>
      <c r="E6" s="1125">
        <v>5</v>
      </c>
    </row>
    <row r="7" spans="1:5" s="1132" customFormat="1" ht="18.75" customHeight="1">
      <c r="A7" s="1127" t="s">
        <v>1302</v>
      </c>
      <c r="B7" s="1128" t="s">
        <v>653</v>
      </c>
      <c r="C7" s="1129">
        <v>145023</v>
      </c>
      <c r="D7" s="1130">
        <v>77109.78</v>
      </c>
      <c r="E7" s="1131">
        <f aca="true" t="shared" si="0" ref="E7:E48">D7/C7*100</f>
        <v>53.17072464367721</v>
      </c>
    </row>
    <row r="8" spans="1:5" s="1132" customFormat="1" ht="18.75" customHeight="1">
      <c r="A8" s="1133" t="s">
        <v>1303</v>
      </c>
      <c r="B8" s="1134" t="s">
        <v>654</v>
      </c>
      <c r="C8" s="1135">
        <f>SUM(C9,C10,C11,C12,C13,C14,C15,C16,C17,C18,C19,C20,C21,C22)</f>
        <v>1645500</v>
      </c>
      <c r="D8" s="1135">
        <f>SUM(D9,D10,D11,D12,D13,D14,D15,D16,D17,D18,D19,D20,D21,D22)</f>
        <v>1060672.6500000001</v>
      </c>
      <c r="E8" s="1136">
        <f t="shared" si="0"/>
        <v>64.45898814949864</v>
      </c>
    </row>
    <row r="9" spans="1:5" ht="15.75" customHeight="1">
      <c r="A9" s="1137" t="s">
        <v>1134</v>
      </c>
      <c r="B9" s="1138" t="s">
        <v>870</v>
      </c>
      <c r="C9" s="1139">
        <v>11000</v>
      </c>
      <c r="D9" s="1139">
        <v>5141.84</v>
      </c>
      <c r="E9" s="1140">
        <f t="shared" si="0"/>
        <v>46.744</v>
      </c>
    </row>
    <row r="10" spans="1:5" ht="15.75" customHeight="1">
      <c r="A10" s="1137" t="s">
        <v>1135</v>
      </c>
      <c r="B10" s="1138" t="s">
        <v>700</v>
      </c>
      <c r="C10" s="1139">
        <v>420000</v>
      </c>
      <c r="D10" s="1139">
        <v>272803.93</v>
      </c>
      <c r="E10" s="1140">
        <f t="shared" si="0"/>
        <v>64.95331666666667</v>
      </c>
    </row>
    <row r="11" spans="1:5" ht="15.75" customHeight="1">
      <c r="A11" s="1137" t="s">
        <v>1138</v>
      </c>
      <c r="B11" s="1138" t="s">
        <v>871</v>
      </c>
      <c r="C11" s="1139">
        <v>75000</v>
      </c>
      <c r="D11" s="1139">
        <v>48438.52</v>
      </c>
      <c r="E11" s="1140">
        <f t="shared" si="0"/>
        <v>64.58469333333333</v>
      </c>
    </row>
    <row r="12" spans="1:5" ht="15.75" customHeight="1">
      <c r="A12" s="1137" t="s">
        <v>1145</v>
      </c>
      <c r="B12" s="1138" t="s">
        <v>872</v>
      </c>
      <c r="C12" s="1139">
        <v>5000</v>
      </c>
      <c r="D12" s="1139">
        <v>1490.5</v>
      </c>
      <c r="E12" s="1140">
        <f t="shared" si="0"/>
        <v>29.81</v>
      </c>
    </row>
    <row r="13" spans="1:5" ht="15.75" customHeight="1">
      <c r="A13" s="1137" t="s">
        <v>1159</v>
      </c>
      <c r="B13" s="1138" t="s">
        <v>864</v>
      </c>
      <c r="C13" s="1139">
        <v>105000</v>
      </c>
      <c r="D13" s="1139">
        <v>104930.43</v>
      </c>
      <c r="E13" s="1140">
        <f t="shared" si="0"/>
        <v>99.93374285714285</v>
      </c>
    </row>
    <row r="14" spans="1:5" ht="15.75" customHeight="1">
      <c r="A14" s="1137" t="s">
        <v>659</v>
      </c>
      <c r="B14" s="1138" t="s">
        <v>660</v>
      </c>
      <c r="C14" s="1139">
        <v>60000</v>
      </c>
      <c r="D14" s="1139">
        <v>30383.02</v>
      </c>
      <c r="E14" s="1140">
        <f t="shared" si="0"/>
        <v>50.63836666666667</v>
      </c>
    </row>
    <row r="15" spans="1:5" ht="15.75" customHeight="1">
      <c r="A15" s="1137" t="s">
        <v>865</v>
      </c>
      <c r="B15" s="1138" t="s">
        <v>701</v>
      </c>
      <c r="C15" s="1139">
        <v>1000</v>
      </c>
      <c r="D15" s="1139">
        <v>434.43</v>
      </c>
      <c r="E15" s="1140">
        <f t="shared" si="0"/>
        <v>43.443</v>
      </c>
    </row>
    <row r="16" spans="1:5" ht="15.75" customHeight="1">
      <c r="A16" s="1137" t="s">
        <v>866</v>
      </c>
      <c r="B16" s="1138" t="s">
        <v>702</v>
      </c>
      <c r="C16" s="1139">
        <v>831000</v>
      </c>
      <c r="D16" s="1139">
        <v>531226.85</v>
      </c>
      <c r="E16" s="1140">
        <f t="shared" si="0"/>
        <v>63.92621540312876</v>
      </c>
    </row>
    <row r="17" spans="1:5" ht="15.75" customHeight="1">
      <c r="A17" s="1137" t="s">
        <v>867</v>
      </c>
      <c r="B17" s="1138" t="s">
        <v>863</v>
      </c>
      <c r="C17" s="1139">
        <v>20400</v>
      </c>
      <c r="D17" s="1139">
        <v>9398.15</v>
      </c>
      <c r="E17" s="1140">
        <f t="shared" si="0"/>
        <v>46.06936274509803</v>
      </c>
    </row>
    <row r="18" spans="1:5" ht="15.75" customHeight="1">
      <c r="A18" s="1137" t="s">
        <v>869</v>
      </c>
      <c r="B18" s="1138" t="s">
        <v>862</v>
      </c>
      <c r="C18" s="1139">
        <v>28000</v>
      </c>
      <c r="D18" s="1139">
        <v>11151.43</v>
      </c>
      <c r="E18" s="1140">
        <f t="shared" si="0"/>
        <v>39.82653571428572</v>
      </c>
    </row>
    <row r="19" spans="1:5" ht="15" customHeight="1">
      <c r="A19" s="1137" t="s">
        <v>705</v>
      </c>
      <c r="B19" s="1138" t="s">
        <v>868</v>
      </c>
      <c r="C19" s="1139">
        <v>29000</v>
      </c>
      <c r="D19" s="1139">
        <v>14335.3</v>
      </c>
      <c r="E19" s="1140">
        <f t="shared" si="0"/>
        <v>49.43206896551724</v>
      </c>
    </row>
    <row r="20" spans="1:5" ht="15" customHeight="1">
      <c r="A20" s="1137" t="s">
        <v>706</v>
      </c>
      <c r="B20" s="1138" t="s">
        <v>703</v>
      </c>
      <c r="C20" s="1139">
        <v>7500</v>
      </c>
      <c r="D20" s="1139">
        <v>3643.23</v>
      </c>
      <c r="E20" s="1140">
        <f t="shared" si="0"/>
        <v>48.5764</v>
      </c>
    </row>
    <row r="21" spans="1:5" ht="15" customHeight="1">
      <c r="A21" s="1137" t="s">
        <v>707</v>
      </c>
      <c r="B21" s="1138" t="s">
        <v>996</v>
      </c>
      <c r="C21" s="1139">
        <v>52000</v>
      </c>
      <c r="D21" s="1139">
        <v>26965.62</v>
      </c>
      <c r="E21" s="1140">
        <f t="shared" si="0"/>
        <v>51.85696153846153</v>
      </c>
    </row>
    <row r="22" spans="1:5" ht="15" customHeight="1">
      <c r="A22" s="1137" t="s">
        <v>708</v>
      </c>
      <c r="B22" s="1142" t="s">
        <v>704</v>
      </c>
      <c r="C22" s="1143">
        <v>600</v>
      </c>
      <c r="D22" s="1143">
        <v>329.4</v>
      </c>
      <c r="E22" s="1144">
        <f t="shared" si="0"/>
        <v>54.89999999999999</v>
      </c>
    </row>
    <row r="23" spans="1:5" s="1132" customFormat="1" ht="18.75" customHeight="1">
      <c r="A23" s="1145" t="s">
        <v>75</v>
      </c>
      <c r="B23" s="1146" t="s">
        <v>661</v>
      </c>
      <c r="C23" s="1147">
        <f>SUM(C24:C26)</f>
        <v>672000</v>
      </c>
      <c r="D23" s="1147">
        <f>SUM(D24:D26)</f>
        <v>281200.05</v>
      </c>
      <c r="E23" s="1148">
        <f t="shared" si="0"/>
        <v>41.845245535714284</v>
      </c>
    </row>
    <row r="24" spans="1:5" ht="15.75" customHeight="1">
      <c r="A24" s="1137" t="s">
        <v>662</v>
      </c>
      <c r="B24" s="1138" t="s">
        <v>663</v>
      </c>
      <c r="C24" s="1139">
        <v>376000</v>
      </c>
      <c r="D24" s="1139">
        <v>142435.88</v>
      </c>
      <c r="E24" s="1140">
        <f t="shared" si="0"/>
        <v>37.88188297872341</v>
      </c>
    </row>
    <row r="25" spans="1:5" ht="15.75" customHeight="1">
      <c r="A25" s="1137" t="s">
        <v>664</v>
      </c>
      <c r="B25" s="1138" t="s">
        <v>665</v>
      </c>
      <c r="C25" s="1139">
        <v>18000</v>
      </c>
      <c r="D25" s="1139">
        <v>8329.18</v>
      </c>
      <c r="E25" s="1140">
        <f t="shared" si="0"/>
        <v>46.27322222222222</v>
      </c>
    </row>
    <row r="26" spans="1:5" ht="15.75" customHeight="1">
      <c r="A26" s="1149" t="s">
        <v>666</v>
      </c>
      <c r="B26" s="1142" t="s">
        <v>895</v>
      </c>
      <c r="C26" s="1143">
        <v>278000</v>
      </c>
      <c r="D26" s="1143">
        <v>130434.99</v>
      </c>
      <c r="E26" s="1144">
        <f t="shared" si="0"/>
        <v>46.91906115107914</v>
      </c>
    </row>
    <row r="27" spans="1:5" s="1132" customFormat="1" ht="18.75" customHeight="1">
      <c r="A27" s="1133" t="s">
        <v>83</v>
      </c>
      <c r="B27" s="1134" t="s">
        <v>668</v>
      </c>
      <c r="C27" s="1135">
        <f>SUM(C28,C29,C30,C31,C32,C33,C34,C35,C36,C37,C38,C39,C40,C41,C42,C43,C44,C45,C46,C47,C48)</f>
        <v>6524500</v>
      </c>
      <c r="D27" s="1135">
        <f>SUM(D28,D29,D30,D31,D32,D33,D34,D35,D36,D37,D38,D39,D40,D41,D42,D43,D44,D45,D46,D47,D48)</f>
        <v>2989267.39</v>
      </c>
      <c r="E27" s="1136">
        <f t="shared" si="0"/>
        <v>45.81603785730707</v>
      </c>
    </row>
    <row r="28" spans="1:5" ht="15.75" customHeight="1">
      <c r="A28" s="1137" t="s">
        <v>669</v>
      </c>
      <c r="B28" s="1138" t="s">
        <v>713</v>
      </c>
      <c r="C28" s="1139">
        <v>214000</v>
      </c>
      <c r="D28" s="1139">
        <v>107315.21</v>
      </c>
      <c r="E28" s="1140">
        <f t="shared" si="0"/>
        <v>50.147294392523364</v>
      </c>
    </row>
    <row r="29" spans="1:5" ht="15.75" customHeight="1">
      <c r="A29" s="1137" t="s">
        <v>671</v>
      </c>
      <c r="B29" s="1138" t="s">
        <v>695</v>
      </c>
      <c r="C29" s="1139">
        <v>30000</v>
      </c>
      <c r="D29" s="1139">
        <v>14693</v>
      </c>
      <c r="E29" s="1140">
        <f t="shared" si="0"/>
        <v>48.97666666666667</v>
      </c>
    </row>
    <row r="30" spans="1:5" ht="15.75" customHeight="1">
      <c r="A30" s="1137" t="s">
        <v>673</v>
      </c>
      <c r="B30" s="1138" t="s">
        <v>897</v>
      </c>
      <c r="C30" s="1139">
        <v>54000</v>
      </c>
      <c r="D30" s="1139">
        <v>26236.76</v>
      </c>
      <c r="E30" s="1140">
        <f t="shared" si="0"/>
        <v>48.586592592592595</v>
      </c>
    </row>
    <row r="31" spans="1:5" ht="15.75" customHeight="1">
      <c r="A31" s="1137" t="s">
        <v>694</v>
      </c>
      <c r="B31" s="1138" t="s">
        <v>714</v>
      </c>
      <c r="C31" s="1139">
        <v>680000</v>
      </c>
      <c r="D31" s="1139">
        <v>337324.51</v>
      </c>
      <c r="E31" s="1140">
        <f t="shared" si="0"/>
        <v>49.60654558823529</v>
      </c>
    </row>
    <row r="32" spans="1:5" ht="15.75" customHeight="1">
      <c r="A32" s="1137" t="s">
        <v>696</v>
      </c>
      <c r="B32" s="1138" t="s">
        <v>898</v>
      </c>
      <c r="C32" s="1139">
        <v>36000</v>
      </c>
      <c r="D32" s="1139">
        <v>17781.9</v>
      </c>
      <c r="E32" s="1140">
        <f t="shared" si="0"/>
        <v>49.39416666666667</v>
      </c>
    </row>
    <row r="33" spans="1:5" ht="16.5" customHeight="1">
      <c r="A33" s="1137" t="s">
        <v>742</v>
      </c>
      <c r="B33" s="1138" t="s">
        <v>896</v>
      </c>
      <c r="C33" s="1139">
        <v>190000</v>
      </c>
      <c r="D33" s="1139">
        <v>92093.16</v>
      </c>
      <c r="E33" s="1140">
        <f t="shared" si="0"/>
        <v>48.470084210526316</v>
      </c>
    </row>
    <row r="34" spans="1:5" ht="15.75" customHeight="1">
      <c r="A34" s="1137" t="s">
        <v>743</v>
      </c>
      <c r="B34" s="1138" t="s">
        <v>715</v>
      </c>
      <c r="C34" s="1139">
        <v>118408</v>
      </c>
      <c r="D34" s="1139">
        <v>59204.57</v>
      </c>
      <c r="E34" s="1140">
        <f t="shared" si="0"/>
        <v>50.00048138639281</v>
      </c>
    </row>
    <row r="35" spans="1:5" ht="15.75" customHeight="1">
      <c r="A35" s="1137" t="s">
        <v>745</v>
      </c>
      <c r="B35" s="1138" t="s">
        <v>672</v>
      </c>
      <c r="C35" s="1139">
        <v>146000</v>
      </c>
      <c r="D35" s="1139">
        <v>72309.89</v>
      </c>
      <c r="E35" s="1140">
        <f t="shared" si="0"/>
        <v>49.52732191780822</v>
      </c>
    </row>
    <row r="36" spans="1:5" ht="15" customHeight="1">
      <c r="A36" s="1137" t="s">
        <v>747</v>
      </c>
      <c r="B36" s="1138" t="s">
        <v>716</v>
      </c>
      <c r="C36" s="1139">
        <v>59000</v>
      </c>
      <c r="D36" s="1139">
        <v>29734.09</v>
      </c>
      <c r="E36" s="1140">
        <f t="shared" si="0"/>
        <v>50.396762711864405</v>
      </c>
    </row>
    <row r="37" spans="1:5" ht="15" customHeight="1">
      <c r="A37" s="1137" t="s">
        <v>916</v>
      </c>
      <c r="B37" s="1138" t="s">
        <v>571</v>
      </c>
      <c r="C37" s="1139">
        <v>339000</v>
      </c>
      <c r="D37" s="1139">
        <v>157811.72</v>
      </c>
      <c r="E37" s="1140">
        <f t="shared" si="0"/>
        <v>46.552129793510325</v>
      </c>
    </row>
    <row r="38" spans="1:5" ht="15" customHeight="1">
      <c r="A38" s="1137" t="s">
        <v>389</v>
      </c>
      <c r="B38" s="1138" t="s">
        <v>67</v>
      </c>
      <c r="C38" s="1139">
        <v>9720</v>
      </c>
      <c r="D38" s="1139">
        <v>4860</v>
      </c>
      <c r="E38" s="1140">
        <f t="shared" si="0"/>
        <v>50</v>
      </c>
    </row>
    <row r="39" spans="1:5" ht="15" customHeight="1">
      <c r="A39" s="1137" t="s">
        <v>724</v>
      </c>
      <c r="B39" s="1138" t="s">
        <v>899</v>
      </c>
      <c r="C39" s="1139">
        <v>33600</v>
      </c>
      <c r="D39" s="1139">
        <v>14189.84</v>
      </c>
      <c r="E39" s="1140">
        <f t="shared" si="0"/>
        <v>42.23166666666667</v>
      </c>
    </row>
    <row r="40" spans="1:5" ht="15" customHeight="1">
      <c r="A40" s="1137" t="s">
        <v>725</v>
      </c>
      <c r="B40" s="1138" t="s">
        <v>900</v>
      </c>
      <c r="C40" s="1139">
        <v>64000</v>
      </c>
      <c r="D40" s="1139">
        <v>32018.9</v>
      </c>
      <c r="E40" s="1140">
        <f t="shared" si="0"/>
        <v>50.029531250000005</v>
      </c>
    </row>
    <row r="41" spans="1:5" ht="15" customHeight="1">
      <c r="A41" s="1137" t="s">
        <v>726</v>
      </c>
      <c r="B41" s="1138" t="s">
        <v>717</v>
      </c>
      <c r="C41" s="1139">
        <v>46000</v>
      </c>
      <c r="D41" s="1139">
        <v>22703.44</v>
      </c>
      <c r="E41" s="1140">
        <f t="shared" si="0"/>
        <v>49.355304347826085</v>
      </c>
    </row>
    <row r="42" spans="1:5" ht="15" customHeight="1">
      <c r="A42" s="1137" t="s">
        <v>727</v>
      </c>
      <c r="B42" s="1138" t="s">
        <v>901</v>
      </c>
      <c r="C42" s="1139">
        <v>26400</v>
      </c>
      <c r="D42" s="1139">
        <v>13200</v>
      </c>
      <c r="E42" s="1140">
        <f t="shared" si="0"/>
        <v>50</v>
      </c>
    </row>
    <row r="43" spans="1:5" ht="15" customHeight="1">
      <c r="A43" s="1137" t="s">
        <v>728</v>
      </c>
      <c r="B43" s="1138" t="s">
        <v>718</v>
      </c>
      <c r="C43" s="1139">
        <v>110000</v>
      </c>
      <c r="D43" s="1139">
        <v>54734.87</v>
      </c>
      <c r="E43" s="1140">
        <f t="shared" si="0"/>
        <v>49.758972727272734</v>
      </c>
    </row>
    <row r="44" spans="1:5" ht="15" customHeight="1">
      <c r="A44" s="1137" t="s">
        <v>729</v>
      </c>
      <c r="B44" s="1138" t="s">
        <v>719</v>
      </c>
      <c r="C44" s="1139">
        <v>501972</v>
      </c>
      <c r="D44" s="1139">
        <v>0</v>
      </c>
      <c r="E44" s="1140">
        <f t="shared" si="0"/>
        <v>0</v>
      </c>
    </row>
    <row r="45" spans="1:5" ht="15" customHeight="1">
      <c r="A45" s="1137" t="s">
        <v>730</v>
      </c>
      <c r="B45" s="1138" t="s">
        <v>720</v>
      </c>
      <c r="C45" s="1139">
        <v>97600</v>
      </c>
      <c r="D45" s="1139">
        <v>0</v>
      </c>
      <c r="E45" s="1140">
        <f t="shared" si="0"/>
        <v>0</v>
      </c>
    </row>
    <row r="46" spans="1:5" ht="15.75" customHeight="1">
      <c r="A46" s="1137" t="s">
        <v>731</v>
      </c>
      <c r="B46" s="1138" t="s">
        <v>709</v>
      </c>
      <c r="C46" s="1139">
        <v>2993200</v>
      </c>
      <c r="D46" s="1139">
        <v>1495099.14</v>
      </c>
      <c r="E46" s="1140">
        <f t="shared" si="0"/>
        <v>49.94985767740211</v>
      </c>
    </row>
    <row r="47" spans="1:5" ht="15.75" customHeight="1">
      <c r="A47" s="1137" t="s">
        <v>732</v>
      </c>
      <c r="B47" s="1138" t="s">
        <v>710</v>
      </c>
      <c r="C47" s="1139">
        <v>500800</v>
      </c>
      <c r="D47" s="1139">
        <v>300405.93</v>
      </c>
      <c r="E47" s="1140">
        <f t="shared" si="0"/>
        <v>59.98520966453674</v>
      </c>
    </row>
    <row r="48" spans="1:5" ht="24.75" customHeight="1">
      <c r="A48" s="1141" t="s">
        <v>733</v>
      </c>
      <c r="B48" s="1142" t="s">
        <v>712</v>
      </c>
      <c r="C48" s="1143">
        <v>274800</v>
      </c>
      <c r="D48" s="1143">
        <v>137550.46</v>
      </c>
      <c r="E48" s="1144">
        <f t="shared" si="0"/>
        <v>50.054752547307125</v>
      </c>
    </row>
    <row r="49" spans="1:5" s="1132" customFormat="1" ht="18.75" customHeight="1">
      <c r="A49" s="1133" t="s">
        <v>84</v>
      </c>
      <c r="B49" s="1134" t="s">
        <v>749</v>
      </c>
      <c r="C49" s="1135">
        <f>SUM(C50:C51)</f>
        <v>5386115</v>
      </c>
      <c r="D49" s="1135">
        <f>SUM(D50:D51)</f>
        <v>2698994.63</v>
      </c>
      <c r="E49" s="1136">
        <f aca="true" t="shared" si="1" ref="E49:E81">D49/C49*100</f>
        <v>50.11023028657947</v>
      </c>
    </row>
    <row r="50" spans="1:5" ht="15.75" customHeight="1">
      <c r="A50" s="1137" t="s">
        <v>750</v>
      </c>
      <c r="B50" s="1138" t="s">
        <v>721</v>
      </c>
      <c r="C50" s="1139">
        <v>5264350</v>
      </c>
      <c r="D50" s="1139">
        <v>2649728.63</v>
      </c>
      <c r="E50" s="1140">
        <f t="shared" si="1"/>
        <v>50.333443445059686</v>
      </c>
    </row>
    <row r="51" spans="1:5" ht="15.75" customHeight="1">
      <c r="A51" s="1141" t="s">
        <v>752</v>
      </c>
      <c r="B51" s="1142" t="s">
        <v>917</v>
      </c>
      <c r="C51" s="1143">
        <v>121765</v>
      </c>
      <c r="D51" s="1143">
        <v>49266</v>
      </c>
      <c r="E51" s="1144">
        <f t="shared" si="1"/>
        <v>40.459902270767465</v>
      </c>
    </row>
    <row r="52" spans="1:5" ht="18.75" customHeight="1">
      <c r="A52" s="1151" t="s">
        <v>85</v>
      </c>
      <c r="B52" s="1152" t="s">
        <v>753</v>
      </c>
      <c r="C52" s="1153">
        <v>927486</v>
      </c>
      <c r="D52" s="1153">
        <v>463743.17</v>
      </c>
      <c r="E52" s="1154">
        <f t="shared" si="1"/>
        <v>50.00001832911764</v>
      </c>
    </row>
    <row r="53" spans="1:5" ht="18.75" customHeight="1">
      <c r="A53" s="1133" t="s">
        <v>133</v>
      </c>
      <c r="B53" s="1134" t="s">
        <v>754</v>
      </c>
      <c r="C53" s="1135">
        <f>SUM(C54:C55)</f>
        <v>224000</v>
      </c>
      <c r="D53" s="1135">
        <f>SUM(D54:D55)</f>
        <v>199297.28</v>
      </c>
      <c r="E53" s="1136">
        <f t="shared" si="1"/>
        <v>88.972</v>
      </c>
    </row>
    <row r="54" spans="1:5" ht="15.75" customHeight="1">
      <c r="A54" s="1137" t="s">
        <v>918</v>
      </c>
      <c r="B54" s="1138" t="s">
        <v>471</v>
      </c>
      <c r="C54" s="1139">
        <v>169000</v>
      </c>
      <c r="D54" s="1139">
        <v>169916.84</v>
      </c>
      <c r="E54" s="1140">
        <f t="shared" si="1"/>
        <v>100.54250887573963</v>
      </c>
    </row>
    <row r="55" spans="1:5" ht="15.75" customHeight="1">
      <c r="A55" s="1141" t="s">
        <v>919</v>
      </c>
      <c r="B55" s="1142" t="s">
        <v>924</v>
      </c>
      <c r="C55" s="1143">
        <v>55000</v>
      </c>
      <c r="D55" s="1143">
        <v>29380.44</v>
      </c>
      <c r="E55" s="1144">
        <f t="shared" si="1"/>
        <v>53.41898181818182</v>
      </c>
    </row>
    <row r="56" spans="1:5" s="1132" customFormat="1" ht="18.75" customHeight="1">
      <c r="A56" s="1145" t="s">
        <v>134</v>
      </c>
      <c r="B56" s="1146" t="s">
        <v>755</v>
      </c>
      <c r="C56" s="1147">
        <f>SUM(C57:C59)</f>
        <v>139276</v>
      </c>
      <c r="D56" s="1147">
        <f>SUM(D57:D59)</f>
        <v>75466.35</v>
      </c>
      <c r="E56" s="1148">
        <f t="shared" si="1"/>
        <v>54.18474826962291</v>
      </c>
    </row>
    <row r="57" spans="1:5" ht="15.75" customHeight="1">
      <c r="A57" s="1137" t="s">
        <v>756</v>
      </c>
      <c r="B57" s="1138" t="s">
        <v>757</v>
      </c>
      <c r="C57" s="1139">
        <v>2376</v>
      </c>
      <c r="D57" s="1139">
        <v>2376</v>
      </c>
      <c r="E57" s="1140">
        <f t="shared" si="1"/>
        <v>100</v>
      </c>
    </row>
    <row r="58" spans="1:5" ht="26.25" customHeight="1">
      <c r="A58" s="1137" t="s">
        <v>925</v>
      </c>
      <c r="B58" s="1138" t="s">
        <v>1017</v>
      </c>
      <c r="C58" s="1139">
        <v>136000</v>
      </c>
      <c r="D58" s="1139">
        <v>73014</v>
      </c>
      <c r="E58" s="1140">
        <f t="shared" si="1"/>
        <v>53.686764705882354</v>
      </c>
    </row>
    <row r="59" spans="1:5" ht="15.75" customHeight="1">
      <c r="A59" s="1141" t="s">
        <v>926</v>
      </c>
      <c r="B59" s="1142" t="s">
        <v>927</v>
      </c>
      <c r="C59" s="1143">
        <v>900</v>
      </c>
      <c r="D59" s="1143">
        <v>76.35</v>
      </c>
      <c r="E59" s="1144">
        <f t="shared" si="1"/>
        <v>8.483333333333333</v>
      </c>
    </row>
    <row r="60" spans="1:5" s="1132" customFormat="1" ht="18.75" customHeight="1">
      <c r="A60" s="1151" t="s">
        <v>86</v>
      </c>
      <c r="B60" s="1152" t="s">
        <v>760</v>
      </c>
      <c r="C60" s="1153">
        <v>9500</v>
      </c>
      <c r="D60" s="1153">
        <v>3072.62</v>
      </c>
      <c r="E60" s="1154">
        <f t="shared" si="1"/>
        <v>32.34336842105263</v>
      </c>
    </row>
    <row r="61" spans="1:5" s="1132" customFormat="1" ht="18.75" customHeight="1">
      <c r="A61" s="1145" t="s">
        <v>88</v>
      </c>
      <c r="B61" s="1146" t="s">
        <v>722</v>
      </c>
      <c r="C61" s="1147">
        <f>SUM(C62:C63)</f>
        <v>30000</v>
      </c>
      <c r="D61" s="1147">
        <f>SUM(D62:D63)</f>
        <v>16735.53</v>
      </c>
      <c r="E61" s="1148">
        <f t="shared" si="1"/>
        <v>55.7851</v>
      </c>
    </row>
    <row r="62" spans="1:5" s="1132" customFormat="1" ht="15.75" customHeight="1" hidden="1">
      <c r="A62" s="1137" t="s">
        <v>928</v>
      </c>
      <c r="B62" s="1138" t="s">
        <v>929</v>
      </c>
      <c r="C62" s="1139">
        <v>30000</v>
      </c>
      <c r="D62" s="1139">
        <v>16735.53</v>
      </c>
      <c r="E62" s="1140">
        <f t="shared" si="1"/>
        <v>55.7851</v>
      </c>
    </row>
    <row r="63" spans="1:5" s="1132" customFormat="1" ht="15.75" customHeight="1" hidden="1">
      <c r="A63" s="1141" t="s">
        <v>930</v>
      </c>
      <c r="B63" s="1142" t="s">
        <v>931</v>
      </c>
      <c r="C63" s="1143">
        <v>0</v>
      </c>
      <c r="D63" s="1143">
        <v>0</v>
      </c>
      <c r="E63" s="1144" t="e">
        <f t="shared" si="1"/>
        <v>#DIV/0!</v>
      </c>
    </row>
    <row r="64" spans="1:5" s="1132" customFormat="1" ht="18.75" customHeight="1">
      <c r="A64" s="1145" t="s">
        <v>135</v>
      </c>
      <c r="B64" s="1146" t="s">
        <v>723</v>
      </c>
      <c r="C64" s="1147">
        <f>SUM(C65:C65)</f>
        <v>138316</v>
      </c>
      <c r="D64" s="1147">
        <f>SUM(D65:D65)</f>
        <v>138316</v>
      </c>
      <c r="E64" s="1148">
        <f t="shared" si="1"/>
        <v>100</v>
      </c>
    </row>
    <row r="65" spans="1:5" s="1132" customFormat="1" ht="15.75" customHeight="1" hidden="1">
      <c r="A65" s="1141" t="s">
        <v>64</v>
      </c>
      <c r="B65" s="1142" t="s">
        <v>932</v>
      </c>
      <c r="C65" s="1143">
        <v>138316</v>
      </c>
      <c r="D65" s="1143">
        <v>138316</v>
      </c>
      <c r="E65" s="1144">
        <f t="shared" si="1"/>
        <v>100</v>
      </c>
    </row>
    <row r="66" spans="1:5" s="1132" customFormat="1" ht="18.75" customHeight="1">
      <c r="A66" s="1151" t="s">
        <v>89</v>
      </c>
      <c r="B66" s="1152" t="s">
        <v>835</v>
      </c>
      <c r="C66" s="1153">
        <f>SUM(C7+C8+C23+C27+C49+C52+C53+C56+C60+C61+C64)</f>
        <v>15841716</v>
      </c>
      <c r="D66" s="1153">
        <f>SUM(D7+D8+D23+D27+D49+D52+D53+D56+D60+D61+D64)</f>
        <v>8003875.45</v>
      </c>
      <c r="E66" s="1154">
        <f t="shared" si="1"/>
        <v>50.5240432917747</v>
      </c>
    </row>
    <row r="67" spans="1:5" s="1132" customFormat="1" ht="18.75" customHeight="1">
      <c r="A67" s="1145" t="s">
        <v>90</v>
      </c>
      <c r="B67" s="1146" t="s">
        <v>836</v>
      </c>
      <c r="C67" s="1147">
        <f>SUM(C68,C69,C70)</f>
        <v>13654540</v>
      </c>
      <c r="D67" s="1147">
        <f>SUM(D68,D69,D70)</f>
        <v>6276447.24</v>
      </c>
      <c r="E67" s="1148">
        <f t="shared" si="1"/>
        <v>45.96601013289353</v>
      </c>
    </row>
    <row r="68" spans="1:5" ht="15.75" customHeight="1">
      <c r="A68" s="1137" t="s">
        <v>61</v>
      </c>
      <c r="B68" s="1138" t="s">
        <v>472</v>
      </c>
      <c r="C68" s="1139">
        <v>11022185</v>
      </c>
      <c r="D68" s="1139">
        <v>5109307.93</v>
      </c>
      <c r="E68" s="1140">
        <f t="shared" si="1"/>
        <v>46.3547647766754</v>
      </c>
    </row>
    <row r="69" spans="1:5" ht="15.75" customHeight="1">
      <c r="A69" s="1137" t="s">
        <v>62</v>
      </c>
      <c r="B69" s="1138" t="s">
        <v>390</v>
      </c>
      <c r="C69" s="1139">
        <v>1553355</v>
      </c>
      <c r="D69" s="1139">
        <v>836024.86</v>
      </c>
      <c r="E69" s="1140">
        <f t="shared" si="1"/>
        <v>53.820592202040096</v>
      </c>
    </row>
    <row r="70" spans="1:5" ht="15.75" customHeight="1">
      <c r="A70" s="1137" t="s">
        <v>63</v>
      </c>
      <c r="B70" s="1142" t="s">
        <v>933</v>
      </c>
      <c r="C70" s="1143">
        <v>1079000</v>
      </c>
      <c r="D70" s="1143">
        <v>331114.45</v>
      </c>
      <c r="E70" s="1144">
        <f t="shared" si="1"/>
        <v>30.687159406858207</v>
      </c>
    </row>
    <row r="71" spans="1:5" s="1132" customFormat="1" ht="18.75" customHeight="1">
      <c r="A71" s="1151" t="s">
        <v>136</v>
      </c>
      <c r="B71" s="1152" t="s">
        <v>841</v>
      </c>
      <c r="C71" s="1153">
        <v>7000</v>
      </c>
      <c r="D71" s="1153">
        <v>6686.67</v>
      </c>
      <c r="E71" s="1154">
        <f t="shared" si="1"/>
        <v>95.52385714285715</v>
      </c>
    </row>
    <row r="72" spans="1:5" s="1132" customFormat="1" ht="18.75" customHeight="1">
      <c r="A72" s="1145" t="s">
        <v>91</v>
      </c>
      <c r="B72" s="1146" t="s">
        <v>842</v>
      </c>
      <c r="C72" s="1147">
        <f>SUM(C73:C74)</f>
        <v>652700</v>
      </c>
      <c r="D72" s="1147">
        <f>SUM(D73:D74)</f>
        <v>96437.23999999999</v>
      </c>
      <c r="E72" s="1148">
        <f t="shared" si="1"/>
        <v>14.775124865941471</v>
      </c>
    </row>
    <row r="73" spans="1:5" ht="15.75" customHeight="1">
      <c r="A73" s="1137" t="s">
        <v>65</v>
      </c>
      <c r="B73" s="1138" t="s">
        <v>1140</v>
      </c>
      <c r="C73" s="1139">
        <v>552700</v>
      </c>
      <c r="D73" s="1139">
        <v>57729.6</v>
      </c>
      <c r="E73" s="1140">
        <f t="shared" si="1"/>
        <v>10.445015379048309</v>
      </c>
    </row>
    <row r="74" spans="1:5" ht="15.75" customHeight="1">
      <c r="A74" s="1141" t="s">
        <v>66</v>
      </c>
      <c r="B74" s="1142" t="s">
        <v>1130</v>
      </c>
      <c r="C74" s="1143">
        <v>100000</v>
      </c>
      <c r="D74" s="1143">
        <v>38707.64</v>
      </c>
      <c r="E74" s="1144">
        <f t="shared" si="1"/>
        <v>38.70764</v>
      </c>
    </row>
    <row r="75" spans="1:5" s="1132" customFormat="1" ht="18.75" customHeight="1">
      <c r="A75" s="1155" t="s">
        <v>92</v>
      </c>
      <c r="B75" s="1152" t="s">
        <v>934</v>
      </c>
      <c r="C75" s="1153">
        <v>397500</v>
      </c>
      <c r="D75" s="1153">
        <v>193285.5</v>
      </c>
      <c r="E75" s="1154">
        <f t="shared" si="1"/>
        <v>48.625283018867925</v>
      </c>
    </row>
    <row r="76" spans="1:5" s="1132" customFormat="1" ht="18.75" customHeight="1">
      <c r="A76" s="1155" t="s">
        <v>93</v>
      </c>
      <c r="B76" s="1156" t="s">
        <v>935</v>
      </c>
      <c r="C76" s="1153">
        <v>60000</v>
      </c>
      <c r="D76" s="1153">
        <v>33137.11</v>
      </c>
      <c r="E76" s="1154">
        <f t="shared" si="1"/>
        <v>55.22851666666667</v>
      </c>
    </row>
    <row r="77" spans="1:5" s="1132" customFormat="1" ht="18.75" customHeight="1">
      <c r="A77" s="1155" t="s">
        <v>94</v>
      </c>
      <c r="B77" s="1156" t="s">
        <v>936</v>
      </c>
      <c r="C77" s="1157">
        <v>1269538</v>
      </c>
      <c r="D77" s="1153">
        <v>1269538.69</v>
      </c>
      <c r="E77" s="1154">
        <f t="shared" si="1"/>
        <v>100.00005435048026</v>
      </c>
    </row>
    <row r="78" spans="1:5" s="1132" customFormat="1" ht="18.75" customHeight="1">
      <c r="A78" s="1155" t="s">
        <v>97</v>
      </c>
      <c r="B78" s="1156" t="s">
        <v>937</v>
      </c>
      <c r="C78" s="1157">
        <v>0</v>
      </c>
      <c r="D78" s="1153">
        <v>0</v>
      </c>
      <c r="E78" s="1158" t="s">
        <v>1274</v>
      </c>
    </row>
    <row r="79" spans="1:5" ht="18.75" customHeight="1">
      <c r="A79" s="1155" t="s">
        <v>98</v>
      </c>
      <c r="B79" s="1156" t="s">
        <v>940</v>
      </c>
      <c r="C79" s="1157">
        <f>SUM(C66+C75+C76+C78)</f>
        <v>16299216</v>
      </c>
      <c r="D79" s="1153">
        <f>SUM(D66+D75+D76+D78)</f>
        <v>8230298.0600000005</v>
      </c>
      <c r="E79" s="1154">
        <f t="shared" si="1"/>
        <v>50.495054854172125</v>
      </c>
    </row>
    <row r="80" spans="1:5" ht="18.75" customHeight="1">
      <c r="A80" s="1155" t="s">
        <v>99</v>
      </c>
      <c r="B80" s="1156" t="s">
        <v>844</v>
      </c>
      <c r="C80" s="1153">
        <f>SUM(C67+C71+C72+C77)</f>
        <v>15583778</v>
      </c>
      <c r="D80" s="1153">
        <f>SUM(D67+D71+D72+D77)</f>
        <v>7649109.84</v>
      </c>
      <c r="E80" s="1154">
        <f t="shared" si="1"/>
        <v>49.0837962399105</v>
      </c>
    </row>
    <row r="81" spans="1:5" ht="18.75" customHeight="1">
      <c r="A81" s="1155" t="s">
        <v>100</v>
      </c>
      <c r="B81" s="1156" t="s">
        <v>941</v>
      </c>
      <c r="C81" s="1157">
        <v>720000</v>
      </c>
      <c r="D81" s="1153">
        <v>155304.3</v>
      </c>
      <c r="E81" s="1154">
        <f t="shared" si="1"/>
        <v>21.570041666666665</v>
      </c>
    </row>
    <row r="82" spans="1:5" ht="18.75" customHeight="1" thickBot="1">
      <c r="A82" s="1159" t="s">
        <v>1258</v>
      </c>
      <c r="B82" s="1160" t="s">
        <v>942</v>
      </c>
      <c r="C82" s="1161">
        <f>SUM(C80-C79+C81)</f>
        <v>4562</v>
      </c>
      <c r="D82" s="1161">
        <f>SUM(D80-D79+D81)</f>
        <v>-425883.9200000007</v>
      </c>
      <c r="E82" s="1162" t="s">
        <v>1274</v>
      </c>
    </row>
  </sheetData>
  <sheetProtection password="CF93" sheet="1" objects="1" scenarios="1" selectLockedCells="1" selectUnlockedCells="1"/>
  <mergeCells count="2">
    <mergeCell ref="A3:E3"/>
    <mergeCell ref="D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138"/>
  <sheetViews>
    <sheetView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3.625" style="4" customWidth="1"/>
    <col min="2" max="2" width="34.375" style="5" customWidth="1"/>
    <col min="3" max="3" width="13.625" style="5" customWidth="1"/>
    <col min="4" max="4" width="13.875" style="5" customWidth="1"/>
    <col min="5" max="5" width="9.125" style="12" customWidth="1"/>
    <col min="6" max="6" width="8.125" style="5" customWidth="1"/>
    <col min="7" max="7" width="9.125" style="5" customWidth="1"/>
    <col min="8" max="8" width="28.375" style="5" customWidth="1"/>
    <col min="9" max="16384" width="9.125" style="5" customWidth="1"/>
  </cols>
  <sheetData>
    <row r="1" spans="1:6" s="98" customFormat="1" ht="12.75">
      <c r="A1" s="177"/>
      <c r="D1" s="212"/>
      <c r="E1" s="1326" t="s">
        <v>1147</v>
      </c>
      <c r="F1" s="1326"/>
    </row>
    <row r="2" spans="1:5" s="98" customFormat="1" ht="11.25" customHeight="1">
      <c r="A2" s="177"/>
      <c r="D2" s="178"/>
      <c r="E2" s="178"/>
    </row>
    <row r="3" spans="1:6" s="98" customFormat="1" ht="13.5" customHeight="1">
      <c r="A3" s="1319" t="s">
        <v>789</v>
      </c>
      <c r="B3" s="1319"/>
      <c r="C3" s="1319"/>
      <c r="D3" s="1319"/>
      <c r="E3" s="1319"/>
      <c r="F3" s="1319"/>
    </row>
    <row r="4" spans="1:5" s="98" customFormat="1" ht="2.25" customHeight="1">
      <c r="A4" s="1327"/>
      <c r="B4" s="1327"/>
      <c r="C4" s="1327"/>
      <c r="D4" s="1327"/>
      <c r="E4" s="1327"/>
    </row>
    <row r="5" spans="1:6" s="98" customFormat="1" ht="13.5" thickBot="1">
      <c r="A5" s="179"/>
      <c r="B5" s="179"/>
      <c r="C5" s="179"/>
      <c r="D5" s="179"/>
      <c r="E5" s="272"/>
      <c r="F5" s="272" t="s">
        <v>1035</v>
      </c>
    </row>
    <row r="6" spans="1:6" s="98" customFormat="1" ht="15" customHeight="1">
      <c r="A6" s="1320" t="s">
        <v>1299</v>
      </c>
      <c r="B6" s="1322" t="s">
        <v>1216</v>
      </c>
      <c r="C6" s="1328" t="s">
        <v>51</v>
      </c>
      <c r="D6" s="1329"/>
      <c r="E6" s="1324" t="s">
        <v>1208</v>
      </c>
      <c r="F6" s="1317" t="s">
        <v>1209</v>
      </c>
    </row>
    <row r="7" spans="1:6" s="98" customFormat="1" ht="12.75">
      <c r="A7" s="1321"/>
      <c r="B7" s="1323"/>
      <c r="C7" s="273" t="s">
        <v>1038</v>
      </c>
      <c r="D7" s="274" t="s">
        <v>1039</v>
      </c>
      <c r="E7" s="1325"/>
      <c r="F7" s="1318"/>
    </row>
    <row r="8" spans="1:6" s="277" customFormat="1" ht="12" customHeight="1" thickBot="1">
      <c r="A8" s="275">
        <v>1</v>
      </c>
      <c r="B8" s="221">
        <v>2</v>
      </c>
      <c r="C8" s="221">
        <v>3</v>
      </c>
      <c r="D8" s="221">
        <v>4</v>
      </c>
      <c r="E8" s="220">
        <v>5</v>
      </c>
      <c r="F8" s="276">
        <v>6</v>
      </c>
    </row>
    <row r="9" spans="1:6" s="98" customFormat="1" ht="18" customHeight="1">
      <c r="A9" s="278" t="s">
        <v>1300</v>
      </c>
      <c r="B9" s="279" t="s">
        <v>1301</v>
      </c>
      <c r="C9" s="280">
        <f>SUM(C10,C15)</f>
        <v>185076316.75</v>
      </c>
      <c r="D9" s="280">
        <f>SUM(D10,D15)</f>
        <v>91613082.68</v>
      </c>
      <c r="E9" s="281">
        <f>D9*100/C9</f>
        <v>49.50016527708967</v>
      </c>
      <c r="F9" s="282">
        <f>D9/D$9*100</f>
        <v>100</v>
      </c>
    </row>
    <row r="10" spans="1:6" s="98" customFormat="1" ht="18" customHeight="1">
      <c r="A10" s="283" t="s">
        <v>1302</v>
      </c>
      <c r="B10" s="284" t="s">
        <v>1128</v>
      </c>
      <c r="C10" s="100">
        <f>SUM(C11,C12,C13,C14)</f>
        <v>153042251.75</v>
      </c>
      <c r="D10" s="100">
        <f>SUM(D11,D12,D13,D14)</f>
        <v>81174712.98</v>
      </c>
      <c r="E10" s="285">
        <f aca="true" t="shared" si="0" ref="E10:E17">D10*100/C10</f>
        <v>53.04072048848432</v>
      </c>
      <c r="F10" s="102">
        <f aca="true" t="shared" si="1" ref="F10:F17">D10/D$9*100</f>
        <v>88.6060272237965</v>
      </c>
    </row>
    <row r="11" spans="1:6" s="98" customFormat="1" ht="27.75" customHeight="1">
      <c r="A11" s="286" t="s">
        <v>1131</v>
      </c>
      <c r="B11" s="287" t="s">
        <v>364</v>
      </c>
      <c r="C11" s="288">
        <f>SUM(6D!E10,6D!E60,6D!E61,6D!E75,6D!E94,6D!E96,6D!E99,6D!E151,6D!E154,6D!E166,6D!E167,6D!E168,6D!E180,6D!E181,6D!E190,6D!E195,6D!E197,6D!E200,6D!E201,6D!E208,6D!E212,6D!E215,6D!E216,6D!E228,6D!E269,6D!E285,6D!E289,6D!E292,6D!E294,6D!E297)+6D!E304+6D!E323+6D!E332+6D!E337+6D!E342+6D!E347+6D!E365+6D!E140+6D!E314+6D!E144+6D!E318+6D!E320+6D!E325+6D!E328+6D!E344+6D!E353+6D!E361+6D!E363+6D!E308+6D!E305+6D!E371</f>
        <v>102230156.75</v>
      </c>
      <c r="D11" s="288">
        <f>SUM(6D!F10,6D!F60,6D!F61,6D!F75,6D!F94,6D!F96,6D!F99,6D!F151,6D!F154,6D!F166,6D!F167,6D!F168,6D!F180,6D!F181,6D!F190,6D!F195,6D!F197,6D!F200,6D!F201,6D!F208,6D!F212,6D!F215,6D!F216,6D!F228,6D!F269,6D!F285,6D!F289,6D!F292,6D!F294,6D!F297)+6D!F304+6D!F323+6D!F332+6D!F337+6D!F342+6D!F347+6D!F365+6D!F140+6D!F314+6D!F144+6D!F318+6D!F320+6D!F325+6D!F328+6D!F344+6D!F353+6D!F361+6D!F363+6D!F308+6D!F305+6D!F371</f>
        <v>51338559.75</v>
      </c>
      <c r="E11" s="289">
        <f t="shared" si="0"/>
        <v>50.21860611594924</v>
      </c>
      <c r="F11" s="290">
        <f t="shared" si="1"/>
        <v>56.038458971327344</v>
      </c>
    </row>
    <row r="12" spans="1:6" s="98" customFormat="1" ht="26.25" customHeight="1">
      <c r="A12" s="286" t="s">
        <v>1132</v>
      </c>
      <c r="B12" s="291" t="s">
        <v>434</v>
      </c>
      <c r="C12" s="288">
        <f>SUM(6D!E85,6D!E87,6D!E104,6D!E222,6D!E224,6D!E258,6D!E340,6D!E355,6D!E357,6D!E366,6D!E368)</f>
        <v>2401649</v>
      </c>
      <c r="D12" s="288">
        <f>SUM(6D!F85,6D!F87,6D!F104,6D!F222,6D!F224,6D!F258,6D!F340,6D!F355,6D!F357,6D!F366,6D!F368)</f>
        <v>1012315.8</v>
      </c>
      <c r="E12" s="289">
        <f t="shared" si="0"/>
        <v>42.15086384396721</v>
      </c>
      <c r="F12" s="290">
        <f t="shared" si="1"/>
        <v>1.1049904341020478</v>
      </c>
    </row>
    <row r="13" spans="1:6" s="98" customFormat="1" ht="18" customHeight="1">
      <c r="A13" s="286" t="s">
        <v>1133</v>
      </c>
      <c r="B13" s="291" t="s">
        <v>1129</v>
      </c>
      <c r="C13" s="288">
        <f>SUM(6D!E42,6D!E89,6D!E90,6D!E105,6D!E161)</f>
        <v>333800</v>
      </c>
      <c r="D13" s="288">
        <f>SUM(6D!F42,6D!F89,6D!F90,6D!F105,6D!F161)</f>
        <v>9500</v>
      </c>
      <c r="E13" s="289">
        <f>D13*100/C13</f>
        <v>2.846015578190533</v>
      </c>
      <c r="F13" s="290">
        <f>D13/D$9*100</f>
        <v>0.010369697997373403</v>
      </c>
    </row>
    <row r="14" spans="1:6" s="98" customFormat="1" ht="18" customHeight="1">
      <c r="A14" s="286" t="s">
        <v>1139</v>
      </c>
      <c r="B14" s="291" t="s">
        <v>1130</v>
      </c>
      <c r="C14" s="288">
        <f>C42-C15-C11-C12-C13</f>
        <v>48076646</v>
      </c>
      <c r="D14" s="288">
        <f>D42-D15-D11-D12-D13</f>
        <v>28814337.430000003</v>
      </c>
      <c r="E14" s="289">
        <f>D14*100/C14</f>
        <v>59.9341672669928</v>
      </c>
      <c r="F14" s="290">
        <f>D14/D$9*100</f>
        <v>31.452208120369736</v>
      </c>
    </row>
    <row r="15" spans="1:6" s="98" customFormat="1" ht="18" customHeight="1">
      <c r="A15" s="283" t="s">
        <v>1303</v>
      </c>
      <c r="B15" s="292" t="s">
        <v>1127</v>
      </c>
      <c r="C15" s="100">
        <f>SUM(C16:C19)</f>
        <v>32034065</v>
      </c>
      <c r="D15" s="100">
        <f>SUM(D16:D19)</f>
        <v>10438369.7</v>
      </c>
      <c r="E15" s="293">
        <f t="shared" si="0"/>
        <v>32.58521733036378</v>
      </c>
      <c r="F15" s="102">
        <f t="shared" si="1"/>
        <v>11.393972776203494</v>
      </c>
    </row>
    <row r="16" spans="1:6" s="98" customFormat="1" ht="27" customHeight="1">
      <c r="A16" s="286" t="s">
        <v>1134</v>
      </c>
      <c r="B16" s="291" t="s">
        <v>107</v>
      </c>
      <c r="C16" s="288">
        <f>SUM(6D!E14,6D!E25,6D!E39,6D!E56,6D!E57,6D!E80,6D!E148,6D!E231,6D!E244)</f>
        <v>15922294</v>
      </c>
      <c r="D16" s="288">
        <f>SUM(6D!F14,6D!F25,6D!F39,6D!F56,6D!F57,6D!F80,6D!F148,6D!F231,6D!F244)</f>
        <v>888091.43</v>
      </c>
      <c r="E16" s="294">
        <f>D16*100/C16</f>
        <v>5.577660040695141</v>
      </c>
      <c r="F16" s="290">
        <f>D16/D$9*100</f>
        <v>0.9693936761216296</v>
      </c>
    </row>
    <row r="17" spans="1:6" s="98" customFormat="1" ht="27" customHeight="1">
      <c r="A17" s="286" t="s">
        <v>1135</v>
      </c>
      <c r="B17" s="291" t="s">
        <v>944</v>
      </c>
      <c r="C17" s="288">
        <f>SUM(6D!E46,6D!E169,6D!E260,6D!E280,6D!E282,6D!E286,6D!E309,6D!E329,6D!E372,6D!E321)</f>
        <v>333000</v>
      </c>
      <c r="D17" s="288">
        <f>SUM(6D!F46,6D!F169,6D!F260,6D!F280,6D!F282,6D!F286,6D!F309,6D!F329,6D!F372,6D!F321)</f>
        <v>0</v>
      </c>
      <c r="E17" s="294">
        <f t="shared" si="0"/>
        <v>0</v>
      </c>
      <c r="F17" s="290">
        <f t="shared" si="1"/>
        <v>0</v>
      </c>
    </row>
    <row r="18" spans="1:6" s="98" customFormat="1" ht="18" customHeight="1" hidden="1">
      <c r="A18" s="286" t="s">
        <v>1138</v>
      </c>
      <c r="B18" s="291" t="s">
        <v>34</v>
      </c>
      <c r="C18" s="295">
        <f>6D!E258</f>
        <v>0</v>
      </c>
      <c r="D18" s="295">
        <f>6D!F258</f>
        <v>0</v>
      </c>
      <c r="E18" s="294" t="e">
        <f>D18*100/C18</f>
        <v>#DIV/0!</v>
      </c>
      <c r="F18" s="290">
        <f>D18/D$9*100</f>
        <v>0</v>
      </c>
    </row>
    <row r="19" spans="1:6" s="98" customFormat="1" ht="24.75" customHeight="1">
      <c r="A19" s="286" t="s">
        <v>1138</v>
      </c>
      <c r="B19" s="291" t="s">
        <v>35</v>
      </c>
      <c r="C19" s="295">
        <f>SUM(6D!E33,6D!E35,6D!E64,6D!E217,6D!E236,6D!E259,6D!E273,6D!E279)</f>
        <v>15778771</v>
      </c>
      <c r="D19" s="295">
        <f>SUM(6D!F33,6D!F35,6D!F64,6D!F217,6D!F236,6D!F259,6D!F273,6D!F279)</f>
        <v>9550278.27</v>
      </c>
      <c r="E19" s="294">
        <f>D19*100/C19</f>
        <v>60.52612253514548</v>
      </c>
      <c r="F19" s="290">
        <f>D19/D$9*100</f>
        <v>10.424579100081866</v>
      </c>
    </row>
    <row r="20" spans="1:6" s="98" customFormat="1" ht="18" customHeight="1">
      <c r="A20" s="757" t="s">
        <v>1304</v>
      </c>
      <c r="B20" s="758" t="s">
        <v>1305</v>
      </c>
      <c r="C20" s="743">
        <f>SUM(C21,C26)</f>
        <v>208308777.75</v>
      </c>
      <c r="D20" s="743">
        <f>SUM(D21,D26)</f>
        <v>93025031.43</v>
      </c>
      <c r="E20" s="759">
        <f aca="true" t="shared" si="2" ref="E20:E26">D20*100/C20</f>
        <v>44.657278696936714</v>
      </c>
      <c r="F20" s="760">
        <f>D20/D$20*100</f>
        <v>100</v>
      </c>
    </row>
    <row r="21" spans="1:6" s="98" customFormat="1" ht="18" customHeight="1">
      <c r="A21" s="283" t="s">
        <v>1302</v>
      </c>
      <c r="B21" s="480" t="s">
        <v>6</v>
      </c>
      <c r="C21" s="100">
        <f>SUM(9W!D704)</f>
        <v>148957894.75</v>
      </c>
      <c r="D21" s="100">
        <f>SUM(9W!E704)</f>
        <v>73138513.11</v>
      </c>
      <c r="E21" s="101">
        <f t="shared" si="2"/>
        <v>49.100125396341234</v>
      </c>
      <c r="F21" s="102">
        <f aca="true" t="shared" si="3" ref="F21:F29">D21/D$20*100</f>
        <v>78.62240085888675</v>
      </c>
    </row>
    <row r="22" spans="1:6" s="98" customFormat="1" ht="26.25" customHeight="1">
      <c r="A22" s="286" t="s">
        <v>1131</v>
      </c>
      <c r="B22" s="287" t="s">
        <v>394</v>
      </c>
      <c r="C22" s="288">
        <f>SUM(9W!D706)</f>
        <v>62495633</v>
      </c>
      <c r="D22" s="288">
        <f>SUM(9W!E706)</f>
        <v>32400151.97</v>
      </c>
      <c r="E22" s="761">
        <f t="shared" si="2"/>
        <v>51.843865586576264</v>
      </c>
      <c r="F22" s="290">
        <f t="shared" si="3"/>
        <v>34.8294985467225</v>
      </c>
    </row>
    <row r="23" spans="1:6" s="98" customFormat="1" ht="18" customHeight="1">
      <c r="A23" s="286" t="s">
        <v>1132</v>
      </c>
      <c r="B23" s="762" t="s">
        <v>1140</v>
      </c>
      <c r="C23" s="288">
        <f>SUM(9W!D709)</f>
        <v>16517076</v>
      </c>
      <c r="D23" s="288">
        <f>SUM(9W!E709)</f>
        <v>8834488.03</v>
      </c>
      <c r="E23" s="761">
        <f t="shared" si="2"/>
        <v>53.486997516993924</v>
      </c>
      <c r="F23" s="290">
        <f t="shared" si="3"/>
        <v>9.496893356760458</v>
      </c>
    </row>
    <row r="24" spans="1:6" s="98" customFormat="1" ht="18" customHeight="1">
      <c r="A24" s="286" t="s">
        <v>1133</v>
      </c>
      <c r="B24" s="762" t="s">
        <v>1141</v>
      </c>
      <c r="C24" s="288">
        <f>SUM(9W!D710)</f>
        <v>2190500</v>
      </c>
      <c r="D24" s="288">
        <f>SUM(9W!E710)</f>
        <v>707400.89</v>
      </c>
      <c r="E24" s="761">
        <f t="shared" si="2"/>
        <v>32.29403743437571</v>
      </c>
      <c r="F24" s="290">
        <f t="shared" si="3"/>
        <v>0.7604414415407201</v>
      </c>
    </row>
    <row r="25" spans="1:6" s="98" customFormat="1" ht="18" customHeight="1">
      <c r="A25" s="286" t="s">
        <v>1139</v>
      </c>
      <c r="B25" s="762" t="s">
        <v>1182</v>
      </c>
      <c r="C25" s="288">
        <f>C21-C22-C23-C24</f>
        <v>67754685.75</v>
      </c>
      <c r="D25" s="288">
        <f>D21-D22-D23-D24</f>
        <v>31196472.22</v>
      </c>
      <c r="E25" s="761">
        <f t="shared" si="2"/>
        <v>46.043269000033696</v>
      </c>
      <c r="F25" s="290">
        <f t="shared" si="3"/>
        <v>33.53556751386307</v>
      </c>
    </row>
    <row r="26" spans="1:6" s="98" customFormat="1" ht="18" customHeight="1">
      <c r="A26" s="283" t="s">
        <v>1303</v>
      </c>
      <c r="B26" s="480" t="s">
        <v>945</v>
      </c>
      <c r="C26" s="100">
        <f>SUM(9W!D711)</f>
        <v>59350883</v>
      </c>
      <c r="D26" s="100">
        <f>SUM(9W!E711)</f>
        <v>19886518.32</v>
      </c>
      <c r="E26" s="101">
        <f t="shared" si="2"/>
        <v>33.50669327025851</v>
      </c>
      <c r="F26" s="102">
        <f t="shared" si="3"/>
        <v>21.377599141113237</v>
      </c>
    </row>
    <row r="27" spans="1:6" s="98" customFormat="1" ht="18" customHeight="1">
      <c r="A27" s="283" t="s">
        <v>1134</v>
      </c>
      <c r="B27" s="287" t="s">
        <v>837</v>
      </c>
      <c r="C27" s="518">
        <f>'17Inwestycje WIM'!D80</f>
        <v>48914980</v>
      </c>
      <c r="D27" s="518">
        <f>'17Inwestycje WIM'!E80</f>
        <v>17488607.35</v>
      </c>
      <c r="E27" s="761">
        <f>D27*100/C27</f>
        <v>35.75307063398575</v>
      </c>
      <c r="F27" s="290">
        <f t="shared" si="3"/>
        <v>18.799894051269337</v>
      </c>
    </row>
    <row r="28" spans="1:6" s="98" customFormat="1" ht="18" customHeight="1">
      <c r="A28" s="283" t="s">
        <v>1135</v>
      </c>
      <c r="B28" s="762" t="s">
        <v>1140</v>
      </c>
      <c r="C28" s="518">
        <f>SUM(9W!D713)</f>
        <v>4051270</v>
      </c>
      <c r="D28" s="518">
        <f>SUM(9W!E713)</f>
        <v>1131462.88</v>
      </c>
      <c r="E28" s="761">
        <f>D28*100/C28</f>
        <v>27.9285972053208</v>
      </c>
      <c r="F28" s="290">
        <f t="shared" si="3"/>
        <v>1.2162993794325232</v>
      </c>
    </row>
    <row r="29" spans="1:6" s="98" customFormat="1" ht="18" customHeight="1">
      <c r="A29" s="1220" t="s">
        <v>1138</v>
      </c>
      <c r="B29" s="1221" t="s">
        <v>1182</v>
      </c>
      <c r="C29" s="1222">
        <f>C26-C27-C28</f>
        <v>6384633</v>
      </c>
      <c r="D29" s="1222">
        <f>D26-D27-D28</f>
        <v>1266448.089999999</v>
      </c>
      <c r="E29" s="1223">
        <f>D29*100/C29</f>
        <v>19.835879211851314</v>
      </c>
      <c r="F29" s="1224">
        <f t="shared" si="3"/>
        <v>1.3614057104113775</v>
      </c>
    </row>
    <row r="30" spans="1:6" s="98" customFormat="1" ht="18" customHeight="1">
      <c r="A30" s="763" t="s">
        <v>1306</v>
      </c>
      <c r="B30" s="764" t="s">
        <v>1186</v>
      </c>
      <c r="C30" s="227">
        <f>C9-C20</f>
        <v>-23232461</v>
      </c>
      <c r="D30" s="227">
        <f>D9-D20</f>
        <v>-1411948.75</v>
      </c>
      <c r="E30" s="765" t="s">
        <v>1307</v>
      </c>
      <c r="F30" s="766" t="s">
        <v>1307</v>
      </c>
    </row>
    <row r="31" spans="1:6" s="98" customFormat="1" ht="18.75" customHeight="1">
      <c r="A31" s="763" t="s">
        <v>4</v>
      </c>
      <c r="B31" s="764" t="s">
        <v>137</v>
      </c>
      <c r="C31" s="227">
        <f>C32-C36</f>
        <v>23232461</v>
      </c>
      <c r="D31" s="227">
        <f>D32-D36</f>
        <v>6838077.77</v>
      </c>
      <c r="E31" s="765" t="s">
        <v>1307</v>
      </c>
      <c r="F31" s="767" t="s">
        <v>1307</v>
      </c>
    </row>
    <row r="32" spans="1:6" s="98" customFormat="1" ht="18" customHeight="1">
      <c r="A32" s="93" t="s">
        <v>1302</v>
      </c>
      <c r="B32" s="94" t="s">
        <v>1290</v>
      </c>
      <c r="C32" s="95">
        <f>SUM(C33,C34,C35)</f>
        <v>36004011</v>
      </c>
      <c r="D32" s="95">
        <f>SUM(D33,D34,D35)</f>
        <v>15004010.77</v>
      </c>
      <c r="E32" s="96">
        <f aca="true" t="shared" si="4" ref="E32:E39">D32/C32*100</f>
        <v>41.67316460935422</v>
      </c>
      <c r="F32" s="97">
        <f>D32/D$32*100</f>
        <v>100</v>
      </c>
    </row>
    <row r="33" spans="1:6" s="98" customFormat="1" ht="18" customHeight="1">
      <c r="A33" s="93"/>
      <c r="B33" s="99" t="s">
        <v>638</v>
      </c>
      <c r="C33" s="100">
        <f>5PiR!D9</f>
        <v>30000000</v>
      </c>
      <c r="D33" s="100">
        <f>5PiR!E9</f>
        <v>0</v>
      </c>
      <c r="E33" s="101">
        <f t="shared" si="4"/>
        <v>0</v>
      </c>
      <c r="F33" s="102">
        <f>D33/D$32*100</f>
        <v>0</v>
      </c>
    </row>
    <row r="34" spans="1:6" s="98" customFormat="1" ht="18" customHeight="1">
      <c r="A34" s="93"/>
      <c r="B34" s="99" t="s">
        <v>1187</v>
      </c>
      <c r="C34" s="100">
        <f>5PiR!D10</f>
        <v>0</v>
      </c>
      <c r="D34" s="100">
        <v>9000000</v>
      </c>
      <c r="E34" s="782" t="s">
        <v>1274</v>
      </c>
      <c r="F34" s="102">
        <f>D34/D$32*100</f>
        <v>59.983961208526914</v>
      </c>
    </row>
    <row r="35" spans="1:6" s="98" customFormat="1" ht="18" customHeight="1">
      <c r="A35" s="93"/>
      <c r="B35" s="99" t="s">
        <v>87</v>
      </c>
      <c r="C35" s="100">
        <f>SUM(5PiR!D11)</f>
        <v>6004011</v>
      </c>
      <c r="D35" s="100">
        <f>SUM(5PiR!E11)</f>
        <v>6004010.77</v>
      </c>
      <c r="E35" s="101">
        <f t="shared" si="4"/>
        <v>99.99999616922753</v>
      </c>
      <c r="F35" s="102">
        <f>D35/D$32*100</f>
        <v>40.016038791473086</v>
      </c>
    </row>
    <row r="36" spans="1:6" s="98" customFormat="1" ht="18" customHeight="1">
      <c r="A36" s="93" t="s">
        <v>1303</v>
      </c>
      <c r="B36" s="94" t="s">
        <v>977</v>
      </c>
      <c r="C36" s="103">
        <f>SUM(C37,C38,C39)</f>
        <v>12771550</v>
      </c>
      <c r="D36" s="103">
        <f>SUM(D37,D38,D39)</f>
        <v>8165933</v>
      </c>
      <c r="E36" s="96">
        <f t="shared" si="4"/>
        <v>63.93846479088287</v>
      </c>
      <c r="F36" s="104">
        <f>D36/D$36*100</f>
        <v>100</v>
      </c>
    </row>
    <row r="37" spans="1:6" s="98" customFormat="1" ht="18" customHeight="1">
      <c r="A37" s="93"/>
      <c r="B37" s="99" t="s">
        <v>1136</v>
      </c>
      <c r="C37" s="105">
        <f>SUM(5PiR!D15)</f>
        <v>2800000</v>
      </c>
      <c r="D37" s="105">
        <f>SUM(5PiR!E15)</f>
        <v>1400000</v>
      </c>
      <c r="E37" s="101">
        <f t="shared" si="4"/>
        <v>50</v>
      </c>
      <c r="F37" s="102">
        <f>D37/D$36*100</f>
        <v>17.14439733953242</v>
      </c>
    </row>
    <row r="38" spans="1:6" s="98" customFormat="1" ht="18" customHeight="1">
      <c r="A38" s="93"/>
      <c r="B38" s="99" t="s">
        <v>1137</v>
      </c>
      <c r="C38" s="105">
        <f>SUM(5PiR!D13)</f>
        <v>3971550</v>
      </c>
      <c r="D38" s="105">
        <f>SUM(5PiR!E13)</f>
        <v>3765933</v>
      </c>
      <c r="E38" s="101">
        <f t="shared" si="4"/>
        <v>94.82275182233637</v>
      </c>
      <c r="F38" s="102">
        <f>D38/D$36*100</f>
        <v>46.117608361469536</v>
      </c>
    </row>
    <row r="39" spans="1:6" s="98" customFormat="1" ht="18" customHeight="1">
      <c r="A39" s="93"/>
      <c r="B39" s="99" t="s">
        <v>1193</v>
      </c>
      <c r="C39" s="105">
        <f>SUM(5PiR!D14)</f>
        <v>6000000</v>
      </c>
      <c r="D39" s="105">
        <f>SUM(5PiR!E14)</f>
        <v>3000000</v>
      </c>
      <c r="E39" s="101">
        <f t="shared" si="4"/>
        <v>50</v>
      </c>
      <c r="F39" s="102">
        <f>D39/D$36*100</f>
        <v>36.737994298998046</v>
      </c>
    </row>
    <row r="40" spans="1:6" ht="0.75" customHeight="1" thickBot="1">
      <c r="A40" s="8"/>
      <c r="B40" s="9"/>
      <c r="C40" s="1"/>
      <c r="D40" s="1"/>
      <c r="E40" s="2"/>
      <c r="F40" s="3"/>
    </row>
    <row r="41" spans="1:5" ht="14.25" customHeight="1">
      <c r="A41" s="6"/>
      <c r="B41" s="10"/>
      <c r="C41" s="11"/>
      <c r="D41" s="11"/>
      <c r="E41" s="7"/>
    </row>
    <row r="42" spans="1:5" s="98" customFormat="1" ht="15.75" customHeight="1" hidden="1">
      <c r="A42" s="177"/>
      <c r="B42" s="768" t="s">
        <v>1143</v>
      </c>
      <c r="C42" s="414">
        <v>185076316.75</v>
      </c>
      <c r="D42" s="414">
        <v>91613082.68</v>
      </c>
      <c r="E42" s="523"/>
    </row>
    <row r="43" spans="1:5" s="98" customFormat="1" ht="15.75" customHeight="1" hidden="1">
      <c r="A43" s="177"/>
      <c r="B43" s="768" t="s">
        <v>1144</v>
      </c>
      <c r="C43" s="769">
        <f>C9</f>
        <v>185076316.75</v>
      </c>
      <c r="D43" s="769">
        <f>D9</f>
        <v>91613082.68</v>
      </c>
      <c r="E43" s="523"/>
    </row>
    <row r="44" spans="1:5" s="98" customFormat="1" ht="15.75" customHeight="1" hidden="1" thickBot="1">
      <c r="A44" s="177"/>
      <c r="B44" s="768" t="s">
        <v>1003</v>
      </c>
      <c r="C44" s="770">
        <f>C42-C43</f>
        <v>0</v>
      </c>
      <c r="D44" s="770">
        <f>D42-D43</f>
        <v>0</v>
      </c>
      <c r="E44" s="523"/>
    </row>
    <row r="45" spans="1:5" s="98" customFormat="1" ht="15.75" customHeight="1" hidden="1" thickTop="1">
      <c r="A45" s="177"/>
      <c r="B45" s="768"/>
      <c r="C45" s="771"/>
      <c r="D45" s="771"/>
      <c r="E45" s="523"/>
    </row>
    <row r="46" spans="1:5" s="98" customFormat="1" ht="15.75" customHeight="1" hidden="1">
      <c r="A46" s="177"/>
      <c r="B46" s="768" t="s">
        <v>1142</v>
      </c>
      <c r="C46" s="771">
        <v>208308777.75</v>
      </c>
      <c r="D46" s="771">
        <v>93025031.43</v>
      </c>
      <c r="E46" s="523"/>
    </row>
    <row r="47" spans="1:5" s="98" customFormat="1" ht="15.75" customHeight="1" hidden="1">
      <c r="A47" s="177"/>
      <c r="B47" s="768" t="s">
        <v>1144</v>
      </c>
      <c r="C47" s="772">
        <f>SUM(C20)</f>
        <v>208308777.75</v>
      </c>
      <c r="D47" s="772">
        <f>SUM(D20)</f>
        <v>93025031.43</v>
      </c>
      <c r="E47" s="523"/>
    </row>
    <row r="48" spans="1:5" s="98" customFormat="1" ht="13.5" hidden="1" thickBot="1">
      <c r="A48" s="177"/>
      <c r="B48" s="768" t="s">
        <v>1003</v>
      </c>
      <c r="C48" s="773">
        <f>C46-C47</f>
        <v>0</v>
      </c>
      <c r="D48" s="773">
        <f>D46-D47</f>
        <v>0</v>
      </c>
      <c r="E48" s="523"/>
    </row>
    <row r="49" spans="1:5" s="98" customFormat="1" ht="13.5" hidden="1" thickTop="1">
      <c r="A49" s="177"/>
      <c r="B49" s="210"/>
      <c r="C49" s="771"/>
      <c r="D49" s="771"/>
      <c r="E49" s="523"/>
    </row>
    <row r="50" spans="1:5" s="98" customFormat="1" ht="12.75" hidden="1">
      <c r="A50" s="177"/>
      <c r="B50" s="210"/>
      <c r="C50" s="771"/>
      <c r="D50" s="771"/>
      <c r="E50" s="523"/>
    </row>
    <row r="51" spans="2:4" ht="12.75">
      <c r="B51" s="14"/>
      <c r="C51" s="13"/>
      <c r="D51" s="13"/>
    </row>
    <row r="52" spans="2:4" ht="12.75">
      <c r="B52" s="14"/>
      <c r="C52" s="13"/>
      <c r="D52" s="13"/>
    </row>
    <row r="53" spans="2:4" ht="12.75">
      <c r="B53" s="14"/>
      <c r="C53" s="13"/>
      <c r="D53" s="13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</sheetData>
  <sheetProtection password="CF93" sheet="1" objects="1" scenarios="1" selectLockedCells="1" selectUnlockedCells="1"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E56"/>
  <sheetViews>
    <sheetView view="pageBreakPreview" zoomScaleNormal="120" zoomScaleSheetLayoutView="100" workbookViewId="0" topLeftCell="A1">
      <pane ySplit="7" topLeftCell="BM8" activePane="bottomLeft" state="frozen"/>
      <selection pane="topLeft" activeCell="A1" sqref="A1"/>
      <selection pane="bottomLeft" activeCell="J49" sqref="J49"/>
    </sheetView>
  </sheetViews>
  <sheetFormatPr defaultColWidth="9.00390625" defaultRowHeight="12.75"/>
  <cols>
    <col min="1" max="1" width="5.125" style="1111" customWidth="1"/>
    <col min="2" max="2" width="38.375" style="1112" customWidth="1"/>
    <col min="3" max="3" width="19.25390625" style="1113" customWidth="1"/>
    <col min="4" max="4" width="17.25390625" style="1113" customWidth="1"/>
    <col min="5" max="5" width="6.00390625" style="1112" customWidth="1"/>
    <col min="6" max="16384" width="9.125" style="1112" customWidth="1"/>
  </cols>
  <sheetData>
    <row r="1" spans="4:5" ht="12.75">
      <c r="D1" s="1540" t="s">
        <v>457</v>
      </c>
      <c r="E1" s="1540"/>
    </row>
    <row r="2" ht="39.75" customHeight="1"/>
    <row r="3" spans="1:5" ht="26.25" customHeight="1">
      <c r="A3" s="1539" t="s">
        <v>846</v>
      </c>
      <c r="B3" s="1539"/>
      <c r="C3" s="1539"/>
      <c r="D3" s="1539"/>
      <c r="E3" s="1539"/>
    </row>
    <row r="4" spans="1:5" ht="9" customHeight="1">
      <c r="A4" s="1114"/>
      <c r="B4" s="1114"/>
      <c r="C4" s="1114"/>
      <c r="D4" s="1114"/>
      <c r="E4" s="1114"/>
    </row>
    <row r="5" spans="4:5" ht="13.5" thickBot="1">
      <c r="D5" s="1115"/>
      <c r="E5" s="1115" t="s">
        <v>1035</v>
      </c>
    </row>
    <row r="6" spans="1:5" s="1111" customFormat="1" ht="15" customHeight="1">
      <c r="A6" s="1163" t="s">
        <v>1299</v>
      </c>
      <c r="B6" s="1164" t="s">
        <v>1037</v>
      </c>
      <c r="C6" s="1119" t="s">
        <v>1038</v>
      </c>
      <c r="D6" s="1119" t="s">
        <v>1039</v>
      </c>
      <c r="E6" s="1120" t="s">
        <v>1040</v>
      </c>
    </row>
    <row r="7" spans="1:5" s="1173" customFormat="1" ht="12" customHeight="1" thickBot="1">
      <c r="A7" s="1171">
        <v>1</v>
      </c>
      <c r="B7" s="1172">
        <v>2</v>
      </c>
      <c r="C7" s="1124">
        <v>3</v>
      </c>
      <c r="D7" s="1124">
        <v>4</v>
      </c>
      <c r="E7" s="1125">
        <v>5</v>
      </c>
    </row>
    <row r="8" spans="1:5" s="1132" customFormat="1" ht="18.75" customHeight="1">
      <c r="A8" s="1165" t="s">
        <v>1302</v>
      </c>
      <c r="B8" s="1166" t="s">
        <v>653</v>
      </c>
      <c r="C8" s="1167">
        <v>22000</v>
      </c>
      <c r="D8" s="1167">
        <v>12220.46</v>
      </c>
      <c r="E8" s="1168">
        <f aca="true" t="shared" si="0" ref="E8:E50">D8/C8*100</f>
        <v>55.54754545454546</v>
      </c>
    </row>
    <row r="9" spans="1:5" s="1132" customFormat="1" ht="18.75" customHeight="1">
      <c r="A9" s="1145" t="s">
        <v>1303</v>
      </c>
      <c r="B9" s="1146" t="s">
        <v>654</v>
      </c>
      <c r="C9" s="1147">
        <f>SUM(C10:C15)</f>
        <v>168390</v>
      </c>
      <c r="D9" s="1147">
        <f>SUM(D10:D15)</f>
        <v>53631.67</v>
      </c>
      <c r="E9" s="1148">
        <f t="shared" si="0"/>
        <v>31.8496763465764</v>
      </c>
    </row>
    <row r="10" spans="1:5" ht="15" customHeight="1">
      <c r="A10" s="1137" t="s">
        <v>1134</v>
      </c>
      <c r="B10" s="1138" t="s">
        <v>655</v>
      </c>
      <c r="C10" s="1139">
        <v>36000</v>
      </c>
      <c r="D10" s="1139">
        <v>18272.86</v>
      </c>
      <c r="E10" s="1140">
        <f t="shared" si="0"/>
        <v>50.75794444444445</v>
      </c>
    </row>
    <row r="11" spans="1:5" ht="15" customHeight="1">
      <c r="A11" s="1137" t="s">
        <v>1135</v>
      </c>
      <c r="B11" s="1138" t="s">
        <v>656</v>
      </c>
      <c r="C11" s="1139">
        <v>3300</v>
      </c>
      <c r="D11" s="1139">
        <v>1643.09</v>
      </c>
      <c r="E11" s="1140">
        <f t="shared" si="0"/>
        <v>49.79060606060606</v>
      </c>
    </row>
    <row r="12" spans="1:5" ht="15" customHeight="1">
      <c r="A12" s="1137" t="s">
        <v>1138</v>
      </c>
      <c r="B12" s="1138" t="s">
        <v>657</v>
      </c>
      <c r="C12" s="1139">
        <v>22800</v>
      </c>
      <c r="D12" s="1139">
        <v>14807.55</v>
      </c>
      <c r="E12" s="1140">
        <f t="shared" si="0"/>
        <v>64.9453947368421</v>
      </c>
    </row>
    <row r="13" spans="1:5" ht="15" customHeight="1">
      <c r="A13" s="1137" t="s">
        <v>1145</v>
      </c>
      <c r="B13" s="1138" t="s">
        <v>658</v>
      </c>
      <c r="C13" s="1139">
        <v>6600</v>
      </c>
      <c r="D13" s="1139">
        <v>3177.87</v>
      </c>
      <c r="E13" s="1140">
        <f t="shared" si="0"/>
        <v>48.14954545454545</v>
      </c>
    </row>
    <row r="14" spans="1:5" ht="15" customHeight="1">
      <c r="A14" s="1137" t="s">
        <v>1159</v>
      </c>
      <c r="B14" s="1138" t="s">
        <v>1130</v>
      </c>
      <c r="C14" s="1139">
        <v>9500</v>
      </c>
      <c r="D14" s="1139">
        <v>11717.52</v>
      </c>
      <c r="E14" s="1140">
        <f t="shared" si="0"/>
        <v>123.3423157894737</v>
      </c>
    </row>
    <row r="15" spans="1:5" ht="15" customHeight="1">
      <c r="A15" s="1141" t="s">
        <v>659</v>
      </c>
      <c r="B15" s="1142" t="s">
        <v>660</v>
      </c>
      <c r="C15" s="1143">
        <v>90190</v>
      </c>
      <c r="D15" s="1143">
        <v>4012.78</v>
      </c>
      <c r="E15" s="1144">
        <f t="shared" si="0"/>
        <v>4.4492515799977825</v>
      </c>
    </row>
    <row r="16" spans="1:5" s="1132" customFormat="1" ht="18.75" customHeight="1">
      <c r="A16" s="1145" t="s">
        <v>75</v>
      </c>
      <c r="B16" s="1146" t="s">
        <v>661</v>
      </c>
      <c r="C16" s="1147">
        <f>SUM(C17:C19)</f>
        <v>114000</v>
      </c>
      <c r="D16" s="1147">
        <f>SUM(D17:D19)</f>
        <v>57031.88</v>
      </c>
      <c r="E16" s="1148">
        <f t="shared" si="0"/>
        <v>50.027964912280694</v>
      </c>
    </row>
    <row r="17" spans="1:5" ht="15" customHeight="1">
      <c r="A17" s="1137" t="s">
        <v>662</v>
      </c>
      <c r="B17" s="1138" t="s">
        <v>663</v>
      </c>
      <c r="C17" s="1139">
        <v>22000</v>
      </c>
      <c r="D17" s="1139">
        <v>10707.51</v>
      </c>
      <c r="E17" s="1140">
        <f t="shared" si="0"/>
        <v>48.6705</v>
      </c>
    </row>
    <row r="18" spans="1:5" ht="15" customHeight="1">
      <c r="A18" s="1137" t="s">
        <v>664</v>
      </c>
      <c r="B18" s="1138" t="s">
        <v>665</v>
      </c>
      <c r="C18" s="1139">
        <v>27000</v>
      </c>
      <c r="D18" s="1139">
        <v>7491.78</v>
      </c>
      <c r="E18" s="1140">
        <f t="shared" si="0"/>
        <v>27.747333333333334</v>
      </c>
    </row>
    <row r="19" spans="1:5" ht="15" customHeight="1">
      <c r="A19" s="1141" t="s">
        <v>666</v>
      </c>
      <c r="B19" s="1142" t="s">
        <v>667</v>
      </c>
      <c r="C19" s="1143">
        <v>65000</v>
      </c>
      <c r="D19" s="1143">
        <v>38832.59</v>
      </c>
      <c r="E19" s="1144">
        <f t="shared" si="0"/>
        <v>59.74244615384615</v>
      </c>
    </row>
    <row r="20" spans="1:5" s="1132" customFormat="1" ht="18.75" customHeight="1">
      <c r="A20" s="1145" t="s">
        <v>83</v>
      </c>
      <c r="B20" s="1146" t="s">
        <v>668</v>
      </c>
      <c r="C20" s="1147">
        <f>SUM(C21,C22,C23,C24,C25,C26,C27,C28,C29,C30,C31,C32)</f>
        <v>362600</v>
      </c>
      <c r="D20" s="1147">
        <f>SUM(D21,D22,D23,D24,D25,D26,D27,D28,D29,D30,D31,D32)</f>
        <v>185004.43000000002</v>
      </c>
      <c r="E20" s="1148">
        <f t="shared" si="0"/>
        <v>51.02162989520133</v>
      </c>
    </row>
    <row r="21" spans="1:5" ht="15" customHeight="1">
      <c r="A21" s="1137" t="s">
        <v>669</v>
      </c>
      <c r="B21" s="1138" t="s">
        <v>670</v>
      </c>
      <c r="C21" s="1139">
        <v>3000</v>
      </c>
      <c r="D21" s="1139">
        <v>3503.1</v>
      </c>
      <c r="E21" s="1140">
        <f t="shared" si="0"/>
        <v>116.77</v>
      </c>
    </row>
    <row r="22" spans="1:5" ht="15" customHeight="1">
      <c r="A22" s="1137" t="s">
        <v>671</v>
      </c>
      <c r="B22" s="1138" t="s">
        <v>672</v>
      </c>
      <c r="C22" s="1139">
        <v>28000</v>
      </c>
      <c r="D22" s="1139">
        <v>10613.5</v>
      </c>
      <c r="E22" s="1140">
        <f t="shared" si="0"/>
        <v>37.90535714285714</v>
      </c>
    </row>
    <row r="23" spans="1:5" ht="15" customHeight="1">
      <c r="A23" s="1137" t="s">
        <v>673</v>
      </c>
      <c r="B23" s="1138" t="s">
        <v>572</v>
      </c>
      <c r="C23" s="1139">
        <v>162000</v>
      </c>
      <c r="D23" s="1139">
        <v>88393.11</v>
      </c>
      <c r="E23" s="1140">
        <f t="shared" si="0"/>
        <v>54.56364814814815</v>
      </c>
    </row>
    <row r="24" spans="1:5" ht="15" customHeight="1">
      <c r="A24" s="1137" t="s">
        <v>694</v>
      </c>
      <c r="B24" s="1138" t="s">
        <v>695</v>
      </c>
      <c r="C24" s="1139">
        <v>8200</v>
      </c>
      <c r="D24" s="1139">
        <v>3851.52</v>
      </c>
      <c r="E24" s="1140">
        <f t="shared" si="0"/>
        <v>46.969756097560975</v>
      </c>
    </row>
    <row r="25" spans="1:5" ht="17.25" customHeight="1">
      <c r="A25" s="1137" t="s">
        <v>696</v>
      </c>
      <c r="B25" s="1138" t="s">
        <v>741</v>
      </c>
      <c r="C25" s="1139">
        <v>20000</v>
      </c>
      <c r="D25" s="1139">
        <v>6994.67</v>
      </c>
      <c r="E25" s="1140">
        <f t="shared" si="0"/>
        <v>34.97335</v>
      </c>
    </row>
    <row r="26" spans="1:5" ht="15" customHeight="1">
      <c r="A26" s="1137" t="s">
        <v>742</v>
      </c>
      <c r="B26" s="1138" t="s">
        <v>67</v>
      </c>
      <c r="C26" s="1139">
        <v>1400</v>
      </c>
      <c r="D26" s="1139">
        <v>541.5</v>
      </c>
      <c r="E26" s="1140">
        <f t="shared" si="0"/>
        <v>38.67857142857143</v>
      </c>
    </row>
    <row r="27" spans="1:5" ht="15" customHeight="1">
      <c r="A27" s="1137" t="s">
        <v>743</v>
      </c>
      <c r="B27" s="1138" t="s">
        <v>744</v>
      </c>
      <c r="C27" s="1139">
        <v>45000</v>
      </c>
      <c r="D27" s="1139">
        <v>15920</v>
      </c>
      <c r="E27" s="1140">
        <f t="shared" si="0"/>
        <v>35.37777777777778</v>
      </c>
    </row>
    <row r="28" spans="1:5" ht="15" customHeight="1">
      <c r="A28" s="1137" t="s">
        <v>745</v>
      </c>
      <c r="B28" s="1138" t="s">
        <v>734</v>
      </c>
      <c r="C28" s="1139">
        <v>0</v>
      </c>
      <c r="D28" s="1139">
        <v>1020</v>
      </c>
      <c r="E28" s="1150" t="s">
        <v>1274</v>
      </c>
    </row>
    <row r="29" spans="1:5" ht="15" customHeight="1">
      <c r="A29" s="1137" t="s">
        <v>747</v>
      </c>
      <c r="B29" s="1138" t="s">
        <v>746</v>
      </c>
      <c r="C29" s="1139">
        <v>24000</v>
      </c>
      <c r="D29" s="1139">
        <v>12000</v>
      </c>
      <c r="E29" s="1140">
        <f t="shared" si="0"/>
        <v>50</v>
      </c>
    </row>
    <row r="30" spans="1:5" ht="15" customHeight="1">
      <c r="A30" s="1137" t="s">
        <v>916</v>
      </c>
      <c r="B30" s="1138" t="s">
        <v>736</v>
      </c>
      <c r="C30" s="1139">
        <v>0</v>
      </c>
      <c r="D30" s="1139">
        <v>27880</v>
      </c>
      <c r="E30" s="1150" t="s">
        <v>1274</v>
      </c>
    </row>
    <row r="31" spans="1:5" ht="15" customHeight="1">
      <c r="A31" s="1137" t="s">
        <v>389</v>
      </c>
      <c r="B31" s="1138" t="s">
        <v>735</v>
      </c>
      <c r="C31" s="1139">
        <v>45000</v>
      </c>
      <c r="D31" s="1139">
        <v>0</v>
      </c>
      <c r="E31" s="1140">
        <f t="shared" si="0"/>
        <v>0</v>
      </c>
    </row>
    <row r="32" spans="1:5" ht="15" customHeight="1">
      <c r="A32" s="1137" t="s">
        <v>724</v>
      </c>
      <c r="B32" s="1142" t="s">
        <v>748</v>
      </c>
      <c r="C32" s="1143">
        <v>26000</v>
      </c>
      <c r="D32" s="1143">
        <v>14287.03</v>
      </c>
      <c r="E32" s="1144">
        <f t="shared" si="0"/>
        <v>54.95011538461539</v>
      </c>
    </row>
    <row r="33" spans="1:5" s="1132" customFormat="1" ht="18.75" customHeight="1">
      <c r="A33" s="1145" t="s">
        <v>84</v>
      </c>
      <c r="B33" s="1146" t="s">
        <v>749</v>
      </c>
      <c r="C33" s="1147">
        <f>SUM(C34,C35,C36)</f>
        <v>579300</v>
      </c>
      <c r="D33" s="1147">
        <f>SUM(D34,D35,D36)</f>
        <v>283632.93</v>
      </c>
      <c r="E33" s="1148">
        <f t="shared" si="0"/>
        <v>48.9613205592957</v>
      </c>
    </row>
    <row r="34" spans="1:5" ht="15" customHeight="1">
      <c r="A34" s="1141" t="s">
        <v>750</v>
      </c>
      <c r="B34" s="1142" t="s">
        <v>751</v>
      </c>
      <c r="C34" s="1143">
        <v>540300</v>
      </c>
      <c r="D34" s="1143">
        <v>272345.44</v>
      </c>
      <c r="E34" s="1144">
        <f t="shared" si="0"/>
        <v>50.40633722006292</v>
      </c>
    </row>
    <row r="35" spans="1:5" ht="15" customHeight="1">
      <c r="A35" s="1141" t="s">
        <v>752</v>
      </c>
      <c r="B35" s="1142" t="s">
        <v>738</v>
      </c>
      <c r="C35" s="1143">
        <v>11800</v>
      </c>
      <c r="D35" s="1143">
        <v>1877.49</v>
      </c>
      <c r="E35" s="1144"/>
    </row>
    <row r="36" spans="1:5" ht="15" customHeight="1">
      <c r="A36" s="1141" t="s">
        <v>737</v>
      </c>
      <c r="B36" s="1142" t="s">
        <v>388</v>
      </c>
      <c r="C36" s="1143">
        <v>27200</v>
      </c>
      <c r="D36" s="1143">
        <v>9410</v>
      </c>
      <c r="E36" s="1169" t="s">
        <v>1274</v>
      </c>
    </row>
    <row r="37" spans="1:5" ht="18.75" customHeight="1">
      <c r="A37" s="1151" t="s">
        <v>85</v>
      </c>
      <c r="B37" s="1152" t="s">
        <v>753</v>
      </c>
      <c r="C37" s="1153">
        <v>95000</v>
      </c>
      <c r="D37" s="1153">
        <v>49385.18</v>
      </c>
      <c r="E37" s="1154">
        <f t="shared" si="0"/>
        <v>51.984399999999994</v>
      </c>
    </row>
    <row r="38" spans="1:5" ht="25.5" customHeight="1">
      <c r="A38" s="1151" t="s">
        <v>133</v>
      </c>
      <c r="B38" s="1152" t="s">
        <v>754</v>
      </c>
      <c r="C38" s="1153">
        <v>18200</v>
      </c>
      <c r="D38" s="1153">
        <v>4000.16</v>
      </c>
      <c r="E38" s="1154">
        <f t="shared" si="0"/>
        <v>21.978901098901098</v>
      </c>
    </row>
    <row r="39" spans="1:5" s="1132" customFormat="1" ht="18.75" customHeight="1">
      <c r="A39" s="1145" t="s">
        <v>134</v>
      </c>
      <c r="B39" s="1146" t="s">
        <v>755</v>
      </c>
      <c r="C39" s="1147">
        <f>SUM(C40:C41)</f>
        <v>5400</v>
      </c>
      <c r="D39" s="1147">
        <f>SUM(D40:D41)</f>
        <v>2077</v>
      </c>
      <c r="E39" s="1148">
        <f t="shared" si="0"/>
        <v>38.46296296296296</v>
      </c>
    </row>
    <row r="40" spans="1:5" ht="15" customHeight="1">
      <c r="A40" s="1137" t="s">
        <v>756</v>
      </c>
      <c r="B40" s="1138" t="s">
        <v>757</v>
      </c>
      <c r="C40" s="1139">
        <v>5200</v>
      </c>
      <c r="D40" s="1139">
        <v>1877</v>
      </c>
      <c r="E40" s="1140">
        <f t="shared" si="0"/>
        <v>36.09615384615385</v>
      </c>
    </row>
    <row r="41" spans="1:5" ht="15" customHeight="1">
      <c r="A41" s="1141" t="s">
        <v>758</v>
      </c>
      <c r="B41" s="1142" t="s">
        <v>759</v>
      </c>
      <c r="C41" s="1143">
        <v>200</v>
      </c>
      <c r="D41" s="1143">
        <v>200</v>
      </c>
      <c r="E41" s="1144">
        <f t="shared" si="0"/>
        <v>100</v>
      </c>
    </row>
    <row r="42" spans="1:5" s="1132" customFormat="1" ht="18.75" customHeight="1">
      <c r="A42" s="1151" t="s">
        <v>86</v>
      </c>
      <c r="B42" s="1152" t="s">
        <v>760</v>
      </c>
      <c r="C42" s="1153">
        <v>2000</v>
      </c>
      <c r="D42" s="1153">
        <v>1108.71</v>
      </c>
      <c r="E42" s="1154">
        <f t="shared" si="0"/>
        <v>55.435500000000005</v>
      </c>
    </row>
    <row r="43" spans="1:5" s="1132" customFormat="1" ht="18.75" customHeight="1">
      <c r="A43" s="1151" t="s">
        <v>88</v>
      </c>
      <c r="B43" s="1152" t="s">
        <v>833</v>
      </c>
      <c r="C43" s="1153">
        <v>1500</v>
      </c>
      <c r="D43" s="1153">
        <v>86.4</v>
      </c>
      <c r="E43" s="1154">
        <f t="shared" si="0"/>
        <v>5.760000000000001</v>
      </c>
    </row>
    <row r="44" spans="1:5" s="1132" customFormat="1" ht="21.75" customHeight="1">
      <c r="A44" s="1151" t="s">
        <v>135</v>
      </c>
      <c r="B44" s="1152" t="s">
        <v>834</v>
      </c>
      <c r="C44" s="1153">
        <v>4950</v>
      </c>
      <c r="D44" s="1153">
        <v>4334</v>
      </c>
      <c r="E44" s="1154">
        <f t="shared" si="0"/>
        <v>87.55555555555556</v>
      </c>
    </row>
    <row r="45" spans="1:5" s="1132" customFormat="1" ht="21.75" customHeight="1">
      <c r="A45" s="1151" t="s">
        <v>89</v>
      </c>
      <c r="B45" s="1166" t="s">
        <v>934</v>
      </c>
      <c r="C45" s="1153">
        <v>0</v>
      </c>
      <c r="D45" s="1153">
        <v>8.44</v>
      </c>
      <c r="E45" s="1158" t="s">
        <v>1274</v>
      </c>
    </row>
    <row r="46" spans="1:5" s="1132" customFormat="1" ht="18.75" customHeight="1">
      <c r="A46" s="1151" t="s">
        <v>90</v>
      </c>
      <c r="B46" s="1152" t="s">
        <v>835</v>
      </c>
      <c r="C46" s="1153">
        <f>SUM(C8+C9+C16+C20+C33+C37+C38+C39+C42+C43+C44+C45)</f>
        <v>1373340</v>
      </c>
      <c r="D46" s="1153">
        <f>SUM(D8+D9+D16+D20+D33+D37+D38+D39+D42+D43+D44+D45)</f>
        <v>652521.2600000001</v>
      </c>
      <c r="E46" s="1154">
        <f t="shared" si="0"/>
        <v>47.51345333275082</v>
      </c>
    </row>
    <row r="47" spans="1:5" s="1132" customFormat="1" ht="18.75" customHeight="1">
      <c r="A47" s="1145" t="s">
        <v>136</v>
      </c>
      <c r="B47" s="1146" t="s">
        <v>836</v>
      </c>
      <c r="C47" s="1147">
        <f>SUM(C48:C50)</f>
        <v>1216950</v>
      </c>
      <c r="D47" s="1147">
        <f>SUM(D48:D50)</f>
        <v>619104.48</v>
      </c>
      <c r="E47" s="1148">
        <f t="shared" si="0"/>
        <v>50.87345248366818</v>
      </c>
    </row>
    <row r="48" spans="1:5" ht="15" customHeight="1">
      <c r="A48" s="1137" t="s">
        <v>61</v>
      </c>
      <c r="B48" s="1138" t="s">
        <v>838</v>
      </c>
      <c r="C48" s="1139">
        <v>886950</v>
      </c>
      <c r="D48" s="1139">
        <v>458247.75</v>
      </c>
      <c r="E48" s="1140">
        <f t="shared" si="0"/>
        <v>51.6655673938779</v>
      </c>
    </row>
    <row r="49" spans="1:5" ht="15" customHeight="1">
      <c r="A49" s="1137" t="s">
        <v>62</v>
      </c>
      <c r="B49" s="1138" t="s">
        <v>839</v>
      </c>
      <c r="C49" s="1139">
        <v>80000</v>
      </c>
      <c r="D49" s="1139">
        <v>33581.53</v>
      </c>
      <c r="E49" s="1140">
        <f t="shared" si="0"/>
        <v>41.9769125</v>
      </c>
    </row>
    <row r="50" spans="1:5" ht="15" customHeight="1">
      <c r="A50" s="1141" t="s">
        <v>63</v>
      </c>
      <c r="B50" s="1142" t="s">
        <v>840</v>
      </c>
      <c r="C50" s="1143">
        <v>250000</v>
      </c>
      <c r="D50" s="1143">
        <v>127275.2</v>
      </c>
      <c r="E50" s="1144">
        <f t="shared" si="0"/>
        <v>50.91008</v>
      </c>
    </row>
    <row r="51" spans="1:5" s="1132" customFormat="1" ht="18.75" customHeight="1">
      <c r="A51" s="1165" t="s">
        <v>91</v>
      </c>
      <c r="B51" s="1166" t="s">
        <v>841</v>
      </c>
      <c r="C51" s="1167">
        <v>0</v>
      </c>
      <c r="D51" s="1167">
        <v>8.64</v>
      </c>
      <c r="E51" s="1170" t="s">
        <v>1274</v>
      </c>
    </row>
    <row r="52" spans="1:5" s="1132" customFormat="1" ht="18.75" customHeight="1">
      <c r="A52" s="1145" t="s">
        <v>92</v>
      </c>
      <c r="B52" s="1146" t="s">
        <v>842</v>
      </c>
      <c r="C52" s="1147">
        <f>SUM(C53:C54)</f>
        <v>136190</v>
      </c>
      <c r="D52" s="1147">
        <f>SUM(D53:D54)</f>
        <v>73437.16</v>
      </c>
      <c r="E52" s="1136">
        <f>D52/C52*100</f>
        <v>53.92257875027535</v>
      </c>
    </row>
    <row r="53" spans="1:5" ht="15" customHeight="1">
      <c r="A53" s="1137" t="s">
        <v>65</v>
      </c>
      <c r="B53" s="1138" t="s">
        <v>843</v>
      </c>
      <c r="C53" s="1139">
        <v>136190</v>
      </c>
      <c r="D53" s="1139">
        <v>71600</v>
      </c>
      <c r="E53" s="1140">
        <f>D53/C53*100</f>
        <v>52.57361039723916</v>
      </c>
    </row>
    <row r="54" spans="1:5" ht="15" customHeight="1">
      <c r="A54" s="1141" t="s">
        <v>66</v>
      </c>
      <c r="B54" s="1142" t="s">
        <v>127</v>
      </c>
      <c r="C54" s="1143">
        <v>0</v>
      </c>
      <c r="D54" s="1143">
        <v>1837.16</v>
      </c>
      <c r="E54" s="1169" t="s">
        <v>1274</v>
      </c>
    </row>
    <row r="55" spans="1:5" s="1132" customFormat="1" ht="18.75" customHeight="1">
      <c r="A55" s="1151" t="s">
        <v>93</v>
      </c>
      <c r="B55" s="1152" t="s">
        <v>844</v>
      </c>
      <c r="C55" s="1153">
        <f>SUM(C47+C51+C52)</f>
        <v>1353140</v>
      </c>
      <c r="D55" s="1153">
        <f>SUM(D47+D51+D52)</f>
        <v>692550.28</v>
      </c>
      <c r="E55" s="1154">
        <f>D55/C55*100</f>
        <v>51.18097757807766</v>
      </c>
    </row>
    <row r="56" spans="1:5" s="1132" customFormat="1" ht="18.75" customHeight="1" thickBot="1">
      <c r="A56" s="1174" t="s">
        <v>94</v>
      </c>
      <c r="B56" s="1175" t="s">
        <v>845</v>
      </c>
      <c r="C56" s="1176">
        <f>SUM(C55-C46)</f>
        <v>-20200</v>
      </c>
      <c r="D56" s="1176">
        <f>SUM(D55-D46)</f>
        <v>40029.0199999999</v>
      </c>
      <c r="E56" s="1177" t="s">
        <v>1274</v>
      </c>
    </row>
  </sheetData>
  <sheetProtection password="CF93" sheet="1" objects="1" scenarios="1" selectLockedCells="1" selectUnlockedCells="1"/>
  <mergeCells count="2">
    <mergeCell ref="A3:E3"/>
    <mergeCell ref="D1:E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2"/>
  </sheetPr>
  <dimension ref="A1:L205"/>
  <sheetViews>
    <sheetView view="pageBreakPreview" zoomScaleSheetLayoutView="100" workbookViewId="0" topLeftCell="A28">
      <selection activeCell="I54" sqref="I54"/>
    </sheetView>
  </sheetViews>
  <sheetFormatPr defaultColWidth="9.00390625" defaultRowHeight="12.75"/>
  <cols>
    <col min="1" max="1" width="4.375" style="774" customWidth="1"/>
    <col min="2" max="2" width="27.625" style="335" customWidth="1"/>
    <col min="3" max="3" width="13.25390625" style="335" customWidth="1"/>
    <col min="4" max="4" width="13.625" style="335" customWidth="1"/>
    <col min="5" max="5" width="5.625" style="336" customWidth="1"/>
    <col min="6" max="7" width="13.375" style="335" customWidth="1"/>
    <col min="8" max="8" width="6.00390625" style="336" customWidth="1"/>
    <col min="9" max="9" width="14.375" style="335" customWidth="1"/>
    <col min="10" max="16384" width="9.125" style="335" customWidth="1"/>
  </cols>
  <sheetData>
    <row r="1" spans="7:8" ht="18.75" customHeight="1">
      <c r="G1" s="1365" t="s">
        <v>447</v>
      </c>
      <c r="H1" s="1365"/>
    </row>
    <row r="2" ht="26.25" customHeight="1"/>
    <row r="3" spans="1:10" ht="12.75">
      <c r="A3" s="1373" t="s">
        <v>1254</v>
      </c>
      <c r="B3" s="1373"/>
      <c r="C3" s="1373"/>
      <c r="D3" s="1373"/>
      <c r="E3" s="1373"/>
      <c r="F3" s="1373"/>
      <c r="G3" s="1373"/>
      <c r="H3" s="1373"/>
      <c r="I3" s="749"/>
      <c r="J3" s="749"/>
    </row>
    <row r="4" spans="1:8" ht="10.5" customHeight="1" thickBot="1">
      <c r="A4" s="775"/>
      <c r="B4" s="337"/>
      <c r="C4" s="337"/>
      <c r="D4" s="337"/>
      <c r="E4" s="337"/>
      <c r="F4" s="337"/>
      <c r="G4" s="337"/>
      <c r="H4" s="776" t="s">
        <v>1035</v>
      </c>
    </row>
    <row r="5" spans="1:8" ht="15" customHeight="1">
      <c r="A5" s="1366" t="s">
        <v>1215</v>
      </c>
      <c r="B5" s="1368" t="s">
        <v>13</v>
      </c>
      <c r="C5" s="1370" t="s">
        <v>14</v>
      </c>
      <c r="D5" s="1371"/>
      <c r="E5" s="1371"/>
      <c r="F5" s="1370" t="s">
        <v>1291</v>
      </c>
      <c r="G5" s="1371"/>
      <c r="H5" s="1372"/>
    </row>
    <row r="6" spans="1:8" ht="14.25" customHeight="1">
      <c r="A6" s="1367"/>
      <c r="B6" s="1369"/>
      <c r="C6" s="745" t="s">
        <v>1292</v>
      </c>
      <c r="D6" s="338" t="s">
        <v>1039</v>
      </c>
      <c r="E6" s="338" t="s">
        <v>1040</v>
      </c>
      <c r="F6" s="745" t="s">
        <v>1292</v>
      </c>
      <c r="G6" s="338" t="s">
        <v>1039</v>
      </c>
      <c r="H6" s="641" t="s">
        <v>1040</v>
      </c>
    </row>
    <row r="7" spans="1:8" s="778" customFormat="1" ht="11.25" thickBot="1">
      <c r="A7" s="269">
        <v>1</v>
      </c>
      <c r="B7" s="259">
        <v>2</v>
      </c>
      <c r="C7" s="259">
        <v>3</v>
      </c>
      <c r="D7" s="259">
        <v>4</v>
      </c>
      <c r="E7" s="259">
        <v>5</v>
      </c>
      <c r="F7" s="259">
        <v>6</v>
      </c>
      <c r="G7" s="259">
        <v>7</v>
      </c>
      <c r="H7" s="777">
        <v>8</v>
      </c>
    </row>
    <row r="8" spans="1:8" ht="4.5" customHeight="1">
      <c r="A8" s="270"/>
      <c r="B8" s="260"/>
      <c r="C8" s="260"/>
      <c r="D8" s="260"/>
      <c r="E8" s="339"/>
      <c r="F8" s="783"/>
      <c r="G8" s="783"/>
      <c r="H8" s="784"/>
    </row>
    <row r="9" spans="1:8" ht="19.5" customHeight="1">
      <c r="A9" s="236" t="s">
        <v>1041</v>
      </c>
      <c r="B9" s="260" t="s">
        <v>15</v>
      </c>
      <c r="C9" s="137">
        <f>SUM(6D!E8,6D!E267)</f>
        <v>16017.75</v>
      </c>
      <c r="D9" s="137">
        <f>SUM(6D!F8,6D!F267)</f>
        <v>16017.75</v>
      </c>
      <c r="E9" s="340">
        <f>D9*100/C9</f>
        <v>100</v>
      </c>
      <c r="F9" s="137">
        <f>SUM(9W!D8,9W!D423)</f>
        <v>85184.75</v>
      </c>
      <c r="G9" s="137">
        <f>SUM(9W!E8,9W!E423)</f>
        <v>30360.67</v>
      </c>
      <c r="H9" s="139">
        <f aca="true" t="shared" si="0" ref="H9:H21">G9*100/F9</f>
        <v>35.64096860060046</v>
      </c>
    </row>
    <row r="10" spans="1:8" ht="19.5" customHeight="1">
      <c r="A10" s="236" t="s">
        <v>1043</v>
      </c>
      <c r="B10" s="260" t="s">
        <v>16</v>
      </c>
      <c r="C10" s="137">
        <f>SUM(6D!E11)</f>
        <v>51000</v>
      </c>
      <c r="D10" s="137">
        <f>SUM(6D!F11)</f>
        <v>37731.75</v>
      </c>
      <c r="E10" s="340">
        <f>D10*100/C10</f>
        <v>73.98382352941177</v>
      </c>
      <c r="F10" s="137">
        <f>SUM(9W!D22)</f>
        <v>56020</v>
      </c>
      <c r="G10" s="137">
        <f>SUM(9W!E22)</f>
        <v>6827.13</v>
      </c>
      <c r="H10" s="139">
        <f t="shared" si="0"/>
        <v>12.186951088896823</v>
      </c>
    </row>
    <row r="11" spans="1:8" ht="27.75" customHeight="1">
      <c r="A11" s="236" t="s">
        <v>60</v>
      </c>
      <c r="B11" s="261" t="s">
        <v>984</v>
      </c>
      <c r="C11" s="137">
        <f>6D!E16</f>
        <v>0</v>
      </c>
      <c r="D11" s="137">
        <f>6D!F16</f>
        <v>6716.06</v>
      </c>
      <c r="E11" s="340" t="s">
        <v>1274</v>
      </c>
      <c r="F11" s="137">
        <f>SUM(9W!D25)</f>
        <v>4927000</v>
      </c>
      <c r="G11" s="137">
        <f>SUM(9W!E25)</f>
        <v>2309242.43</v>
      </c>
      <c r="H11" s="139">
        <f>G11/F11*100</f>
        <v>46.86913801501929</v>
      </c>
    </row>
    <row r="12" spans="1:8" ht="19.5" customHeight="1">
      <c r="A12" s="236" t="s">
        <v>1045</v>
      </c>
      <c r="B12" s="260" t="s">
        <v>17</v>
      </c>
      <c r="C12" s="137">
        <v>0</v>
      </c>
      <c r="D12" s="137">
        <v>0</v>
      </c>
      <c r="E12" s="340" t="s">
        <v>1274</v>
      </c>
      <c r="F12" s="137">
        <f>SUM(9W!D28)</f>
        <v>400000</v>
      </c>
      <c r="G12" s="137">
        <f>SUM(9W!E28)</f>
        <v>182322.53</v>
      </c>
      <c r="H12" s="139">
        <f t="shared" si="0"/>
        <v>45.5806325</v>
      </c>
    </row>
    <row r="13" spans="1:8" ht="19.5" customHeight="1" hidden="1">
      <c r="A13" s="236" t="s">
        <v>29</v>
      </c>
      <c r="B13" s="260" t="s">
        <v>30</v>
      </c>
      <c r="C13" s="137">
        <f>SUM(6D!E19)</f>
        <v>0</v>
      </c>
      <c r="D13" s="137">
        <f>SUM(6D!F19)</f>
        <v>0</v>
      </c>
      <c r="E13" s="340" t="s">
        <v>1274</v>
      </c>
      <c r="F13" s="137">
        <v>0</v>
      </c>
      <c r="G13" s="137">
        <v>0</v>
      </c>
      <c r="H13" s="139" t="s">
        <v>1274</v>
      </c>
    </row>
    <row r="14" spans="1:8" ht="19.5" customHeight="1">
      <c r="A14" s="236" t="s">
        <v>1046</v>
      </c>
      <c r="B14" s="260" t="s">
        <v>7</v>
      </c>
      <c r="C14" s="137">
        <f>SUM(6D!E22,6D!E270)</f>
        <v>11194154</v>
      </c>
      <c r="D14" s="137">
        <f>SUM(6D!F22,6D!F270)</f>
        <v>9501208.180000002</v>
      </c>
      <c r="E14" s="340">
        <f>D14*100/C14</f>
        <v>84.8765184041599</v>
      </c>
      <c r="F14" s="137">
        <f>SUM(9W!D35,9W!D426)</f>
        <v>56971606</v>
      </c>
      <c r="G14" s="137">
        <f>SUM(9W!E35,9W!E426)</f>
        <v>23398514.200000003</v>
      </c>
      <c r="H14" s="139">
        <f t="shared" si="0"/>
        <v>41.07048377748032</v>
      </c>
    </row>
    <row r="15" spans="1:8" ht="19.5" customHeight="1">
      <c r="A15" s="236" t="s">
        <v>1051</v>
      </c>
      <c r="B15" s="260" t="s">
        <v>18</v>
      </c>
      <c r="C15" s="137">
        <f>SUM(6D!E37)</f>
        <v>279800</v>
      </c>
      <c r="D15" s="137">
        <f>SUM(6D!F37)</f>
        <v>12502.55</v>
      </c>
      <c r="E15" s="340">
        <f>D15*100/C15</f>
        <v>4.468388134381701</v>
      </c>
      <c r="F15" s="137">
        <f>SUM(9W!D53)</f>
        <v>1366014</v>
      </c>
      <c r="G15" s="137">
        <f>SUM(9W!E53)</f>
        <v>206581.96000000002</v>
      </c>
      <c r="H15" s="139">
        <f t="shared" si="0"/>
        <v>15.122975313576584</v>
      </c>
    </row>
    <row r="16" spans="1:8" ht="19.5" customHeight="1">
      <c r="A16" s="236" t="s">
        <v>1053</v>
      </c>
      <c r="B16" s="261" t="s">
        <v>19</v>
      </c>
      <c r="C16" s="137">
        <f>SUM(6D!E47,6D!E283)</f>
        <v>19286839</v>
      </c>
      <c r="D16" s="137">
        <f>SUM(6D!F47,6D!F283)</f>
        <v>3453714.18</v>
      </c>
      <c r="E16" s="340">
        <f>D16*100/C16</f>
        <v>17.907103284265503</v>
      </c>
      <c r="F16" s="137">
        <f>SUM(9W!D63,9W!D436)</f>
        <v>5825265</v>
      </c>
      <c r="G16" s="137">
        <f>SUM(9W!E63,9W!E436)</f>
        <v>1497292.56</v>
      </c>
      <c r="H16" s="139">
        <f t="shared" si="0"/>
        <v>25.703423964403335</v>
      </c>
    </row>
    <row r="17" spans="1:8" ht="19.5" customHeight="1">
      <c r="A17" s="236" t="s">
        <v>1057</v>
      </c>
      <c r="B17" s="261" t="s">
        <v>20</v>
      </c>
      <c r="C17" s="137">
        <f>SUM(6D!E65,6D!E287)</f>
        <v>615895</v>
      </c>
      <c r="D17" s="137">
        <f>SUM(6D!F65,6D!F287)</f>
        <v>307202.08999999997</v>
      </c>
      <c r="E17" s="340">
        <f>D17*100/C17</f>
        <v>49.87897125321686</v>
      </c>
      <c r="F17" s="137">
        <f>SUM(9W!D76,9W!D440)</f>
        <v>1838376</v>
      </c>
      <c r="G17" s="137">
        <f>SUM(9W!E76,9W!E440)</f>
        <v>468322.01</v>
      </c>
      <c r="H17" s="139">
        <f t="shared" si="0"/>
        <v>25.474767403403874</v>
      </c>
    </row>
    <row r="18" spans="1:8" ht="19.5" customHeight="1">
      <c r="A18" s="236" t="s">
        <v>1069</v>
      </c>
      <c r="B18" s="261" t="s">
        <v>21</v>
      </c>
      <c r="C18" s="137">
        <f>SUM(6D!E73,6D!E295)</f>
        <v>2082886</v>
      </c>
      <c r="D18" s="137">
        <f>SUM(6D!F73,6D!F295)</f>
        <v>1419206.43</v>
      </c>
      <c r="E18" s="340">
        <f>D18/C18*100</f>
        <v>68.13653891763639</v>
      </c>
      <c r="F18" s="137">
        <f>SUM(9W!D88,9W!D455)</f>
        <v>16921283</v>
      </c>
      <c r="G18" s="137">
        <f>SUM(9W!E88,9W!E455)</f>
        <v>8188056.340000001</v>
      </c>
      <c r="H18" s="139">
        <f t="shared" si="0"/>
        <v>48.38909874623574</v>
      </c>
    </row>
    <row r="19" spans="1:8" ht="39" customHeight="1">
      <c r="A19" s="236" t="s">
        <v>1294</v>
      </c>
      <c r="B19" s="261" t="s">
        <v>972</v>
      </c>
      <c r="C19" s="137">
        <f>SUM(6D!E92)</f>
        <v>59180</v>
      </c>
      <c r="D19" s="137">
        <f>SUM(6D!F92)</f>
        <v>55730</v>
      </c>
      <c r="E19" s="340">
        <f>D19/C19*100</f>
        <v>94.1703278134505</v>
      </c>
      <c r="F19" s="137">
        <f>SUM(9W!D118)</f>
        <v>59180</v>
      </c>
      <c r="G19" s="137">
        <f>SUM(9W!E118)</f>
        <v>35663.3</v>
      </c>
      <c r="H19" s="139">
        <f t="shared" si="0"/>
        <v>60.26241973639744</v>
      </c>
    </row>
    <row r="20" spans="1:8" ht="30" customHeight="1">
      <c r="A20" s="236" t="s">
        <v>1085</v>
      </c>
      <c r="B20" s="261" t="s">
        <v>22</v>
      </c>
      <c r="C20" s="137">
        <f>SUM(6D!E97,6D!E306)</f>
        <v>4020449</v>
      </c>
      <c r="D20" s="137">
        <f>SUM(6D!F97,6D!F306)</f>
        <v>2430639.6</v>
      </c>
      <c r="E20" s="340">
        <f>D20/C20*100</f>
        <v>60.45691911525305</v>
      </c>
      <c r="F20" s="137">
        <f>SUM(9W!D131,9W!D474)</f>
        <v>5480539</v>
      </c>
      <c r="G20" s="137">
        <f>SUM(9W!E131,9W!E474)</f>
        <v>2366408.15</v>
      </c>
      <c r="H20" s="139">
        <f t="shared" si="0"/>
        <v>43.17838354950124</v>
      </c>
    </row>
    <row r="21" spans="1:8" ht="65.25" customHeight="1">
      <c r="A21" s="236" t="s">
        <v>23</v>
      </c>
      <c r="B21" s="261" t="s">
        <v>983</v>
      </c>
      <c r="C21" s="137">
        <f>SUM(6D!E310,6D!E106)</f>
        <v>63408277</v>
      </c>
      <c r="D21" s="137">
        <f>SUM(6D!F310,6D!F106)</f>
        <v>28626028.990000002</v>
      </c>
      <c r="E21" s="340">
        <f>D21*100/C21</f>
        <v>45.14557143699079</v>
      </c>
      <c r="F21" s="137">
        <f>SUM(9W!D150)</f>
        <v>465000</v>
      </c>
      <c r="G21" s="137">
        <f>SUM(9W!E150)</f>
        <v>104895.62</v>
      </c>
      <c r="H21" s="139">
        <f t="shared" si="0"/>
        <v>22.558197849462367</v>
      </c>
    </row>
    <row r="22" spans="1:8" ht="19.5" customHeight="1">
      <c r="A22" s="236" t="s">
        <v>1089</v>
      </c>
      <c r="B22" s="260" t="s">
        <v>24</v>
      </c>
      <c r="C22" s="137">
        <v>0</v>
      </c>
      <c r="D22" s="137">
        <v>0</v>
      </c>
      <c r="E22" s="340" t="s">
        <v>1274</v>
      </c>
      <c r="F22" s="137">
        <f>SUM(9W!D156)</f>
        <v>2190500</v>
      </c>
      <c r="G22" s="137">
        <f>SUM(9W!E156)</f>
        <v>707400.89</v>
      </c>
      <c r="H22" s="139">
        <f aca="true" t="shared" si="1" ref="H22:H31">G22*100/F22</f>
        <v>32.29403743437571</v>
      </c>
    </row>
    <row r="23" spans="1:8" ht="19.5" customHeight="1">
      <c r="A23" s="236" t="s">
        <v>1090</v>
      </c>
      <c r="B23" s="260" t="s">
        <v>25</v>
      </c>
      <c r="C23" s="137">
        <f>SUM(6D!E142,6D!E316)</f>
        <v>62455980</v>
      </c>
      <c r="D23" s="137">
        <f>SUM(6D!F142,6D!F316)</f>
        <v>37188370.28</v>
      </c>
      <c r="E23" s="340">
        <f aca="true" t="shared" si="2" ref="E23:E29">D23*100/C23</f>
        <v>59.54333000618996</v>
      </c>
      <c r="F23" s="137">
        <f>SUM(9W!D161)</f>
        <v>2057431</v>
      </c>
      <c r="G23" s="137">
        <f>SUM(9W!E161)</f>
        <v>63474</v>
      </c>
      <c r="H23" s="139">
        <f t="shared" si="1"/>
        <v>3.0851095370877566</v>
      </c>
    </row>
    <row r="24" spans="1:8" ht="19.5" customHeight="1">
      <c r="A24" s="236" t="s">
        <v>1092</v>
      </c>
      <c r="B24" s="260" t="s">
        <v>8</v>
      </c>
      <c r="C24" s="137">
        <f>SUM(6D!E152,6D!E326)</f>
        <v>296</v>
      </c>
      <c r="D24" s="137">
        <f>SUM(6D!F152,6D!F326)</f>
        <v>5369.08</v>
      </c>
      <c r="E24" s="340">
        <f t="shared" si="2"/>
        <v>1813.8783783783783</v>
      </c>
      <c r="F24" s="137">
        <f>SUM(9W!D167,9W!D493)</f>
        <v>42728081</v>
      </c>
      <c r="G24" s="137">
        <f>SUM(9W!E167,9W!E493)</f>
        <v>22109196.52</v>
      </c>
      <c r="H24" s="139">
        <f t="shared" si="1"/>
        <v>51.74394918414426</v>
      </c>
    </row>
    <row r="25" spans="1:8" ht="19.5" customHeight="1">
      <c r="A25" s="236" t="s">
        <v>1101</v>
      </c>
      <c r="B25" s="260" t="s">
        <v>9</v>
      </c>
      <c r="C25" s="137">
        <f>SUM(6D!E170,6D!E330)</f>
        <v>657000</v>
      </c>
      <c r="D25" s="137">
        <f>SUM(6D!F170,6D!F330)</f>
        <v>395122</v>
      </c>
      <c r="E25" s="340">
        <f t="shared" si="2"/>
        <v>60.140334855403346</v>
      </c>
      <c r="F25" s="137">
        <f>SUM(9W!D219,9W!D548)</f>
        <v>2700430</v>
      </c>
      <c r="G25" s="137">
        <f>SUM(9W!E219,9W!E548)</f>
        <v>801293.52</v>
      </c>
      <c r="H25" s="139">
        <f t="shared" si="1"/>
        <v>29.672812107701365</v>
      </c>
    </row>
    <row r="26" spans="1:8" ht="19.5" customHeight="1">
      <c r="A26" s="236" t="s">
        <v>264</v>
      </c>
      <c r="B26" s="260" t="s">
        <v>280</v>
      </c>
      <c r="C26" s="137">
        <f>SUM(6D!E182,6D!E333)</f>
        <v>9958882</v>
      </c>
      <c r="D26" s="137">
        <f>SUM(6D!F182,6D!F333)</f>
        <v>4201715.640000001</v>
      </c>
      <c r="E26" s="340">
        <f t="shared" si="2"/>
        <v>42.190635856514824</v>
      </c>
      <c r="F26" s="137">
        <f>SUM(9W!D255,9W!D567)</f>
        <v>20786526</v>
      </c>
      <c r="G26" s="137">
        <f>SUM(9W!E255,9W!E567)</f>
        <v>8787178.02</v>
      </c>
      <c r="H26" s="139">
        <f t="shared" si="1"/>
        <v>42.273432414824875</v>
      </c>
    </row>
    <row r="27" spans="1:8" ht="27" customHeight="1">
      <c r="A27" s="236" t="s">
        <v>1105</v>
      </c>
      <c r="B27" s="262" t="s">
        <v>980</v>
      </c>
      <c r="C27" s="137">
        <f>SUM(6D!E218,6D!E345)</f>
        <v>1510267</v>
      </c>
      <c r="D27" s="137">
        <f>SUM(6D!F218,6D!F345)</f>
        <v>765353.57</v>
      </c>
      <c r="E27" s="340">
        <f t="shared" si="2"/>
        <v>50.6767061718226</v>
      </c>
      <c r="F27" s="137">
        <f>SUM(9W!D305,9W!D596)</f>
        <v>3851408</v>
      </c>
      <c r="G27" s="137">
        <f>SUM(9W!E305,9W!E596)</f>
        <v>1546504.38</v>
      </c>
      <c r="H27" s="139">
        <f t="shared" si="1"/>
        <v>40.15425994856946</v>
      </c>
    </row>
    <row r="28" spans="1:8" ht="19.5" customHeight="1">
      <c r="A28" s="236" t="s">
        <v>1117</v>
      </c>
      <c r="B28" s="260" t="s">
        <v>26</v>
      </c>
      <c r="C28" s="137">
        <f>SUM(6D!E226,6D!E359)</f>
        <v>302577</v>
      </c>
      <c r="D28" s="137">
        <f>SUM(6D!F226,6D!F359)</f>
        <v>129950</v>
      </c>
      <c r="E28" s="340">
        <f t="shared" si="2"/>
        <v>42.94774553254213</v>
      </c>
      <c r="F28" s="137">
        <f>SUM(9W!D321,9W!D625)</f>
        <v>6146606</v>
      </c>
      <c r="G28" s="137">
        <f>SUM(9W!E321,9W!E625)</f>
        <v>3078986.9200000004</v>
      </c>
      <c r="H28" s="139">
        <f t="shared" si="1"/>
        <v>50.092472496203605</v>
      </c>
    </row>
    <row r="29" spans="1:8" ht="27.75" customHeight="1">
      <c r="A29" s="236" t="s">
        <v>1177</v>
      </c>
      <c r="B29" s="261" t="s">
        <v>10</v>
      </c>
      <c r="C29" s="137">
        <f>SUM(6D!E229,6D!E373)</f>
        <v>8510817</v>
      </c>
      <c r="D29" s="137">
        <f>SUM(6D!F229,6D!F373)</f>
        <v>3012622.61</v>
      </c>
      <c r="E29" s="340">
        <f t="shared" si="2"/>
        <v>35.39757240697338</v>
      </c>
      <c r="F29" s="137">
        <f>SUM(9W!D345,9W!D677)</f>
        <v>11758245</v>
      </c>
      <c r="G29" s="137">
        <f>SUM(9W!E345,9W!E677)</f>
        <v>3993710.14</v>
      </c>
      <c r="H29" s="139">
        <f t="shared" si="1"/>
        <v>33.96518902268153</v>
      </c>
    </row>
    <row r="30" spans="1:8" ht="26.25" customHeight="1">
      <c r="A30" s="236" t="s">
        <v>1205</v>
      </c>
      <c r="B30" s="261" t="s">
        <v>11</v>
      </c>
      <c r="C30" s="137">
        <f>6D!E247</f>
        <v>0</v>
      </c>
      <c r="D30" s="137">
        <f>6D!F247</f>
        <v>46309.630000000005</v>
      </c>
      <c r="E30" s="340" t="s">
        <v>1274</v>
      </c>
      <c r="F30" s="137">
        <f>SUM(9W!D371)</f>
        <v>5942615</v>
      </c>
      <c r="G30" s="137">
        <f>SUM(9W!E371)</f>
        <v>3404772.23</v>
      </c>
      <c r="H30" s="139">
        <f t="shared" si="1"/>
        <v>57.29417487082707</v>
      </c>
    </row>
    <row r="31" spans="1:8" ht="19.5" customHeight="1" thickBot="1">
      <c r="A31" s="271" t="s">
        <v>1206</v>
      </c>
      <c r="B31" s="263" t="s">
        <v>12</v>
      </c>
      <c r="C31" s="264">
        <f>SUM(6D!E254)</f>
        <v>666000</v>
      </c>
      <c r="D31" s="264">
        <f>SUM(6D!F254)</f>
        <v>1572.29</v>
      </c>
      <c r="E31" s="341">
        <f>D31*100/C31</f>
        <v>0.2360795795795796</v>
      </c>
      <c r="F31" s="264">
        <f>SUM(9W!D407)</f>
        <v>15751468</v>
      </c>
      <c r="G31" s="264">
        <f>SUM(9W!E407)</f>
        <v>9738027.91</v>
      </c>
      <c r="H31" s="785">
        <f t="shared" si="1"/>
        <v>61.82298634006684</v>
      </c>
    </row>
    <row r="32" spans="1:8" ht="3" customHeight="1">
      <c r="A32" s="786"/>
      <c r="B32" s="265"/>
      <c r="C32" s="266"/>
      <c r="D32" s="266"/>
      <c r="E32" s="342"/>
      <c r="F32" s="266"/>
      <c r="G32" s="266"/>
      <c r="H32" s="787"/>
    </row>
    <row r="33" spans="1:8" s="790" customFormat="1" ht="21" customHeight="1" thickBot="1">
      <c r="A33" s="788"/>
      <c r="B33" s="267" t="s">
        <v>27</v>
      </c>
      <c r="C33" s="268">
        <f>SUM(C9:C31)</f>
        <v>185076316.75</v>
      </c>
      <c r="D33" s="268">
        <f>SUM(D9:D31)</f>
        <v>91613082.68</v>
      </c>
      <c r="E33" s="343">
        <f>D33*100/C33</f>
        <v>49.50016527708967</v>
      </c>
      <c r="F33" s="268">
        <f>SUM(F9:F31)</f>
        <v>208308777.75</v>
      </c>
      <c r="G33" s="268">
        <f>SUM(G9:G31)</f>
        <v>93025031.43</v>
      </c>
      <c r="H33" s="789">
        <f>G33*100/F33</f>
        <v>44.657278696936714</v>
      </c>
    </row>
    <row r="34" spans="1:8" s="637" customFormat="1" ht="13.5" customHeight="1" hidden="1">
      <c r="A34" s="791"/>
      <c r="B34" s="792" t="s">
        <v>5</v>
      </c>
      <c r="C34" s="344"/>
      <c r="D34" s="344"/>
      <c r="E34" s="345"/>
      <c r="F34" s="344"/>
      <c r="G34" s="344"/>
      <c r="H34" s="793"/>
    </row>
    <row r="35" spans="1:9" ht="15" customHeight="1" hidden="1">
      <c r="A35" s="794" t="s">
        <v>1302</v>
      </c>
      <c r="B35" s="795" t="s">
        <v>1160</v>
      </c>
      <c r="C35" s="138">
        <f>C33-C36-C37-C38</f>
        <v>172091770</v>
      </c>
      <c r="D35" s="138">
        <f>D33-D36-D37-D38</f>
        <v>84803965.29</v>
      </c>
      <c r="E35" s="346">
        <f>D35/C35*100</f>
        <v>49.27833869684763</v>
      </c>
      <c r="F35" s="138">
        <f>F33-F36-F37-F38</f>
        <v>195317906</v>
      </c>
      <c r="G35" s="138">
        <f>G33-G36-G37-G38</f>
        <v>86815816.79</v>
      </c>
      <c r="H35" s="17">
        <f>G35/F35*100</f>
        <v>44.448467919782026</v>
      </c>
      <c r="I35" s="351"/>
    </row>
    <row r="36" spans="1:9" ht="28.5" customHeight="1" hidden="1">
      <c r="A36" s="794" t="s">
        <v>1303</v>
      </c>
      <c r="B36" s="796" t="s">
        <v>1164</v>
      </c>
      <c r="C36" s="138">
        <f>SUM(6D!E10,6D!E60,6D!E75,6D!E94,6D!E96,6D!E99,6D!E166,6D!E180,6D!E190,6D!E195,6D!E197,6D!E200,6D!E212,6D!E269,6D!E285,6D!E289,6D!E292,6D!E294,6D!E297,6D!E304,6D!E308,6D!E309,6D!E332,6D!E337,6D!E347)</f>
        <v>12681741.75</v>
      </c>
      <c r="D36" s="138">
        <f>SUM(6D!F10,6D!F60,6D!F75,6D!F94,6D!F96,6D!F99,6D!F166,6D!F180,6D!F190,6D!F195,6D!F197,6D!F200,6D!F212,6D!F269,6D!F285,6D!F289,6D!F292,6D!F294,6D!F297,6D!F304,6D!F308,6D!F309,6D!F332,6D!F337,6D!F347)</f>
        <v>6740098.75</v>
      </c>
      <c r="E36" s="346">
        <f>D36/C36*100</f>
        <v>53.14805239587851</v>
      </c>
      <c r="F36" s="138">
        <f>SUM('13DiW zlecone'!D57)</f>
        <v>12688066.75</v>
      </c>
      <c r="G36" s="138">
        <f>SUM('13DiW zlecone'!D58)</f>
        <v>6140092.41</v>
      </c>
      <c r="H36" s="17">
        <f>G36/F36*100</f>
        <v>48.39265532710096</v>
      </c>
      <c r="I36" s="351"/>
    </row>
    <row r="37" spans="1:12" ht="40.5" customHeight="1" hidden="1">
      <c r="A37" s="794" t="s">
        <v>75</v>
      </c>
      <c r="B37" s="796" t="s">
        <v>1163</v>
      </c>
      <c r="C37" s="138">
        <f>SUM(6D!E61,6D!E181,6D!E167,6D!E215,6D!E280,6D!E305)</f>
        <v>30296</v>
      </c>
      <c r="D37" s="138">
        <f>SUM(6D!F61,6D!F181,6D!F167,6D!F215,6D!F280,6D!F305)</f>
        <v>1790</v>
      </c>
      <c r="E37" s="347">
        <f>D37/C37*100</f>
        <v>5.908370742012147</v>
      </c>
      <c r="F37" s="138">
        <f>SUM('14DiW porozumienia'!D25)</f>
        <v>30296</v>
      </c>
      <c r="G37" s="138">
        <f>SUM('14DiW porozumienia'!D26)</f>
        <v>1790</v>
      </c>
      <c r="H37" s="17">
        <f>G37/F37*100</f>
        <v>5.908370742012147</v>
      </c>
      <c r="I37" s="797">
        <f>D37-G37</f>
        <v>0</v>
      </c>
      <c r="J37" s="798"/>
      <c r="K37" s="798"/>
      <c r="L37" s="798"/>
    </row>
    <row r="38" spans="1:12" ht="51.75" customHeight="1" hidden="1" thickBot="1">
      <c r="A38" s="799" t="s">
        <v>83</v>
      </c>
      <c r="B38" s="800" t="s">
        <v>1167</v>
      </c>
      <c r="C38" s="348">
        <f>SUM(6D!E104,6D!E340,6D!E366,6D!E368)</f>
        <v>272509</v>
      </c>
      <c r="D38" s="348">
        <f>SUM(6D!F104,6D!F340,6D!F366,6D!F368)</f>
        <v>67228.64</v>
      </c>
      <c r="E38" s="349">
        <f>D38/C38*100</f>
        <v>24.670245753351267</v>
      </c>
      <c r="F38" s="348">
        <f>SUM('15DiW porozumienia z jst'!D14)</f>
        <v>272509</v>
      </c>
      <c r="G38" s="348">
        <f>SUM('15DiW porozumienia z jst'!D15)</f>
        <v>67332.23</v>
      </c>
      <c r="H38" s="801">
        <f>G38/F38*100</f>
        <v>24.708259176761132</v>
      </c>
      <c r="I38" s="797"/>
      <c r="J38" s="798"/>
      <c r="K38" s="798"/>
      <c r="L38" s="798"/>
    </row>
    <row r="39" spans="1:10" ht="42" customHeight="1" hidden="1">
      <c r="A39" s="802"/>
      <c r="B39" s="774" t="s">
        <v>1168</v>
      </c>
      <c r="C39" s="350">
        <v>185076316.75</v>
      </c>
      <c r="D39" s="350">
        <v>91613082.68</v>
      </c>
      <c r="E39" s="351"/>
      <c r="F39" s="351">
        <v>208308777.75</v>
      </c>
      <c r="G39" s="351">
        <v>93025031.43</v>
      </c>
      <c r="H39" s="353">
        <f>G39/F39*100</f>
        <v>44.65727869693672</v>
      </c>
      <c r="I39" s="1364"/>
      <c r="J39" s="1364"/>
    </row>
    <row r="40" spans="1:8" ht="12.75" hidden="1">
      <c r="A40" s="802"/>
      <c r="B40" s="774" t="s">
        <v>1003</v>
      </c>
      <c r="C40" s="351">
        <f>C33-C39</f>
        <v>0</v>
      </c>
      <c r="D40" s="351">
        <f>D33-D39</f>
        <v>0</v>
      </c>
      <c r="E40" s="352"/>
      <c r="F40" s="352">
        <f>F33-F39</f>
        <v>0</v>
      </c>
      <c r="G40" s="351">
        <f>G33-G39</f>
        <v>0</v>
      </c>
      <c r="H40" s="353"/>
    </row>
    <row r="41" spans="1:8" ht="12.75" hidden="1">
      <c r="A41" s="802"/>
      <c r="B41" s="774"/>
      <c r="C41" s="352"/>
      <c r="D41" s="352"/>
      <c r="E41" s="353"/>
      <c r="F41" s="352"/>
      <c r="G41" s="352"/>
      <c r="H41" s="353"/>
    </row>
    <row r="42" spans="1:8" ht="12.75" hidden="1">
      <c r="A42" s="802"/>
      <c r="B42" s="774"/>
      <c r="C42" s="352"/>
      <c r="D42" s="352"/>
      <c r="E42" s="353"/>
      <c r="F42" s="352"/>
      <c r="G42" s="352"/>
      <c r="H42" s="353"/>
    </row>
    <row r="43" spans="1:8" ht="12.75" hidden="1">
      <c r="A43" s="802"/>
      <c r="B43" s="774" t="s">
        <v>49</v>
      </c>
      <c r="C43" s="351">
        <f>SUM(C35:C38)</f>
        <v>185076316.75</v>
      </c>
      <c r="D43" s="351">
        <f>SUM(D35:D38)</f>
        <v>91613082.68</v>
      </c>
      <c r="E43" s="351"/>
      <c r="F43" s="351">
        <f>SUM(F35:F38)</f>
        <v>208308777.75</v>
      </c>
      <c r="G43" s="351">
        <f>SUM(G35:G38)</f>
        <v>93025031.43</v>
      </c>
      <c r="H43" s="351"/>
    </row>
    <row r="44" spans="1:8" s="351" customFormat="1" ht="12.75" hidden="1">
      <c r="A44" s="803"/>
      <c r="B44" s="351" t="s">
        <v>1003</v>
      </c>
      <c r="C44" s="351">
        <f>C43-C39</f>
        <v>0</v>
      </c>
      <c r="D44" s="351">
        <f>D43-D39</f>
        <v>0</v>
      </c>
      <c r="F44" s="351">
        <f>F43-F39</f>
        <v>0</v>
      </c>
      <c r="G44" s="351">
        <f>G43-G39</f>
        <v>0</v>
      </c>
      <c r="H44" s="804"/>
    </row>
    <row r="45" spans="1:8" ht="12.75" hidden="1">
      <c r="A45" s="802"/>
      <c r="B45" s="774"/>
      <c r="C45" s="352"/>
      <c r="D45" s="352"/>
      <c r="E45" s="353"/>
      <c r="F45" s="352"/>
      <c r="G45" s="352"/>
      <c r="H45" s="353"/>
    </row>
    <row r="46" spans="1:8" ht="12.75" hidden="1">
      <c r="A46" s="802"/>
      <c r="B46" s="774"/>
      <c r="C46" s="352"/>
      <c r="D46" s="352"/>
      <c r="E46" s="353"/>
      <c r="F46" s="352"/>
      <c r="G46" s="352"/>
      <c r="H46" s="353"/>
    </row>
    <row r="47" spans="1:8" ht="12.75">
      <c r="A47" s="802"/>
      <c r="B47" s="774"/>
      <c r="C47" s="352"/>
      <c r="D47" s="352"/>
      <c r="E47" s="353"/>
      <c r="F47" s="352"/>
      <c r="G47" s="352"/>
      <c r="H47" s="353"/>
    </row>
    <row r="48" spans="1:8" ht="12.75">
      <c r="A48" s="802"/>
      <c r="B48" s="774"/>
      <c r="C48" s="352"/>
      <c r="D48" s="352"/>
      <c r="E48" s="353"/>
      <c r="F48" s="352"/>
      <c r="G48" s="352"/>
      <c r="H48" s="353"/>
    </row>
    <row r="49" spans="1:8" ht="12.75">
      <c r="A49" s="802"/>
      <c r="B49" s="774"/>
      <c r="C49" s="352"/>
      <c r="D49" s="352"/>
      <c r="E49" s="353"/>
      <c r="F49" s="352"/>
      <c r="G49" s="352"/>
      <c r="H49" s="353"/>
    </row>
    <row r="50" spans="1:8" ht="12.75">
      <c r="A50" s="802"/>
      <c r="C50" s="352"/>
      <c r="D50" s="352"/>
      <c r="E50" s="353"/>
      <c r="F50" s="352"/>
      <c r="G50" s="352"/>
      <c r="H50" s="353"/>
    </row>
    <row r="51" spans="1:8" ht="12.75">
      <c r="A51" s="802"/>
      <c r="C51" s="352"/>
      <c r="D51" s="352"/>
      <c r="E51" s="353"/>
      <c r="F51" s="352"/>
      <c r="G51" s="352"/>
      <c r="H51" s="353"/>
    </row>
    <row r="52" spans="1:8" ht="12.75">
      <c r="A52" s="802"/>
      <c r="E52" s="353"/>
      <c r="F52" s="352"/>
      <c r="G52" s="352"/>
      <c r="H52" s="353"/>
    </row>
    <row r="53" spans="1:8" ht="12.75">
      <c r="A53" s="802"/>
      <c r="E53" s="353"/>
      <c r="F53" s="352"/>
      <c r="G53" s="352"/>
      <c r="H53" s="353"/>
    </row>
    <row r="54" spans="1:8" ht="12.75">
      <c r="A54" s="802"/>
      <c r="E54" s="353"/>
      <c r="F54" s="352"/>
      <c r="G54" s="352"/>
      <c r="H54" s="353"/>
    </row>
    <row r="55" spans="1:8" ht="12.75">
      <c r="A55" s="802"/>
      <c r="E55" s="353"/>
      <c r="F55" s="352"/>
      <c r="G55" s="352"/>
      <c r="H55" s="353"/>
    </row>
    <row r="56" spans="1:8" ht="12.75">
      <c r="A56" s="802"/>
      <c r="E56" s="353"/>
      <c r="F56" s="352"/>
      <c r="G56" s="352"/>
      <c r="H56" s="353"/>
    </row>
    <row r="57" spans="1:8" ht="12.75">
      <c r="A57" s="802"/>
      <c r="E57" s="353"/>
      <c r="F57" s="352"/>
      <c r="G57" s="352"/>
      <c r="H57" s="353"/>
    </row>
    <row r="58" spans="1:8" ht="12.75">
      <c r="A58" s="802"/>
      <c r="E58" s="353"/>
      <c r="F58" s="352"/>
      <c r="G58" s="352"/>
      <c r="H58" s="353"/>
    </row>
    <row r="59" spans="1:8" ht="12.75">
      <c r="A59" s="802"/>
      <c r="E59" s="353"/>
      <c r="F59" s="352"/>
      <c r="G59" s="352"/>
      <c r="H59" s="353"/>
    </row>
    <row r="60" spans="1:8" ht="12.75">
      <c r="A60" s="802"/>
      <c r="E60" s="353"/>
      <c r="F60" s="352"/>
      <c r="G60" s="352"/>
      <c r="H60" s="353"/>
    </row>
    <row r="61" spans="1:8" ht="12.75">
      <c r="A61" s="802"/>
      <c r="E61" s="353"/>
      <c r="F61" s="352"/>
      <c r="G61" s="352"/>
      <c r="H61" s="353"/>
    </row>
    <row r="62" spans="1:8" ht="12.75">
      <c r="A62" s="802"/>
      <c r="E62" s="353"/>
      <c r="F62" s="352"/>
      <c r="G62" s="352"/>
      <c r="H62" s="353"/>
    </row>
    <row r="63" spans="1:8" ht="12.75">
      <c r="A63" s="802"/>
      <c r="E63" s="353"/>
      <c r="F63" s="352"/>
      <c r="G63" s="352"/>
      <c r="H63" s="353"/>
    </row>
    <row r="64" spans="1:8" ht="12.75">
      <c r="A64" s="802"/>
      <c r="E64" s="353"/>
      <c r="F64" s="352"/>
      <c r="G64" s="352"/>
      <c r="H64" s="353"/>
    </row>
    <row r="65" spans="1:8" ht="12.75">
      <c r="A65" s="802"/>
      <c r="E65" s="353"/>
      <c r="F65" s="352"/>
      <c r="G65" s="352"/>
      <c r="H65" s="353"/>
    </row>
    <row r="66" spans="1:8" ht="12.75">
      <c r="A66" s="802"/>
      <c r="E66" s="353"/>
      <c r="F66" s="352"/>
      <c r="G66" s="352"/>
      <c r="H66" s="353"/>
    </row>
    <row r="67" spans="1:8" ht="12.75">
      <c r="A67" s="802"/>
      <c r="E67" s="353"/>
      <c r="F67" s="352"/>
      <c r="G67" s="352"/>
      <c r="H67" s="353"/>
    </row>
    <row r="68" spans="1:8" ht="12.75">
      <c r="A68" s="802"/>
      <c r="E68" s="353"/>
      <c r="F68" s="352"/>
      <c r="G68" s="352"/>
      <c r="H68" s="353"/>
    </row>
    <row r="69" spans="1:8" ht="12.75">
      <c r="A69" s="802"/>
      <c r="E69" s="353"/>
      <c r="F69" s="352"/>
      <c r="G69" s="352"/>
      <c r="H69" s="353"/>
    </row>
    <row r="70" spans="1:8" ht="12.75">
      <c r="A70" s="802"/>
      <c r="E70" s="353"/>
      <c r="F70" s="352"/>
      <c r="G70" s="352"/>
      <c r="H70" s="353"/>
    </row>
    <row r="71" spans="1:8" ht="12.75">
      <c r="A71" s="802"/>
      <c r="E71" s="353"/>
      <c r="F71" s="352"/>
      <c r="G71" s="352"/>
      <c r="H71" s="353"/>
    </row>
    <row r="72" spans="1:8" ht="12.75">
      <c r="A72" s="802"/>
      <c r="E72" s="353"/>
      <c r="F72" s="352"/>
      <c r="G72" s="352"/>
      <c r="H72" s="353"/>
    </row>
    <row r="73" spans="1:8" ht="12.75">
      <c r="A73" s="802"/>
      <c r="E73" s="353"/>
      <c r="F73" s="352"/>
      <c r="G73" s="352"/>
      <c r="H73" s="353"/>
    </row>
    <row r="74" spans="1:8" ht="12.75">
      <c r="A74" s="802"/>
      <c r="E74" s="353"/>
      <c r="F74" s="352"/>
      <c r="G74" s="352"/>
      <c r="H74" s="353"/>
    </row>
    <row r="75" spans="1:8" ht="12.75">
      <c r="A75" s="802"/>
      <c r="E75" s="353"/>
      <c r="F75" s="352"/>
      <c r="G75" s="352"/>
      <c r="H75" s="353"/>
    </row>
    <row r="76" spans="1:8" ht="12.75">
      <c r="A76" s="802"/>
      <c r="E76" s="353"/>
      <c r="F76" s="352"/>
      <c r="G76" s="352"/>
      <c r="H76" s="353"/>
    </row>
    <row r="77" spans="1:8" ht="12.75">
      <c r="A77" s="802"/>
      <c r="E77" s="353"/>
      <c r="F77" s="352"/>
      <c r="G77" s="352"/>
      <c r="H77" s="353"/>
    </row>
    <row r="78" spans="1:8" ht="12.75">
      <c r="A78" s="802"/>
      <c r="E78" s="353"/>
      <c r="F78" s="352"/>
      <c r="G78" s="352"/>
      <c r="H78" s="353"/>
    </row>
    <row r="79" spans="1:8" ht="12.75">
      <c r="A79" s="802"/>
      <c r="E79" s="353"/>
      <c r="F79" s="352"/>
      <c r="G79" s="352"/>
      <c r="H79" s="353"/>
    </row>
    <row r="80" spans="1:8" ht="12.75">
      <c r="A80" s="802"/>
      <c r="E80" s="353"/>
      <c r="F80" s="352"/>
      <c r="G80" s="352"/>
      <c r="H80" s="353"/>
    </row>
    <row r="81" spans="1:8" ht="12.75">
      <c r="A81" s="802"/>
      <c r="E81" s="353"/>
      <c r="F81" s="352"/>
      <c r="G81" s="352"/>
      <c r="H81" s="353"/>
    </row>
    <row r="82" spans="1:8" ht="12.75">
      <c r="A82" s="802"/>
      <c r="E82" s="353"/>
      <c r="F82" s="352"/>
      <c r="G82" s="352"/>
      <c r="H82" s="353"/>
    </row>
    <row r="83" spans="1:8" ht="12.75">
      <c r="A83" s="802"/>
      <c r="E83" s="353"/>
      <c r="F83" s="352"/>
      <c r="G83" s="352"/>
      <c r="H83" s="353"/>
    </row>
    <row r="84" spans="1:8" ht="12.75">
      <c r="A84" s="802"/>
      <c r="E84" s="353"/>
      <c r="F84" s="352"/>
      <c r="G84" s="352"/>
      <c r="H84" s="353"/>
    </row>
    <row r="85" spans="1:8" ht="12.75">
      <c r="A85" s="802"/>
      <c r="E85" s="353"/>
      <c r="F85" s="352"/>
      <c r="G85" s="352"/>
      <c r="H85" s="353"/>
    </row>
    <row r="86" spans="1:8" ht="12.75">
      <c r="A86" s="802"/>
      <c r="E86" s="353"/>
      <c r="F86" s="352"/>
      <c r="G86" s="352"/>
      <c r="H86" s="353"/>
    </row>
    <row r="87" spans="1:8" ht="12.75">
      <c r="A87" s="802"/>
      <c r="E87" s="353"/>
      <c r="H87" s="353"/>
    </row>
    <row r="88" spans="1:8" ht="12.75">
      <c r="A88" s="802"/>
      <c r="E88" s="353"/>
      <c r="H88" s="353"/>
    </row>
    <row r="89" spans="1:8" ht="12.75">
      <c r="A89" s="802"/>
      <c r="E89" s="353"/>
      <c r="H89" s="353"/>
    </row>
    <row r="90" spans="1:8" ht="12.75">
      <c r="A90" s="802"/>
      <c r="E90" s="353"/>
      <c r="H90" s="353"/>
    </row>
    <row r="91" spans="1:8" ht="12.75">
      <c r="A91" s="802"/>
      <c r="E91" s="353"/>
      <c r="H91" s="353"/>
    </row>
    <row r="92" spans="1:8" ht="12.75">
      <c r="A92" s="802"/>
      <c r="E92" s="353"/>
      <c r="H92" s="353"/>
    </row>
    <row r="93" spans="1:8" ht="12.75">
      <c r="A93" s="802"/>
      <c r="E93" s="353"/>
      <c r="H93" s="353"/>
    </row>
    <row r="94" spans="1:8" ht="12.75">
      <c r="A94" s="802"/>
      <c r="E94" s="353"/>
      <c r="H94" s="353"/>
    </row>
    <row r="95" spans="5:8" ht="12.75">
      <c r="E95" s="353"/>
      <c r="H95" s="353"/>
    </row>
    <row r="96" spans="5:8" ht="12.75">
      <c r="E96" s="353"/>
      <c r="H96" s="353"/>
    </row>
    <row r="97" spans="5:8" ht="12.75">
      <c r="E97" s="353"/>
      <c r="H97" s="353"/>
    </row>
    <row r="98" spans="5:8" ht="12.75">
      <c r="E98" s="353"/>
      <c r="H98" s="353"/>
    </row>
    <row r="99" spans="5:8" ht="12.75">
      <c r="E99" s="353"/>
      <c r="H99" s="353"/>
    </row>
    <row r="100" spans="5:8" ht="12.75">
      <c r="E100" s="353"/>
      <c r="H100" s="353"/>
    </row>
    <row r="101" spans="5:8" ht="12.75">
      <c r="E101" s="353"/>
      <c r="H101" s="353"/>
    </row>
    <row r="102" spans="5:8" ht="12.75">
      <c r="E102" s="353"/>
      <c r="H102" s="353"/>
    </row>
    <row r="103" spans="5:8" ht="12.75">
      <c r="E103" s="353"/>
      <c r="H103" s="353"/>
    </row>
    <row r="104" spans="5:8" ht="12.75">
      <c r="E104" s="353"/>
      <c r="H104" s="353"/>
    </row>
    <row r="105" spans="5:8" ht="12.75">
      <c r="E105" s="353"/>
      <c r="H105" s="353"/>
    </row>
    <row r="106" spans="5:8" ht="12.75">
      <c r="E106" s="353"/>
      <c r="H106" s="353"/>
    </row>
    <row r="107" spans="5:8" ht="12.75">
      <c r="E107" s="353"/>
      <c r="H107" s="353"/>
    </row>
    <row r="108" spans="5:8" ht="12.75">
      <c r="E108" s="353"/>
      <c r="H108" s="353"/>
    </row>
    <row r="109" spans="5:8" ht="12.75">
      <c r="E109" s="353"/>
      <c r="H109" s="353"/>
    </row>
    <row r="110" spans="5:8" ht="12.75">
      <c r="E110" s="353"/>
      <c r="H110" s="353"/>
    </row>
    <row r="111" spans="5:8" ht="12.75">
      <c r="E111" s="353"/>
      <c r="H111" s="353"/>
    </row>
    <row r="112" spans="5:8" ht="12.75">
      <c r="E112" s="353"/>
      <c r="H112" s="353"/>
    </row>
    <row r="113" spans="5:8" ht="12.75">
      <c r="E113" s="353"/>
      <c r="H113" s="353"/>
    </row>
    <row r="114" spans="5:8" ht="12.75">
      <c r="E114" s="353"/>
      <c r="H114" s="353"/>
    </row>
    <row r="115" spans="5:8" ht="12.75">
      <c r="E115" s="353"/>
      <c r="H115" s="353"/>
    </row>
    <row r="116" spans="5:8" ht="12.75">
      <c r="E116" s="353"/>
      <c r="H116" s="353"/>
    </row>
    <row r="117" spans="5:8" ht="12.75">
      <c r="E117" s="353"/>
      <c r="H117" s="353"/>
    </row>
    <row r="118" spans="5:8" ht="12.75">
      <c r="E118" s="353"/>
      <c r="H118" s="353"/>
    </row>
    <row r="119" spans="5:8" ht="12.75">
      <c r="E119" s="353"/>
      <c r="H119" s="353"/>
    </row>
    <row r="120" spans="5:8" ht="12.75">
      <c r="E120" s="353"/>
      <c r="H120" s="353"/>
    </row>
    <row r="121" spans="5:8" ht="12.75">
      <c r="E121" s="353"/>
      <c r="H121" s="353"/>
    </row>
    <row r="122" spans="5:8" ht="12.75">
      <c r="E122" s="353"/>
      <c r="H122" s="353"/>
    </row>
    <row r="123" spans="5:8" ht="12.75">
      <c r="E123" s="353"/>
      <c r="H123" s="353"/>
    </row>
    <row r="124" spans="5:8" ht="12.75">
      <c r="E124" s="353"/>
      <c r="H124" s="353"/>
    </row>
    <row r="125" spans="5:8" ht="12.75">
      <c r="E125" s="353"/>
      <c r="H125" s="353"/>
    </row>
    <row r="126" spans="5:8" ht="12.75">
      <c r="E126" s="353"/>
      <c r="H126" s="353"/>
    </row>
    <row r="127" spans="5:8" ht="12.75">
      <c r="E127" s="353"/>
      <c r="H127" s="353"/>
    </row>
    <row r="128" spans="5:8" ht="12.75">
      <c r="E128" s="353"/>
      <c r="H128" s="353"/>
    </row>
    <row r="129" spans="5:8" ht="12.75">
      <c r="E129" s="353"/>
      <c r="H129" s="353"/>
    </row>
    <row r="130" spans="5:8" ht="12.75">
      <c r="E130" s="353"/>
      <c r="H130" s="353"/>
    </row>
    <row r="131" spans="5:8" ht="12.75">
      <c r="E131" s="353"/>
      <c r="H131" s="353"/>
    </row>
    <row r="132" spans="5:8" ht="12.75">
      <c r="E132" s="353"/>
      <c r="H132" s="353"/>
    </row>
    <row r="133" spans="5:8" ht="12.75">
      <c r="E133" s="353"/>
      <c r="H133" s="353"/>
    </row>
    <row r="134" spans="5:8" ht="12.75">
      <c r="E134" s="353"/>
      <c r="H134" s="353"/>
    </row>
    <row r="135" spans="5:8" ht="12.75">
      <c r="E135" s="353"/>
      <c r="H135" s="353"/>
    </row>
    <row r="136" spans="5:8" ht="12.75">
      <c r="E136" s="353"/>
      <c r="H136" s="353"/>
    </row>
    <row r="137" spans="5:8" ht="12.75">
      <c r="E137" s="353"/>
      <c r="H137" s="353"/>
    </row>
    <row r="138" spans="5:8" ht="12.75">
      <c r="E138" s="353"/>
      <c r="H138" s="353"/>
    </row>
    <row r="139" spans="5:8" ht="12.75">
      <c r="E139" s="353"/>
      <c r="H139" s="353"/>
    </row>
    <row r="140" spans="5:8" ht="12.75">
      <c r="E140" s="353"/>
      <c r="H140" s="353"/>
    </row>
    <row r="141" spans="5:8" ht="12.75">
      <c r="E141" s="353"/>
      <c r="H141" s="353"/>
    </row>
    <row r="142" spans="5:8" ht="12.75">
      <c r="E142" s="353"/>
      <c r="H142" s="353"/>
    </row>
    <row r="143" spans="5:8" ht="12.75">
      <c r="E143" s="353"/>
      <c r="H143" s="353"/>
    </row>
    <row r="144" spans="5:8" ht="12.75">
      <c r="E144" s="353"/>
      <c r="H144" s="353"/>
    </row>
    <row r="145" spans="5:8" ht="12.75">
      <c r="E145" s="353"/>
      <c r="H145" s="353"/>
    </row>
    <row r="146" spans="5:8" ht="12.75">
      <c r="E146" s="353"/>
      <c r="H146" s="353"/>
    </row>
    <row r="147" spans="5:8" ht="12.75">
      <c r="E147" s="353"/>
      <c r="H147" s="353"/>
    </row>
    <row r="148" spans="5:8" ht="12.75">
      <c r="E148" s="353"/>
      <c r="H148" s="353"/>
    </row>
    <row r="149" spans="5:8" ht="12.75">
      <c r="E149" s="353"/>
      <c r="H149" s="353"/>
    </row>
    <row r="150" spans="5:8" ht="12.75">
      <c r="E150" s="353"/>
      <c r="H150" s="353"/>
    </row>
    <row r="151" spans="5:8" ht="12.75">
      <c r="E151" s="353"/>
      <c r="H151" s="353"/>
    </row>
    <row r="152" spans="5:8" ht="12.75">
      <c r="E152" s="353"/>
      <c r="H152" s="353"/>
    </row>
    <row r="153" spans="5:8" ht="12.75">
      <c r="E153" s="353"/>
      <c r="H153" s="353"/>
    </row>
    <row r="154" spans="5:8" ht="12.75">
      <c r="E154" s="353"/>
      <c r="H154" s="353"/>
    </row>
    <row r="155" spans="5:8" ht="12.75">
      <c r="E155" s="353"/>
      <c r="H155" s="353"/>
    </row>
    <row r="156" spans="5:8" ht="12.75">
      <c r="E156" s="353"/>
      <c r="H156" s="353"/>
    </row>
    <row r="157" spans="5:8" ht="12.75">
      <c r="E157" s="353"/>
      <c r="H157" s="353"/>
    </row>
    <row r="158" spans="5:8" ht="12.75">
      <c r="E158" s="353"/>
      <c r="H158" s="353"/>
    </row>
    <row r="159" spans="5:8" ht="12.75">
      <c r="E159" s="353"/>
      <c r="H159" s="353"/>
    </row>
    <row r="160" spans="5:8" ht="12.75">
      <c r="E160" s="353"/>
      <c r="H160" s="353"/>
    </row>
    <row r="161" spans="5:8" ht="12.75">
      <c r="E161" s="353"/>
      <c r="H161" s="353"/>
    </row>
    <row r="162" spans="5:8" ht="12.75">
      <c r="E162" s="353"/>
      <c r="H162" s="353"/>
    </row>
    <row r="163" spans="5:8" ht="12.75">
      <c r="E163" s="353"/>
      <c r="H163" s="353"/>
    </row>
    <row r="164" spans="5:8" ht="12.75">
      <c r="E164" s="353"/>
      <c r="H164" s="353"/>
    </row>
    <row r="165" spans="5:8" ht="12.75">
      <c r="E165" s="353"/>
      <c r="H165" s="353"/>
    </row>
    <row r="166" spans="5:8" ht="12.75">
      <c r="E166" s="353"/>
      <c r="H166" s="353"/>
    </row>
    <row r="167" spans="5:8" ht="12.75">
      <c r="E167" s="353"/>
      <c r="H167" s="353"/>
    </row>
    <row r="168" spans="5:8" ht="12.75">
      <c r="E168" s="353"/>
      <c r="H168" s="353"/>
    </row>
    <row r="169" spans="5:8" ht="12.75">
      <c r="E169" s="353"/>
      <c r="H169" s="353"/>
    </row>
    <row r="170" spans="5:8" ht="12.75">
      <c r="E170" s="353"/>
      <c r="H170" s="353"/>
    </row>
    <row r="171" spans="5:8" ht="12.75">
      <c r="E171" s="353"/>
      <c r="H171" s="353"/>
    </row>
    <row r="172" spans="5:8" ht="12.75">
      <c r="E172" s="353"/>
      <c r="H172" s="353"/>
    </row>
    <row r="173" spans="5:8" ht="12.75">
      <c r="E173" s="353"/>
      <c r="H173" s="353"/>
    </row>
    <row r="174" spans="5:8" ht="12.75">
      <c r="E174" s="353"/>
      <c r="H174" s="353"/>
    </row>
    <row r="175" spans="5:8" ht="12.75">
      <c r="E175" s="353"/>
      <c r="H175" s="353"/>
    </row>
    <row r="176" spans="5:8" ht="12.75">
      <c r="E176" s="353"/>
      <c r="H176" s="353"/>
    </row>
    <row r="177" spans="5:8" ht="12.75">
      <c r="E177" s="353"/>
      <c r="H177" s="353"/>
    </row>
    <row r="178" spans="5:8" ht="12.75">
      <c r="E178" s="353"/>
      <c r="H178" s="353"/>
    </row>
    <row r="179" spans="5:8" ht="12.75">
      <c r="E179" s="353"/>
      <c r="H179" s="353"/>
    </row>
    <row r="180" spans="5:8" ht="12.75">
      <c r="E180" s="353"/>
      <c r="H180" s="353"/>
    </row>
    <row r="181" spans="5:8" ht="12.75">
      <c r="E181" s="353"/>
      <c r="H181" s="353"/>
    </row>
    <row r="182" spans="5:8" ht="12.75">
      <c r="E182" s="353"/>
      <c r="H182" s="353"/>
    </row>
    <row r="183" spans="5:8" ht="12.75">
      <c r="E183" s="353"/>
      <c r="H183" s="353"/>
    </row>
    <row r="184" spans="5:8" ht="12.75">
      <c r="E184" s="353"/>
      <c r="H184" s="353"/>
    </row>
    <row r="185" spans="5:8" ht="12.75">
      <c r="E185" s="353"/>
      <c r="H185" s="353"/>
    </row>
    <row r="186" spans="5:8" ht="12.75">
      <c r="E186" s="353"/>
      <c r="H186" s="353"/>
    </row>
    <row r="187" spans="5:8" ht="12.75">
      <c r="E187" s="353"/>
      <c r="H187" s="353"/>
    </row>
    <row r="188" spans="5:8" ht="12.75">
      <c r="E188" s="353"/>
      <c r="H188" s="353"/>
    </row>
    <row r="189" spans="5:8" ht="12.75">
      <c r="E189" s="353"/>
      <c r="H189" s="353"/>
    </row>
    <row r="190" spans="5:8" ht="12.75">
      <c r="E190" s="353"/>
      <c r="H190" s="353"/>
    </row>
    <row r="191" spans="5:8" ht="12.75">
      <c r="E191" s="353"/>
      <c r="H191" s="353"/>
    </row>
    <row r="192" spans="5:8" ht="12.75">
      <c r="E192" s="353"/>
      <c r="H192" s="353"/>
    </row>
    <row r="193" spans="5:8" ht="12.75">
      <c r="E193" s="353"/>
      <c r="H193" s="353"/>
    </row>
    <row r="194" spans="5:8" ht="12.75">
      <c r="E194" s="353"/>
      <c r="H194" s="353"/>
    </row>
    <row r="195" spans="5:8" ht="12.75">
      <c r="E195" s="353"/>
      <c r="H195" s="353"/>
    </row>
    <row r="196" spans="5:8" ht="12.75">
      <c r="E196" s="353"/>
      <c r="H196" s="353"/>
    </row>
    <row r="197" spans="5:8" ht="12.75">
      <c r="E197" s="353"/>
      <c r="H197" s="353"/>
    </row>
    <row r="198" spans="5:8" ht="12.75">
      <c r="E198" s="353"/>
      <c r="H198" s="353"/>
    </row>
    <row r="199" spans="5:8" ht="12.75">
      <c r="E199" s="353"/>
      <c r="H199" s="353"/>
    </row>
    <row r="200" spans="5:8" ht="12.75">
      <c r="E200" s="353"/>
      <c r="H200" s="353"/>
    </row>
    <row r="201" spans="5:8" ht="12.75">
      <c r="E201" s="353"/>
      <c r="H201" s="353"/>
    </row>
    <row r="202" spans="5:8" ht="12.75">
      <c r="E202" s="353"/>
      <c r="H202" s="353"/>
    </row>
    <row r="203" spans="5:8" ht="12.75">
      <c r="E203" s="353"/>
      <c r="H203" s="353"/>
    </row>
    <row r="204" spans="5:8" ht="12.75">
      <c r="E204" s="353"/>
      <c r="H204" s="353"/>
    </row>
    <row r="205" ht="12.75">
      <c r="H205" s="353"/>
    </row>
  </sheetData>
  <sheetProtection password="CF93" sheet="1" objects="1" scenarios="1" selectLockedCells="1" selectUnlockedCells="1"/>
  <mergeCells count="7">
    <mergeCell ref="I39:J39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G17"/>
  <sheetViews>
    <sheetView showGridLines="0" view="pageBreakPreview" zoomScaleSheetLayoutView="100" workbookViewId="0" topLeftCell="A4">
      <selection activeCell="B19" sqref="B19"/>
    </sheetView>
  </sheetViews>
  <sheetFormatPr defaultColWidth="9.00390625" defaultRowHeight="12.75"/>
  <cols>
    <col min="1" max="1" width="4.75390625" style="55" bestFit="1" customWidth="1"/>
    <col min="2" max="2" width="35.375" style="56" customWidth="1"/>
    <col min="3" max="3" width="11.25390625" style="56" customWidth="1"/>
    <col min="4" max="4" width="13.125" style="57" customWidth="1"/>
    <col min="5" max="5" width="12.125" style="57" customWidth="1"/>
    <col min="6" max="6" width="10.00390625" style="57" customWidth="1"/>
    <col min="7" max="7" width="12.00390625" style="56" customWidth="1"/>
    <col min="8" max="16384" width="9.125" style="56" customWidth="1"/>
  </cols>
  <sheetData>
    <row r="1" spans="5:6" ht="12.75">
      <c r="E1" s="1377" t="s">
        <v>70</v>
      </c>
      <c r="F1" s="1377"/>
    </row>
    <row r="2" spans="5:6" ht="23.25" customHeight="1">
      <c r="E2" s="21"/>
      <c r="F2" s="21"/>
    </row>
    <row r="3" spans="1:6" ht="12" customHeight="1">
      <c r="A3" s="1374" t="s">
        <v>1063</v>
      </c>
      <c r="B3" s="1374"/>
      <c r="C3" s="1374"/>
      <c r="D3" s="1374"/>
      <c r="E3" s="1374"/>
      <c r="F3" s="1374"/>
    </row>
    <row r="4" spans="1:6" ht="4.5" customHeight="1">
      <c r="A4" s="20"/>
      <c r="B4" s="20"/>
      <c r="C4" s="20"/>
      <c r="D4" s="58"/>
      <c r="E4" s="58"/>
      <c r="F4" s="58"/>
    </row>
    <row r="5" ht="12" customHeight="1" thickBot="1">
      <c r="F5" s="57" t="s">
        <v>1035</v>
      </c>
    </row>
    <row r="6" spans="1:6" ht="31.5" customHeight="1">
      <c r="A6" s="59" t="s">
        <v>1299</v>
      </c>
      <c r="B6" s="60" t="s">
        <v>1037</v>
      </c>
      <c r="C6" s="61" t="s">
        <v>1200</v>
      </c>
      <c r="D6" s="61" t="s">
        <v>1038</v>
      </c>
      <c r="E6" s="60" t="s">
        <v>1039</v>
      </c>
      <c r="F6" s="62" t="s">
        <v>1040</v>
      </c>
    </row>
    <row r="7" spans="1:6" s="66" customFormat="1" ht="12" customHeight="1" thickBot="1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5">
        <v>6</v>
      </c>
    </row>
    <row r="8" spans="1:6" ht="24.75" customHeight="1">
      <c r="A8" s="67" t="s">
        <v>307</v>
      </c>
      <c r="B8" s="1375" t="s">
        <v>1064</v>
      </c>
      <c r="C8" s="1376"/>
      <c r="D8" s="68">
        <f>SUM(D9,D10,D11)</f>
        <v>36004011</v>
      </c>
      <c r="E8" s="68">
        <f>SUM(E9,E10,E11)</f>
        <v>15004010.77</v>
      </c>
      <c r="F8" s="69">
        <f aca="true" t="shared" si="0" ref="F8:F16">E8/D8*100</f>
        <v>41.67316460935422</v>
      </c>
    </row>
    <row r="9" spans="1:7" ht="33.75" customHeight="1">
      <c r="A9" s="70" t="s">
        <v>1302</v>
      </c>
      <c r="B9" s="71" t="s">
        <v>241</v>
      </c>
      <c r="C9" s="72" t="s">
        <v>240</v>
      </c>
      <c r="D9" s="73">
        <v>30000000</v>
      </c>
      <c r="E9" s="73">
        <v>0</v>
      </c>
      <c r="F9" s="74">
        <f t="shared" si="0"/>
        <v>0</v>
      </c>
      <c r="G9" s="75"/>
    </row>
    <row r="10" spans="1:7" ht="33.75" customHeight="1">
      <c r="A10" s="70" t="s">
        <v>75</v>
      </c>
      <c r="B10" s="71" t="s">
        <v>636</v>
      </c>
      <c r="C10" s="72" t="s">
        <v>637</v>
      </c>
      <c r="D10" s="73">
        <v>0</v>
      </c>
      <c r="E10" s="73">
        <v>9000000</v>
      </c>
      <c r="F10" s="74">
        <v>0</v>
      </c>
      <c r="G10" s="75"/>
    </row>
    <row r="11" spans="1:7" ht="34.5" customHeight="1" thickBot="1">
      <c r="A11" s="70" t="s">
        <v>1303</v>
      </c>
      <c r="B11" s="76" t="s">
        <v>764</v>
      </c>
      <c r="C11" s="77" t="s">
        <v>1201</v>
      </c>
      <c r="D11" s="78">
        <v>6004011</v>
      </c>
      <c r="E11" s="78">
        <v>6004010.77</v>
      </c>
      <c r="F11" s="79">
        <f t="shared" si="0"/>
        <v>99.99999616922753</v>
      </c>
      <c r="G11" s="75"/>
    </row>
    <row r="12" spans="1:7" ht="24.75" customHeight="1">
      <c r="A12" s="67" t="s">
        <v>312</v>
      </c>
      <c r="B12" s="1375" t="s">
        <v>1065</v>
      </c>
      <c r="C12" s="1376"/>
      <c r="D12" s="68">
        <f>SUM(D13,D14,D15)</f>
        <v>12771550</v>
      </c>
      <c r="E12" s="68">
        <f>SUM(E13,E14,E15)</f>
        <v>8165933</v>
      </c>
      <c r="F12" s="69">
        <f t="shared" si="0"/>
        <v>63.93846479088287</v>
      </c>
      <c r="G12" s="75"/>
    </row>
    <row r="13" spans="1:7" ht="54.75" customHeight="1">
      <c r="A13" s="80" t="s">
        <v>1302</v>
      </c>
      <c r="B13" s="76" t="s">
        <v>128</v>
      </c>
      <c r="C13" s="77" t="s">
        <v>124</v>
      </c>
      <c r="D13" s="78">
        <v>3971550</v>
      </c>
      <c r="E13" s="78">
        <v>3765933</v>
      </c>
      <c r="F13" s="79">
        <f t="shared" si="0"/>
        <v>94.82275182233637</v>
      </c>
      <c r="G13" s="75"/>
    </row>
    <row r="14" spans="1:7" ht="33" customHeight="1">
      <c r="A14" s="80" t="s">
        <v>1303</v>
      </c>
      <c r="B14" s="76" t="s">
        <v>763</v>
      </c>
      <c r="C14" s="77" t="s">
        <v>1203</v>
      </c>
      <c r="D14" s="78">
        <v>6000000</v>
      </c>
      <c r="E14" s="78">
        <v>3000000</v>
      </c>
      <c r="F14" s="79">
        <f t="shared" si="0"/>
        <v>50</v>
      </c>
      <c r="G14" s="75"/>
    </row>
    <row r="15" spans="1:7" ht="43.5" customHeight="1">
      <c r="A15" s="80" t="s">
        <v>75</v>
      </c>
      <c r="B15" s="76" t="s">
        <v>242</v>
      </c>
      <c r="C15" s="77" t="s">
        <v>1202</v>
      </c>
      <c r="D15" s="78">
        <f>SUM(D16,D17)</f>
        <v>2800000</v>
      </c>
      <c r="E15" s="78">
        <f>SUM(E16,E17)</f>
        <v>1400000</v>
      </c>
      <c r="F15" s="79">
        <f t="shared" si="0"/>
        <v>50</v>
      </c>
      <c r="G15" s="75"/>
    </row>
    <row r="16" spans="1:7" s="86" customFormat="1" ht="19.5" customHeight="1">
      <c r="A16" s="81" t="s">
        <v>125</v>
      </c>
      <c r="B16" s="82" t="s">
        <v>1166</v>
      </c>
      <c r="C16" s="83" t="s">
        <v>1202</v>
      </c>
      <c r="D16" s="84">
        <v>2800000</v>
      </c>
      <c r="E16" s="84">
        <v>1400000</v>
      </c>
      <c r="F16" s="85">
        <f t="shared" si="0"/>
        <v>50</v>
      </c>
      <c r="G16" s="75"/>
    </row>
    <row r="17" spans="1:7" s="92" customFormat="1" ht="19.5" customHeight="1" thickBot="1">
      <c r="A17" s="87" t="s">
        <v>126</v>
      </c>
      <c r="B17" s="88" t="s">
        <v>1165</v>
      </c>
      <c r="C17" s="89" t="s">
        <v>1202</v>
      </c>
      <c r="D17" s="90">
        <v>0</v>
      </c>
      <c r="E17" s="90">
        <v>0</v>
      </c>
      <c r="F17" s="91" t="s">
        <v>1274</v>
      </c>
      <c r="G17" s="75"/>
    </row>
  </sheetData>
  <sheetProtection password="CF93" sheet="1" objects="1" scenarios="1" selectLockedCells="1" selectUnlockedCells="1"/>
  <mergeCells count="4">
    <mergeCell ref="A3:F3"/>
    <mergeCell ref="B8:C8"/>
    <mergeCell ref="E1:F1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A1:H525"/>
  <sheetViews>
    <sheetView view="pageBreakPreview" zoomScaleSheetLayoutView="100" workbookViewId="0" topLeftCell="A1">
      <selection activeCell="D387" sqref="D387"/>
    </sheetView>
  </sheetViews>
  <sheetFormatPr defaultColWidth="9.00390625" defaultRowHeight="12.75"/>
  <cols>
    <col min="1" max="1" width="5.625" style="333" customWidth="1"/>
    <col min="2" max="2" width="6.375" style="333" customWidth="1"/>
    <col min="3" max="3" width="5.125" style="333" customWidth="1"/>
    <col min="4" max="4" width="40.25390625" style="334" customWidth="1"/>
    <col min="5" max="5" width="13.375" style="131" customWidth="1"/>
    <col min="6" max="6" width="13.00390625" style="131" customWidth="1"/>
    <col min="7" max="7" width="6.375" style="329" customWidth="1"/>
    <col min="8" max="8" width="9.125" style="131" customWidth="1"/>
    <col min="9" max="9" width="29.875" style="131" customWidth="1"/>
    <col min="10" max="16384" width="9.125" style="131" customWidth="1"/>
  </cols>
  <sheetData>
    <row r="1" spans="1:7" s="98" customFormat="1" ht="12.75">
      <c r="A1" s="209"/>
      <c r="B1" s="209"/>
      <c r="C1" s="209"/>
      <c r="D1" s="210"/>
      <c r="E1" s="210"/>
      <c r="F1" s="1326" t="s">
        <v>819</v>
      </c>
      <c r="G1" s="1326"/>
    </row>
    <row r="2" spans="1:7" s="98" customFormat="1" ht="17.25" customHeight="1">
      <c r="A2" s="209"/>
      <c r="B2" s="209"/>
      <c r="C2" s="209"/>
      <c r="E2" s="210"/>
      <c r="G2" s="211"/>
    </row>
    <row r="3" spans="1:7" s="212" customFormat="1" ht="16.5" customHeight="1">
      <c r="A3" s="1327" t="s">
        <v>1255</v>
      </c>
      <c r="B3" s="1327"/>
      <c r="C3" s="1327"/>
      <c r="D3" s="1327"/>
      <c r="E3" s="1327"/>
      <c r="F3" s="1327"/>
      <c r="G3" s="1327"/>
    </row>
    <row r="4" spans="1:7" s="98" customFormat="1" ht="13.5" thickBot="1">
      <c r="A4" s="209"/>
      <c r="B4" s="209"/>
      <c r="C4" s="209"/>
      <c r="D4" s="210"/>
      <c r="G4" s="211"/>
    </row>
    <row r="5" spans="1:7" s="177" customFormat="1" ht="15" customHeight="1">
      <c r="A5" s="213" t="s">
        <v>1215</v>
      </c>
      <c r="B5" s="214" t="s">
        <v>1036</v>
      </c>
      <c r="C5" s="214" t="s">
        <v>1221</v>
      </c>
      <c r="D5" s="214" t="s">
        <v>1037</v>
      </c>
      <c r="E5" s="215" t="s">
        <v>1038</v>
      </c>
      <c r="F5" s="216" t="s">
        <v>1039</v>
      </c>
      <c r="G5" s="217" t="s">
        <v>1040</v>
      </c>
    </row>
    <row r="6" spans="1:7" s="223" customFormat="1" ht="13.5" customHeight="1" thickBot="1">
      <c r="A6" s="218">
        <v>1</v>
      </c>
      <c r="B6" s="219">
        <v>2</v>
      </c>
      <c r="C6" s="219">
        <v>3</v>
      </c>
      <c r="D6" s="219">
        <v>4</v>
      </c>
      <c r="E6" s="220">
        <v>5</v>
      </c>
      <c r="F6" s="221">
        <v>6</v>
      </c>
      <c r="G6" s="222">
        <v>7</v>
      </c>
    </row>
    <row r="7" spans="1:7" s="226" customFormat="1" ht="22.5" customHeight="1">
      <c r="A7" s="1378" t="s">
        <v>1226</v>
      </c>
      <c r="B7" s="1379"/>
      <c r="C7" s="1379"/>
      <c r="D7" s="1380"/>
      <c r="E7" s="224">
        <f>SUM(E8,E11,E16,E19,E22,E37,E47,E65,E73,E92,E97,E106,E142,E152,E170,E182,E218,E226,E229,E247,E254)</f>
        <v>126997556.75</v>
      </c>
      <c r="F7" s="224">
        <f>SUM(F8,F11,F16,F19,F22,F37,F47,F65,F73,F92,F97,F106,F142,F152,F170,F182,F218,F226,F229,F247,F254)</f>
        <v>61173071.94</v>
      </c>
      <c r="G7" s="225">
        <f aca="true" t="shared" si="0" ref="G7:G14">F7/E7*100</f>
        <v>48.16869985965301</v>
      </c>
    </row>
    <row r="8" spans="1:7" s="111" customFormat="1" ht="16.5" customHeight="1">
      <c r="A8" s="106" t="s">
        <v>1041</v>
      </c>
      <c r="B8" s="107"/>
      <c r="C8" s="107"/>
      <c r="D8" s="108" t="s">
        <v>492</v>
      </c>
      <c r="E8" s="109">
        <f>SUM(E9)</f>
        <v>16017.75</v>
      </c>
      <c r="F8" s="109">
        <f>SUM(F9)</f>
        <v>16017.75</v>
      </c>
      <c r="G8" s="110">
        <f t="shared" si="0"/>
        <v>100</v>
      </c>
    </row>
    <row r="9" spans="1:7" s="117" customFormat="1" ht="19.5" customHeight="1">
      <c r="A9" s="112"/>
      <c r="B9" s="113" t="s">
        <v>498</v>
      </c>
      <c r="C9" s="113"/>
      <c r="D9" s="114" t="s">
        <v>1042</v>
      </c>
      <c r="E9" s="115">
        <f>SUM(E10)</f>
        <v>16017.75</v>
      </c>
      <c r="F9" s="115">
        <f>SUM(F10)</f>
        <v>16017.75</v>
      </c>
      <c r="G9" s="116">
        <f t="shared" si="0"/>
        <v>100</v>
      </c>
    </row>
    <row r="10" spans="1:7" s="123" customFormat="1" ht="55.5" customHeight="1">
      <c r="A10" s="118"/>
      <c r="B10" s="119"/>
      <c r="C10" s="120">
        <v>2010</v>
      </c>
      <c r="D10" s="121" t="s">
        <v>41</v>
      </c>
      <c r="E10" s="16">
        <v>16017.75</v>
      </c>
      <c r="F10" s="16">
        <v>16017.75</v>
      </c>
      <c r="G10" s="122">
        <f t="shared" si="0"/>
        <v>100</v>
      </c>
    </row>
    <row r="11" spans="1:7" s="127" customFormat="1" ht="18" customHeight="1">
      <c r="A11" s="106" t="s">
        <v>1043</v>
      </c>
      <c r="B11" s="124"/>
      <c r="C11" s="124"/>
      <c r="D11" s="125" t="s">
        <v>1222</v>
      </c>
      <c r="E11" s="126">
        <f>SUM(E12)</f>
        <v>51000</v>
      </c>
      <c r="F11" s="126">
        <f>SUM(F12)</f>
        <v>37731.75</v>
      </c>
      <c r="G11" s="110">
        <f t="shared" si="0"/>
        <v>73.98382352941177</v>
      </c>
    </row>
    <row r="12" spans="1:7" ht="21" customHeight="1">
      <c r="A12" s="112"/>
      <c r="B12" s="128" t="s">
        <v>1044</v>
      </c>
      <c r="C12" s="128"/>
      <c r="D12" s="129" t="s">
        <v>1042</v>
      </c>
      <c r="E12" s="130">
        <f>SUM(E13,E14,E15)</f>
        <v>51000</v>
      </c>
      <c r="F12" s="130">
        <f>SUM(F13,F14,F15)</f>
        <v>37731.75</v>
      </c>
      <c r="G12" s="116">
        <f t="shared" si="0"/>
        <v>73.98382352941177</v>
      </c>
    </row>
    <row r="13" spans="1:7" s="135" customFormat="1" ht="21" customHeight="1">
      <c r="A13" s="118"/>
      <c r="B13" s="132"/>
      <c r="C13" s="132" t="s">
        <v>182</v>
      </c>
      <c r="D13" s="133" t="s">
        <v>1225</v>
      </c>
      <c r="E13" s="134">
        <v>1000</v>
      </c>
      <c r="F13" s="134">
        <v>1524.45</v>
      </c>
      <c r="G13" s="122">
        <f t="shared" si="0"/>
        <v>152.44500000000002</v>
      </c>
    </row>
    <row r="14" spans="1:7" s="135" customFormat="1" ht="21" customHeight="1">
      <c r="A14" s="118"/>
      <c r="B14" s="132"/>
      <c r="C14" s="132" t="s">
        <v>153</v>
      </c>
      <c r="D14" s="136" t="s">
        <v>152</v>
      </c>
      <c r="E14" s="134">
        <v>50000</v>
      </c>
      <c r="F14" s="134">
        <v>31674.82</v>
      </c>
      <c r="G14" s="122">
        <f t="shared" si="0"/>
        <v>63.349639999999994</v>
      </c>
    </row>
    <row r="15" spans="1:7" s="135" customFormat="1" ht="21" customHeight="1">
      <c r="A15" s="118"/>
      <c r="B15" s="132"/>
      <c r="C15" s="132" t="s">
        <v>179</v>
      </c>
      <c r="D15" s="136" t="s">
        <v>1229</v>
      </c>
      <c r="E15" s="134">
        <v>0</v>
      </c>
      <c r="F15" s="134">
        <v>4532.48</v>
      </c>
      <c r="G15" s="122" t="s">
        <v>1274</v>
      </c>
    </row>
    <row r="16" spans="1:7" s="127" customFormat="1" ht="29.25" customHeight="1">
      <c r="A16" s="106" t="s">
        <v>60</v>
      </c>
      <c r="B16" s="124"/>
      <c r="C16" s="124"/>
      <c r="D16" s="140" t="s">
        <v>122</v>
      </c>
      <c r="E16" s="126">
        <f>SUM(E17)</f>
        <v>0</v>
      </c>
      <c r="F16" s="126">
        <f>SUM(F17)</f>
        <v>6716.06</v>
      </c>
      <c r="G16" s="110" t="s">
        <v>1274</v>
      </c>
    </row>
    <row r="17" spans="1:7" ht="21" customHeight="1">
      <c r="A17" s="112"/>
      <c r="B17" s="128" t="s">
        <v>501</v>
      </c>
      <c r="C17" s="128"/>
      <c r="D17" s="129" t="s">
        <v>502</v>
      </c>
      <c r="E17" s="130">
        <f>SUM(E18,E19,E20)</f>
        <v>0</v>
      </c>
      <c r="F17" s="130">
        <f>SUM(F18,F19,F20)</f>
        <v>6716.06</v>
      </c>
      <c r="G17" s="116" t="s">
        <v>1274</v>
      </c>
    </row>
    <row r="18" spans="1:7" s="135" customFormat="1" ht="21" customHeight="1">
      <c r="A18" s="118"/>
      <c r="B18" s="132"/>
      <c r="C18" s="132" t="s">
        <v>180</v>
      </c>
      <c r="D18" s="133" t="s">
        <v>1228</v>
      </c>
      <c r="E18" s="134">
        <v>0</v>
      </c>
      <c r="F18" s="134">
        <v>6716.06</v>
      </c>
      <c r="G18" s="122" t="s">
        <v>1274</v>
      </c>
    </row>
    <row r="19" spans="1:7" s="127" customFormat="1" ht="19.5" customHeight="1" hidden="1">
      <c r="A19" s="106" t="s">
        <v>29</v>
      </c>
      <c r="B19" s="124"/>
      <c r="C19" s="124"/>
      <c r="D19" s="125" t="s">
        <v>32</v>
      </c>
      <c r="E19" s="126">
        <f>E21</f>
        <v>0</v>
      </c>
      <c r="F19" s="126">
        <f>F20</f>
        <v>0</v>
      </c>
      <c r="G19" s="110" t="s">
        <v>1274</v>
      </c>
    </row>
    <row r="20" spans="1:7" ht="21.75" customHeight="1" hidden="1">
      <c r="A20" s="112"/>
      <c r="B20" s="128" t="s">
        <v>184</v>
      </c>
      <c r="C20" s="128"/>
      <c r="D20" s="129" t="s">
        <v>185</v>
      </c>
      <c r="E20" s="137">
        <f>E21</f>
        <v>0</v>
      </c>
      <c r="F20" s="130">
        <f>F21</f>
        <v>0</v>
      </c>
      <c r="G20" s="116" t="s">
        <v>1274</v>
      </c>
    </row>
    <row r="21" spans="1:7" s="135" customFormat="1" ht="29.25" customHeight="1" hidden="1">
      <c r="A21" s="118"/>
      <c r="B21" s="132"/>
      <c r="C21" s="132" t="s">
        <v>186</v>
      </c>
      <c r="D21" s="136" t="s">
        <v>54</v>
      </c>
      <c r="E21" s="138">
        <v>0</v>
      </c>
      <c r="F21" s="134"/>
      <c r="G21" s="122" t="s">
        <v>1274</v>
      </c>
    </row>
    <row r="22" spans="1:7" ht="19.5" customHeight="1">
      <c r="A22" s="106" t="s">
        <v>1046</v>
      </c>
      <c r="B22" s="124"/>
      <c r="C22" s="124"/>
      <c r="D22" s="140" t="s">
        <v>1047</v>
      </c>
      <c r="E22" s="141">
        <f>SUM(E23,E28)</f>
        <v>9381154</v>
      </c>
      <c r="F22" s="142">
        <f>SUM(F23,F28)</f>
        <v>9229606.370000001</v>
      </c>
      <c r="G22" s="110">
        <f>F22/E22*100</f>
        <v>98.3845523695699</v>
      </c>
    </row>
    <row r="23" spans="1:7" ht="19.5" customHeight="1">
      <c r="A23" s="112"/>
      <c r="B23" s="128" t="s">
        <v>1049</v>
      </c>
      <c r="C23" s="128"/>
      <c r="D23" s="114" t="s">
        <v>1050</v>
      </c>
      <c r="E23" s="137">
        <f>SUM(E24,E25,E26,E27)</f>
        <v>0</v>
      </c>
      <c r="F23" s="137">
        <f>SUM(F24,F25,F26,F27)</f>
        <v>42826</v>
      </c>
      <c r="G23" s="139" t="s">
        <v>1274</v>
      </c>
    </row>
    <row r="24" spans="1:7" ht="27.75" customHeight="1">
      <c r="A24" s="118"/>
      <c r="B24" s="132"/>
      <c r="C24" s="132" t="s">
        <v>949</v>
      </c>
      <c r="D24" s="136" t="s">
        <v>948</v>
      </c>
      <c r="E24" s="138">
        <v>0</v>
      </c>
      <c r="F24" s="134">
        <v>42826</v>
      </c>
      <c r="G24" s="122" t="s">
        <v>1274</v>
      </c>
    </row>
    <row r="25" spans="1:7" s="135" customFormat="1" ht="20.25" customHeight="1" hidden="1">
      <c r="A25" s="118"/>
      <c r="B25" s="132"/>
      <c r="C25" s="132" t="s">
        <v>153</v>
      </c>
      <c r="D25" s="136" t="s">
        <v>152</v>
      </c>
      <c r="E25" s="134">
        <v>0</v>
      </c>
      <c r="F25" s="134"/>
      <c r="G25" s="122" t="s">
        <v>1274</v>
      </c>
    </row>
    <row r="26" spans="1:7" s="135" customFormat="1" ht="20.25" customHeight="1" hidden="1">
      <c r="A26" s="118"/>
      <c r="B26" s="132"/>
      <c r="C26" s="132" t="s">
        <v>179</v>
      </c>
      <c r="D26" s="136" t="s">
        <v>1229</v>
      </c>
      <c r="E26" s="134">
        <v>0</v>
      </c>
      <c r="F26" s="134"/>
      <c r="G26" s="122" t="s">
        <v>1274</v>
      </c>
    </row>
    <row r="27" spans="1:7" s="135" customFormat="1" ht="20.25" customHeight="1" hidden="1">
      <c r="A27" s="118"/>
      <c r="B27" s="132"/>
      <c r="C27" s="132" t="s">
        <v>180</v>
      </c>
      <c r="D27" s="136" t="s">
        <v>1228</v>
      </c>
      <c r="E27" s="134">
        <v>0</v>
      </c>
      <c r="F27" s="134">
        <v>0</v>
      </c>
      <c r="G27" s="122" t="e">
        <f>F27/E27*100</f>
        <v>#DIV/0!</v>
      </c>
    </row>
    <row r="28" spans="1:7" ht="21.75" customHeight="1">
      <c r="A28" s="112"/>
      <c r="B28" s="143" t="s">
        <v>76</v>
      </c>
      <c r="C28" s="128"/>
      <c r="D28" s="114" t="s">
        <v>77</v>
      </c>
      <c r="E28" s="115">
        <f>SUM(E29,E30,E31,E32,E33,E35)</f>
        <v>9381154</v>
      </c>
      <c r="F28" s="115">
        <f>SUM(F29,F30,F31,F32,F33,F35)</f>
        <v>9186780.370000001</v>
      </c>
      <c r="G28" s="116">
        <f>F28/E28*100</f>
        <v>97.9280413688977</v>
      </c>
    </row>
    <row r="29" spans="1:7" ht="27.75" customHeight="1">
      <c r="A29" s="118"/>
      <c r="B29" s="132"/>
      <c r="C29" s="132" t="s">
        <v>949</v>
      </c>
      <c r="D29" s="136" t="s">
        <v>948</v>
      </c>
      <c r="E29" s="138">
        <v>0</v>
      </c>
      <c r="F29" s="134">
        <v>21462.35</v>
      </c>
      <c r="G29" s="122" t="s">
        <v>1274</v>
      </c>
    </row>
    <row r="30" spans="1:7" s="135" customFormat="1" ht="21" customHeight="1">
      <c r="A30" s="118"/>
      <c r="B30" s="132"/>
      <c r="C30" s="132" t="s">
        <v>182</v>
      </c>
      <c r="D30" s="133" t="s">
        <v>1225</v>
      </c>
      <c r="E30" s="134">
        <v>36000</v>
      </c>
      <c r="F30" s="134">
        <v>0</v>
      </c>
      <c r="G30" s="122">
        <f>F30/E30*100</f>
        <v>0</v>
      </c>
    </row>
    <row r="31" spans="1:7" s="135" customFormat="1" ht="63.75" customHeight="1">
      <c r="A31" s="150"/>
      <c r="B31" s="151"/>
      <c r="C31" s="148" t="s">
        <v>183</v>
      </c>
      <c r="D31" s="121" t="s">
        <v>283</v>
      </c>
      <c r="E31" s="149">
        <v>12000</v>
      </c>
      <c r="F31" s="149">
        <v>37728.75</v>
      </c>
      <c r="G31" s="122">
        <f>F31/E31*100</f>
        <v>314.40625</v>
      </c>
    </row>
    <row r="32" spans="1:7" s="135" customFormat="1" ht="21" customHeight="1">
      <c r="A32" s="118"/>
      <c r="B32" s="132"/>
      <c r="C32" s="132" t="s">
        <v>179</v>
      </c>
      <c r="D32" s="136" t="s">
        <v>1229</v>
      </c>
      <c r="E32" s="134">
        <v>0</v>
      </c>
      <c r="F32" s="134">
        <v>52.27</v>
      </c>
      <c r="G32" s="122" t="s">
        <v>1274</v>
      </c>
    </row>
    <row r="33" spans="1:7" s="135" customFormat="1" ht="54.75" customHeight="1">
      <c r="A33" s="118"/>
      <c r="B33" s="144"/>
      <c r="C33" s="132" t="s">
        <v>920</v>
      </c>
      <c r="D33" s="136" t="s">
        <v>296</v>
      </c>
      <c r="E33" s="16">
        <v>3971550</v>
      </c>
      <c r="F33" s="16">
        <v>3765933</v>
      </c>
      <c r="G33" s="122">
        <f>F33/E33*100</f>
        <v>94.82275182233637</v>
      </c>
    </row>
    <row r="34" spans="1:7" s="135" customFormat="1" ht="66.75" customHeight="1">
      <c r="A34" s="118"/>
      <c r="B34" s="144"/>
      <c r="C34" s="132"/>
      <c r="D34" s="121" t="s">
        <v>385</v>
      </c>
      <c r="E34" s="16"/>
      <c r="F34" s="16"/>
      <c r="G34" s="122"/>
    </row>
    <row r="35" spans="1:7" s="135" customFormat="1" ht="54" customHeight="1">
      <c r="A35" s="118"/>
      <c r="B35" s="144"/>
      <c r="C35" s="132" t="s">
        <v>832</v>
      </c>
      <c r="D35" s="136" t="s">
        <v>296</v>
      </c>
      <c r="E35" s="16">
        <v>5361604</v>
      </c>
      <c r="F35" s="16">
        <v>5361604</v>
      </c>
      <c r="G35" s="122">
        <f>F35/E35*100</f>
        <v>100</v>
      </c>
    </row>
    <row r="36" spans="1:7" s="135" customFormat="1" ht="66.75" customHeight="1">
      <c r="A36" s="118"/>
      <c r="B36" s="144"/>
      <c r="C36" s="132"/>
      <c r="D36" s="121" t="s">
        <v>392</v>
      </c>
      <c r="E36" s="16"/>
      <c r="F36" s="16"/>
      <c r="G36" s="122"/>
    </row>
    <row r="37" spans="1:7" s="127" customFormat="1" ht="15" customHeight="1">
      <c r="A37" s="106" t="s">
        <v>1051</v>
      </c>
      <c r="B37" s="124"/>
      <c r="C37" s="124"/>
      <c r="D37" s="140" t="s">
        <v>1052</v>
      </c>
      <c r="E37" s="126">
        <f>SUM(E38,E44)</f>
        <v>279800</v>
      </c>
      <c r="F37" s="126">
        <f>SUM(F38,F44)</f>
        <v>12502.55</v>
      </c>
      <c r="G37" s="110">
        <f>F37/E37*100</f>
        <v>4.468388134381701</v>
      </c>
    </row>
    <row r="38" spans="1:7" ht="16.5" customHeight="1">
      <c r="A38" s="112"/>
      <c r="B38" s="128" t="s">
        <v>56</v>
      </c>
      <c r="C38" s="128"/>
      <c r="D38" s="114" t="s">
        <v>57</v>
      </c>
      <c r="E38" s="130">
        <f>SUM(E39,E40,E41,E42)</f>
        <v>279800</v>
      </c>
      <c r="F38" s="130">
        <f>SUM(F39,F40,F41,F42)</f>
        <v>12502.55</v>
      </c>
      <c r="G38" s="116">
        <f>F38/E38*100</f>
        <v>4.468388134381701</v>
      </c>
    </row>
    <row r="39" spans="1:7" ht="21" customHeight="1">
      <c r="A39" s="118"/>
      <c r="B39" s="132"/>
      <c r="C39" s="132" t="s">
        <v>153</v>
      </c>
      <c r="D39" s="136" t="s">
        <v>152</v>
      </c>
      <c r="E39" s="134">
        <v>0</v>
      </c>
      <c r="F39" s="134">
        <v>70.5</v>
      </c>
      <c r="G39" s="122" t="s">
        <v>1274</v>
      </c>
    </row>
    <row r="40" spans="1:7" s="135" customFormat="1" ht="21" customHeight="1">
      <c r="A40" s="118"/>
      <c r="B40" s="132"/>
      <c r="C40" s="132" t="s">
        <v>179</v>
      </c>
      <c r="D40" s="136" t="s">
        <v>1229</v>
      </c>
      <c r="E40" s="134">
        <v>0</v>
      </c>
      <c r="F40" s="134">
        <v>0.07</v>
      </c>
      <c r="G40" s="122" t="s">
        <v>1274</v>
      </c>
    </row>
    <row r="41" spans="1:7" s="135" customFormat="1" ht="21" customHeight="1">
      <c r="A41" s="118"/>
      <c r="B41" s="119"/>
      <c r="C41" s="119" t="s">
        <v>180</v>
      </c>
      <c r="D41" s="145" t="s">
        <v>1228</v>
      </c>
      <c r="E41" s="146">
        <v>0</v>
      </c>
      <c r="F41" s="146">
        <v>12431.98</v>
      </c>
      <c r="G41" s="122" t="s">
        <v>1274</v>
      </c>
    </row>
    <row r="42" spans="1:7" s="135" customFormat="1" ht="54" customHeight="1">
      <c r="A42" s="118"/>
      <c r="B42" s="132"/>
      <c r="C42" s="132" t="s">
        <v>1015</v>
      </c>
      <c r="D42" s="136" t="s">
        <v>1271</v>
      </c>
      <c r="E42" s="1384">
        <v>279800</v>
      </c>
      <c r="F42" s="1384">
        <v>0</v>
      </c>
      <c r="G42" s="1385">
        <f>F42/E42*100</f>
        <v>0</v>
      </c>
    </row>
    <row r="43" spans="1:7" s="135" customFormat="1" ht="34.5" customHeight="1">
      <c r="A43" s="118"/>
      <c r="B43" s="132"/>
      <c r="C43" s="132"/>
      <c r="D43" s="136" t="s">
        <v>168</v>
      </c>
      <c r="E43" s="1384"/>
      <c r="F43" s="1384"/>
      <c r="G43" s="1385"/>
    </row>
    <row r="44" spans="1:7" s="135" customFormat="1" ht="18" customHeight="1" hidden="1">
      <c r="A44" s="112"/>
      <c r="B44" s="128" t="s">
        <v>516</v>
      </c>
      <c r="C44" s="128"/>
      <c r="D44" s="114" t="s">
        <v>1042</v>
      </c>
      <c r="E44" s="130">
        <f>SUM(E45,E46)</f>
        <v>0</v>
      </c>
      <c r="F44" s="130">
        <f>SUM(F45,F46)</f>
        <v>0</v>
      </c>
      <c r="G44" s="116" t="s">
        <v>1274</v>
      </c>
    </row>
    <row r="45" spans="1:7" s="135" customFormat="1" ht="29.25" customHeight="1" hidden="1">
      <c r="A45" s="118"/>
      <c r="B45" s="132"/>
      <c r="C45" s="132" t="s">
        <v>181</v>
      </c>
      <c r="D45" s="136" t="s">
        <v>950</v>
      </c>
      <c r="E45" s="134">
        <v>0</v>
      </c>
      <c r="F45" s="134">
        <v>0</v>
      </c>
      <c r="G45" s="122" t="s">
        <v>1274</v>
      </c>
    </row>
    <row r="46" spans="1:7" s="135" customFormat="1" ht="16.5" customHeight="1" hidden="1">
      <c r="A46" s="118"/>
      <c r="B46" s="132"/>
      <c r="C46" s="132" t="s">
        <v>255</v>
      </c>
      <c r="D46" s="136" t="s">
        <v>69</v>
      </c>
      <c r="E46" s="134">
        <v>0</v>
      </c>
      <c r="F46" s="134">
        <v>0</v>
      </c>
      <c r="G46" s="122" t="e">
        <f aca="true" t="shared" si="1" ref="G46:G59">F46/E46*100</f>
        <v>#DIV/0!</v>
      </c>
    </row>
    <row r="47" spans="1:7" s="127" customFormat="1" ht="21" customHeight="1">
      <c r="A47" s="106" t="s">
        <v>1053</v>
      </c>
      <c r="B47" s="124"/>
      <c r="C47" s="124"/>
      <c r="D47" s="125" t="s">
        <v>1054</v>
      </c>
      <c r="E47" s="126">
        <f>SUM(E48,E51,E62)</f>
        <v>19220339</v>
      </c>
      <c r="F47" s="126">
        <f>SUM(F48,F51,F62)</f>
        <v>3433383.18</v>
      </c>
      <c r="G47" s="110">
        <f t="shared" si="1"/>
        <v>17.863281079485642</v>
      </c>
    </row>
    <row r="48" spans="1:7" ht="21" customHeight="1">
      <c r="A48" s="118"/>
      <c r="B48" s="128" t="s">
        <v>518</v>
      </c>
      <c r="C48" s="128"/>
      <c r="D48" s="129" t="s">
        <v>521</v>
      </c>
      <c r="E48" s="130">
        <f>SUM(E49,E50)</f>
        <v>331045</v>
      </c>
      <c r="F48" s="130">
        <f>SUM(F49,F50)</f>
        <v>114940.19</v>
      </c>
      <c r="G48" s="116">
        <f>F48/E48*100</f>
        <v>34.720412632723644</v>
      </c>
    </row>
    <row r="49" spans="1:7" s="135" customFormat="1" ht="29.25" customHeight="1">
      <c r="A49" s="118"/>
      <c r="B49" s="132"/>
      <c r="C49" s="132" t="s">
        <v>243</v>
      </c>
      <c r="D49" s="136" t="s">
        <v>244</v>
      </c>
      <c r="E49" s="134">
        <v>216045</v>
      </c>
      <c r="F49" s="134">
        <v>0</v>
      </c>
      <c r="G49" s="122">
        <f>F49/E49*100</f>
        <v>0</v>
      </c>
    </row>
    <row r="50" spans="1:7" s="135" customFormat="1" ht="40.5" customHeight="1">
      <c r="A50" s="118"/>
      <c r="B50" s="132"/>
      <c r="C50" s="132" t="s">
        <v>95</v>
      </c>
      <c r="D50" s="136" t="s">
        <v>96</v>
      </c>
      <c r="E50" s="134">
        <v>115000</v>
      </c>
      <c r="F50" s="134">
        <v>114940.19</v>
      </c>
      <c r="G50" s="122">
        <f>F50/E50*100</f>
        <v>99.94799130434782</v>
      </c>
    </row>
    <row r="51" spans="1:7" ht="21" customHeight="1">
      <c r="A51" s="118"/>
      <c r="B51" s="128" t="s">
        <v>1055</v>
      </c>
      <c r="C51" s="128"/>
      <c r="D51" s="129" t="s">
        <v>1056</v>
      </c>
      <c r="E51" s="130">
        <f>SUM(E52,E53,E54,E55,E56,E57,E58,E59,E60,E61)</f>
        <v>18889294</v>
      </c>
      <c r="F51" s="130">
        <f>SUM(F52,F53,F54,F55,F56,F57,F58,F59,F60,F61)</f>
        <v>3313897.95</v>
      </c>
      <c r="G51" s="116">
        <f t="shared" si="1"/>
        <v>17.543789354964776</v>
      </c>
    </row>
    <row r="52" spans="1:7" s="135" customFormat="1" ht="29.25" customHeight="1">
      <c r="A52" s="118"/>
      <c r="B52" s="132"/>
      <c r="C52" s="132" t="s">
        <v>187</v>
      </c>
      <c r="D52" s="136" t="s">
        <v>146</v>
      </c>
      <c r="E52" s="134">
        <v>900000</v>
      </c>
      <c r="F52" s="134">
        <v>1347546.5</v>
      </c>
      <c r="G52" s="122">
        <f t="shared" si="1"/>
        <v>149.72738888888887</v>
      </c>
    </row>
    <row r="53" spans="1:7" s="135" customFormat="1" ht="29.25" customHeight="1">
      <c r="A53" s="118"/>
      <c r="B53" s="132"/>
      <c r="C53" s="132" t="s">
        <v>181</v>
      </c>
      <c r="D53" s="136" t="s">
        <v>950</v>
      </c>
      <c r="E53" s="134">
        <v>0</v>
      </c>
      <c r="F53" s="134">
        <v>645</v>
      </c>
      <c r="G53" s="122" t="s">
        <v>1274</v>
      </c>
    </row>
    <row r="54" spans="1:7" ht="27.75" customHeight="1">
      <c r="A54" s="118"/>
      <c r="B54" s="132"/>
      <c r="C54" s="132" t="s">
        <v>949</v>
      </c>
      <c r="D54" s="136" t="s">
        <v>948</v>
      </c>
      <c r="E54" s="138">
        <v>0</v>
      </c>
      <c r="F54" s="134">
        <v>177.63</v>
      </c>
      <c r="G54" s="122" t="s">
        <v>1274</v>
      </c>
    </row>
    <row r="55" spans="1:7" s="135" customFormat="1" ht="69" customHeight="1">
      <c r="A55" s="118"/>
      <c r="B55" s="132"/>
      <c r="C55" s="132" t="s">
        <v>183</v>
      </c>
      <c r="D55" s="136" t="s">
        <v>283</v>
      </c>
      <c r="E55" s="134">
        <v>2000000</v>
      </c>
      <c r="F55" s="134">
        <v>1027023.6</v>
      </c>
      <c r="G55" s="122">
        <f t="shared" si="1"/>
        <v>51.35118</v>
      </c>
    </row>
    <row r="56" spans="1:7" s="135" customFormat="1" ht="42" customHeight="1">
      <c r="A56" s="118"/>
      <c r="B56" s="132"/>
      <c r="C56" s="132" t="s">
        <v>189</v>
      </c>
      <c r="D56" s="136" t="s">
        <v>1237</v>
      </c>
      <c r="E56" s="134">
        <v>150000</v>
      </c>
      <c r="F56" s="134">
        <v>159920.58</v>
      </c>
      <c r="G56" s="122">
        <f t="shared" si="1"/>
        <v>106.61372</v>
      </c>
    </row>
    <row r="57" spans="1:7" s="147" customFormat="1" ht="39" customHeight="1">
      <c r="A57" s="118"/>
      <c r="B57" s="132"/>
      <c r="C57" s="132" t="s">
        <v>190</v>
      </c>
      <c r="D57" s="136" t="s">
        <v>297</v>
      </c>
      <c r="E57" s="134">
        <v>15722294</v>
      </c>
      <c r="F57" s="134">
        <v>695982.8</v>
      </c>
      <c r="G57" s="122">
        <f t="shared" si="1"/>
        <v>4.426725514737226</v>
      </c>
    </row>
    <row r="58" spans="1:7" s="135" customFormat="1" ht="19.5" customHeight="1">
      <c r="A58" s="118"/>
      <c r="B58" s="119"/>
      <c r="C58" s="119" t="s">
        <v>179</v>
      </c>
      <c r="D58" s="145" t="s">
        <v>1229</v>
      </c>
      <c r="E58" s="146">
        <v>80000</v>
      </c>
      <c r="F58" s="146">
        <v>30050.76</v>
      </c>
      <c r="G58" s="122">
        <f t="shared" si="1"/>
        <v>37.563449999999996</v>
      </c>
    </row>
    <row r="59" spans="1:7" s="135" customFormat="1" ht="19.5" customHeight="1">
      <c r="A59" s="118"/>
      <c r="B59" s="119"/>
      <c r="C59" s="148" t="s">
        <v>180</v>
      </c>
      <c r="D59" s="121" t="s">
        <v>1228</v>
      </c>
      <c r="E59" s="149">
        <v>10000</v>
      </c>
      <c r="F59" s="149">
        <v>52551.08</v>
      </c>
      <c r="G59" s="122">
        <f t="shared" si="1"/>
        <v>525.5108</v>
      </c>
    </row>
    <row r="60" spans="1:7" s="135" customFormat="1" ht="63" customHeight="1" hidden="1">
      <c r="A60" s="150"/>
      <c r="B60" s="151"/>
      <c r="C60" s="120">
        <v>2010</v>
      </c>
      <c r="D60" s="121" t="s">
        <v>41</v>
      </c>
      <c r="E60" s="149">
        <v>0</v>
      </c>
      <c r="F60" s="149"/>
      <c r="G60" s="122" t="e">
        <f>F60/E60*100</f>
        <v>#DIV/0!</v>
      </c>
    </row>
    <row r="61" spans="1:7" s="135" customFormat="1" ht="55.5" customHeight="1">
      <c r="A61" s="150"/>
      <c r="B61" s="151"/>
      <c r="C61" s="120">
        <v>2020</v>
      </c>
      <c r="D61" s="121" t="s">
        <v>55</v>
      </c>
      <c r="E61" s="149">
        <v>27000</v>
      </c>
      <c r="F61" s="149">
        <v>0</v>
      </c>
      <c r="G61" s="122">
        <f>F61/E61*100</f>
        <v>0</v>
      </c>
    </row>
    <row r="62" spans="1:7" ht="20.25" customHeight="1">
      <c r="A62" s="156"/>
      <c r="B62" s="157" t="s">
        <v>522</v>
      </c>
      <c r="C62" s="174"/>
      <c r="D62" s="160" t="s">
        <v>1042</v>
      </c>
      <c r="E62" s="159">
        <f>SUM(E63,E64)</f>
        <v>0</v>
      </c>
      <c r="F62" s="159">
        <f>SUM(F63,F64)</f>
        <v>4545.04</v>
      </c>
      <c r="G62" s="116" t="s">
        <v>1274</v>
      </c>
    </row>
    <row r="63" spans="1:7" s="135" customFormat="1" ht="30" customHeight="1">
      <c r="A63" s="150"/>
      <c r="B63" s="151"/>
      <c r="C63" s="148" t="s">
        <v>181</v>
      </c>
      <c r="D63" s="121" t="s">
        <v>950</v>
      </c>
      <c r="E63" s="149">
        <v>0</v>
      </c>
      <c r="F63" s="149">
        <v>4545.04</v>
      </c>
      <c r="G63" s="122" t="s">
        <v>1274</v>
      </c>
    </row>
    <row r="64" spans="1:7" s="135" customFormat="1" ht="0.75" customHeight="1">
      <c r="A64" s="150"/>
      <c r="B64" s="151"/>
      <c r="C64" s="120">
        <v>6290</v>
      </c>
      <c r="D64" s="136" t="s">
        <v>296</v>
      </c>
      <c r="E64" s="149">
        <v>0</v>
      </c>
      <c r="F64" s="149">
        <v>0</v>
      </c>
      <c r="G64" s="122" t="s">
        <v>1274</v>
      </c>
    </row>
    <row r="65" spans="1:7" ht="19.5" customHeight="1">
      <c r="A65" s="152" t="s">
        <v>1057</v>
      </c>
      <c r="B65" s="153"/>
      <c r="C65" s="154"/>
      <c r="D65" s="155" t="s">
        <v>1058</v>
      </c>
      <c r="E65" s="142">
        <f>SUM(E66,E68,E70)</f>
        <v>170000</v>
      </c>
      <c r="F65" s="142">
        <f>SUM(F66,F68,F70)</f>
        <v>87979.09</v>
      </c>
      <c r="G65" s="110">
        <f>F65/E65*100</f>
        <v>51.75240588235294</v>
      </c>
    </row>
    <row r="66" spans="1:7" ht="19.5" customHeight="1" hidden="1">
      <c r="A66" s="156"/>
      <c r="B66" s="157" t="s">
        <v>523</v>
      </c>
      <c r="C66" s="154"/>
      <c r="D66" s="158" t="s">
        <v>524</v>
      </c>
      <c r="E66" s="159">
        <f>SUM(E67)</f>
        <v>0</v>
      </c>
      <c r="F66" s="159">
        <f>SUM(F67)</f>
        <v>0</v>
      </c>
      <c r="G66" s="116" t="s">
        <v>1274</v>
      </c>
    </row>
    <row r="67" spans="1:7" s="135" customFormat="1" ht="29.25" customHeight="1" hidden="1">
      <c r="A67" s="150"/>
      <c r="B67" s="151"/>
      <c r="C67" s="151" t="s">
        <v>181</v>
      </c>
      <c r="D67" s="121" t="s">
        <v>950</v>
      </c>
      <c r="E67" s="149">
        <v>0</v>
      </c>
      <c r="F67" s="149"/>
      <c r="G67" s="122" t="s">
        <v>1274</v>
      </c>
    </row>
    <row r="68" spans="1:7" ht="18.75" customHeight="1">
      <c r="A68" s="156"/>
      <c r="B68" s="157" t="s">
        <v>1060</v>
      </c>
      <c r="C68" s="157"/>
      <c r="D68" s="160" t="s">
        <v>1061</v>
      </c>
      <c r="E68" s="159">
        <f>SUM(E69)</f>
        <v>0</v>
      </c>
      <c r="F68" s="159">
        <f>SUM(F69)</f>
        <v>4273.4</v>
      </c>
      <c r="G68" s="122" t="s">
        <v>1274</v>
      </c>
    </row>
    <row r="69" spans="1:7" s="135" customFormat="1" ht="29.25" customHeight="1">
      <c r="A69" s="150"/>
      <c r="B69" s="151"/>
      <c r="C69" s="151" t="s">
        <v>181</v>
      </c>
      <c r="D69" s="136" t="s">
        <v>950</v>
      </c>
      <c r="E69" s="149">
        <v>0</v>
      </c>
      <c r="F69" s="149">
        <v>4273.4</v>
      </c>
      <c r="G69" s="122" t="s">
        <v>1274</v>
      </c>
    </row>
    <row r="70" spans="1:7" ht="19.5" customHeight="1">
      <c r="A70" s="156"/>
      <c r="B70" s="157" t="s">
        <v>1067</v>
      </c>
      <c r="C70" s="157"/>
      <c r="D70" s="158" t="s">
        <v>1068</v>
      </c>
      <c r="E70" s="159">
        <f>SUM(E71,E72)</f>
        <v>170000</v>
      </c>
      <c r="F70" s="159">
        <f>SUM(F71,F72)</f>
        <v>83705.69</v>
      </c>
      <c r="G70" s="116">
        <f aca="true" t="shared" si="2" ref="G70:G80">F70/E70*100</f>
        <v>49.23864117647059</v>
      </c>
    </row>
    <row r="71" spans="1:7" ht="29.25" customHeight="1" hidden="1">
      <c r="A71" s="156"/>
      <c r="B71" s="157"/>
      <c r="C71" s="151" t="s">
        <v>181</v>
      </c>
      <c r="D71" s="121" t="s">
        <v>950</v>
      </c>
      <c r="E71" s="149">
        <v>0</v>
      </c>
      <c r="F71" s="149">
        <v>0</v>
      </c>
      <c r="G71" s="116" t="s">
        <v>1274</v>
      </c>
    </row>
    <row r="72" spans="1:7" s="135" customFormat="1" ht="19.5" customHeight="1">
      <c r="A72" s="150"/>
      <c r="B72" s="151"/>
      <c r="C72" s="151" t="s">
        <v>178</v>
      </c>
      <c r="D72" s="161" t="s">
        <v>1286</v>
      </c>
      <c r="E72" s="149">
        <v>170000</v>
      </c>
      <c r="F72" s="149">
        <v>83705.69</v>
      </c>
      <c r="G72" s="122">
        <f t="shared" si="2"/>
        <v>49.23864117647059</v>
      </c>
    </row>
    <row r="73" spans="1:7" s="127" customFormat="1" ht="19.5" customHeight="1">
      <c r="A73" s="152" t="s">
        <v>1069</v>
      </c>
      <c r="B73" s="153"/>
      <c r="C73" s="153"/>
      <c r="D73" s="155" t="s">
        <v>1070</v>
      </c>
      <c r="E73" s="142">
        <f>SUM(E74,E76,E84)</f>
        <v>1303010</v>
      </c>
      <c r="F73" s="142">
        <f>SUM(F74,F76,F84)</f>
        <v>619760.1699999999</v>
      </c>
      <c r="G73" s="110">
        <f t="shared" si="2"/>
        <v>47.56373089999309</v>
      </c>
    </row>
    <row r="74" spans="1:7" ht="19.5" customHeight="1">
      <c r="A74" s="156"/>
      <c r="B74" s="157" t="s">
        <v>1071</v>
      </c>
      <c r="C74" s="157"/>
      <c r="D74" s="158" t="s">
        <v>1077</v>
      </c>
      <c r="E74" s="159">
        <f>SUM(E75)</f>
        <v>369700</v>
      </c>
      <c r="F74" s="159">
        <f>SUM(F75)</f>
        <v>187651</v>
      </c>
      <c r="G74" s="116">
        <f t="shared" si="2"/>
        <v>50.75764133080877</v>
      </c>
    </row>
    <row r="75" spans="1:7" s="135" customFormat="1" ht="56.25" customHeight="1">
      <c r="A75" s="150"/>
      <c r="B75" s="151"/>
      <c r="C75" s="151" t="s">
        <v>273</v>
      </c>
      <c r="D75" s="121" t="s">
        <v>41</v>
      </c>
      <c r="E75" s="149">
        <v>369700</v>
      </c>
      <c r="F75" s="149">
        <v>187651</v>
      </c>
      <c r="G75" s="122">
        <f t="shared" si="2"/>
        <v>50.75764133080877</v>
      </c>
    </row>
    <row r="76" spans="1:7" ht="19.5" customHeight="1">
      <c r="A76" s="156"/>
      <c r="B76" s="162" t="s">
        <v>1080</v>
      </c>
      <c r="C76" s="162"/>
      <c r="D76" s="163" t="s">
        <v>42</v>
      </c>
      <c r="E76" s="164">
        <f>SUM(E77,E78,E79,E80,E81,E82,E83)</f>
        <v>105190</v>
      </c>
      <c r="F76" s="164">
        <f>SUM(F77,F78,F79,F80,F81,F82,F83)</f>
        <v>166049.47</v>
      </c>
      <c r="G76" s="139">
        <f t="shared" si="2"/>
        <v>157.85670691130335</v>
      </c>
    </row>
    <row r="77" spans="1:7" s="135" customFormat="1" ht="19.5" customHeight="1">
      <c r="A77" s="165"/>
      <c r="B77" s="166"/>
      <c r="C77" s="166" t="s">
        <v>182</v>
      </c>
      <c r="D77" s="167" t="s">
        <v>1225</v>
      </c>
      <c r="E77" s="168">
        <v>55240</v>
      </c>
      <c r="F77" s="149">
        <v>20766.62</v>
      </c>
      <c r="G77" s="17">
        <f t="shared" si="2"/>
        <v>37.593446777697324</v>
      </c>
    </row>
    <row r="78" spans="1:7" s="135" customFormat="1" ht="69" customHeight="1">
      <c r="A78" s="150"/>
      <c r="B78" s="151"/>
      <c r="C78" s="148" t="s">
        <v>183</v>
      </c>
      <c r="D78" s="121" t="s">
        <v>283</v>
      </c>
      <c r="E78" s="149">
        <v>11800</v>
      </c>
      <c r="F78" s="149">
        <v>6129.75</v>
      </c>
      <c r="G78" s="122">
        <f t="shared" si="2"/>
        <v>51.94703389830509</v>
      </c>
    </row>
    <row r="79" spans="1:7" s="135" customFormat="1" ht="20.25" customHeight="1">
      <c r="A79" s="150"/>
      <c r="B79" s="151"/>
      <c r="C79" s="148" t="s">
        <v>178</v>
      </c>
      <c r="D79" s="121" t="s">
        <v>1286</v>
      </c>
      <c r="E79" s="149">
        <v>32000</v>
      </c>
      <c r="F79" s="149">
        <v>24355.56</v>
      </c>
      <c r="G79" s="122">
        <f t="shared" si="2"/>
        <v>76.111125</v>
      </c>
    </row>
    <row r="80" spans="1:7" s="135" customFormat="1" ht="20.25" customHeight="1" hidden="1">
      <c r="A80" s="150"/>
      <c r="B80" s="151"/>
      <c r="C80" s="148" t="s">
        <v>153</v>
      </c>
      <c r="D80" s="121" t="s">
        <v>152</v>
      </c>
      <c r="E80" s="149">
        <v>0</v>
      </c>
      <c r="F80" s="149"/>
      <c r="G80" s="122" t="e">
        <f t="shared" si="2"/>
        <v>#DIV/0!</v>
      </c>
    </row>
    <row r="81" spans="1:7" s="135" customFormat="1" ht="21" customHeight="1">
      <c r="A81" s="150"/>
      <c r="B81" s="151"/>
      <c r="C81" s="148" t="s">
        <v>179</v>
      </c>
      <c r="D81" s="121" t="s">
        <v>1229</v>
      </c>
      <c r="E81" s="149">
        <v>0</v>
      </c>
      <c r="F81" s="149">
        <v>330.89</v>
      </c>
      <c r="G81" s="122" t="s">
        <v>1274</v>
      </c>
    </row>
    <row r="82" spans="1:7" s="135" customFormat="1" ht="21" customHeight="1">
      <c r="A82" s="150"/>
      <c r="B82" s="151"/>
      <c r="C82" s="148" t="s">
        <v>180</v>
      </c>
      <c r="D82" s="121" t="s">
        <v>1228</v>
      </c>
      <c r="E82" s="149">
        <v>0</v>
      </c>
      <c r="F82" s="149">
        <v>49172.15</v>
      </c>
      <c r="G82" s="122" t="s">
        <v>1274</v>
      </c>
    </row>
    <row r="83" spans="1:7" s="135" customFormat="1" ht="52.5" customHeight="1">
      <c r="A83" s="150"/>
      <c r="B83" s="151"/>
      <c r="C83" s="148" t="s">
        <v>261</v>
      </c>
      <c r="D83" s="121" t="s">
        <v>281</v>
      </c>
      <c r="E83" s="149">
        <v>6150</v>
      </c>
      <c r="F83" s="149">
        <v>65294.5</v>
      </c>
      <c r="G83" s="116">
        <f aca="true" t="shared" si="3" ref="G83:G97">F83/E83*100</f>
        <v>1061.69918699187</v>
      </c>
    </row>
    <row r="84" spans="1:7" ht="19.5" customHeight="1">
      <c r="A84" s="156"/>
      <c r="B84" s="157" t="s">
        <v>1083</v>
      </c>
      <c r="C84" s="169"/>
      <c r="D84" s="160" t="s">
        <v>1042</v>
      </c>
      <c r="E84" s="159">
        <f>SUM(E85,E87,E89,E90)</f>
        <v>828120</v>
      </c>
      <c r="F84" s="159">
        <f>SUM(F85,F87,F89,F90)</f>
        <v>266059.7</v>
      </c>
      <c r="G84" s="116">
        <f t="shared" si="3"/>
        <v>32.128157754914746</v>
      </c>
    </row>
    <row r="85" spans="1:7" s="135" customFormat="1" ht="28.5" customHeight="1">
      <c r="A85" s="150"/>
      <c r="B85" s="151"/>
      <c r="C85" s="148" t="s">
        <v>442</v>
      </c>
      <c r="D85" s="121" t="s">
        <v>443</v>
      </c>
      <c r="E85" s="149">
        <v>658002</v>
      </c>
      <c r="F85" s="149">
        <v>218075.75</v>
      </c>
      <c r="G85" s="122">
        <f t="shared" si="3"/>
        <v>33.1421105103024</v>
      </c>
    </row>
    <row r="86" spans="1:7" s="135" customFormat="1" ht="65.25" customHeight="1">
      <c r="A86" s="150"/>
      <c r="B86" s="151"/>
      <c r="C86" s="148"/>
      <c r="D86" s="121" t="s">
        <v>385</v>
      </c>
      <c r="E86" s="149"/>
      <c r="F86" s="149"/>
      <c r="G86" s="122"/>
    </row>
    <row r="87" spans="1:7" s="135" customFormat="1" ht="29.25" customHeight="1">
      <c r="A87" s="150"/>
      <c r="B87" s="151"/>
      <c r="C87" s="148" t="s">
        <v>444</v>
      </c>
      <c r="D87" s="121" t="s">
        <v>443</v>
      </c>
      <c r="E87" s="149">
        <v>116118</v>
      </c>
      <c r="F87" s="149">
        <v>38483.95</v>
      </c>
      <c r="G87" s="122">
        <f t="shared" si="3"/>
        <v>33.14210544446167</v>
      </c>
    </row>
    <row r="88" spans="1:7" s="135" customFormat="1" ht="77.25" customHeight="1">
      <c r="A88" s="150"/>
      <c r="B88" s="151"/>
      <c r="C88" s="148"/>
      <c r="D88" s="121" t="s">
        <v>114</v>
      </c>
      <c r="E88" s="149"/>
      <c r="F88" s="149"/>
      <c r="G88" s="122"/>
    </row>
    <row r="89" spans="1:7" s="135" customFormat="1" ht="54" customHeight="1">
      <c r="A89" s="118"/>
      <c r="B89" s="132"/>
      <c r="C89" s="132" t="s">
        <v>335</v>
      </c>
      <c r="D89" s="136" t="s">
        <v>1271</v>
      </c>
      <c r="E89" s="149">
        <v>0</v>
      </c>
      <c r="F89" s="149">
        <v>9500</v>
      </c>
      <c r="G89" s="116" t="s">
        <v>1274</v>
      </c>
    </row>
    <row r="90" spans="1:7" s="135" customFormat="1" ht="54" customHeight="1">
      <c r="A90" s="118"/>
      <c r="B90" s="132"/>
      <c r="C90" s="132" t="s">
        <v>1015</v>
      </c>
      <c r="D90" s="136" t="s">
        <v>1271</v>
      </c>
      <c r="E90" s="1384">
        <v>54000</v>
      </c>
      <c r="F90" s="1384">
        <v>0</v>
      </c>
      <c r="G90" s="1385">
        <f>F90/E90*100</f>
        <v>0</v>
      </c>
    </row>
    <row r="91" spans="1:7" s="135" customFormat="1" ht="34.5" customHeight="1">
      <c r="A91" s="118"/>
      <c r="B91" s="132"/>
      <c r="C91" s="132"/>
      <c r="D91" s="136" t="s">
        <v>168</v>
      </c>
      <c r="E91" s="1384"/>
      <c r="F91" s="1384"/>
      <c r="G91" s="1385"/>
    </row>
    <row r="92" spans="1:7" s="127" customFormat="1" ht="42" customHeight="1">
      <c r="A92" s="170" t="s">
        <v>1294</v>
      </c>
      <c r="B92" s="153"/>
      <c r="C92" s="171"/>
      <c r="D92" s="172" t="s">
        <v>1084</v>
      </c>
      <c r="E92" s="142">
        <f>SUM(E93,E95)</f>
        <v>59180</v>
      </c>
      <c r="F92" s="142">
        <f>SUM(F93,F95)</f>
        <v>55730</v>
      </c>
      <c r="G92" s="173">
        <f t="shared" si="3"/>
        <v>94.1703278134505</v>
      </c>
    </row>
    <row r="93" spans="1:7" ht="29.25" customHeight="1">
      <c r="A93" s="156"/>
      <c r="B93" s="157" t="s">
        <v>1240</v>
      </c>
      <c r="C93" s="174"/>
      <c r="D93" s="160" t="s">
        <v>1243</v>
      </c>
      <c r="E93" s="159">
        <f>E94</f>
        <v>6900</v>
      </c>
      <c r="F93" s="159">
        <f>F94</f>
        <v>3450</v>
      </c>
      <c r="G93" s="175">
        <f t="shared" si="3"/>
        <v>50</v>
      </c>
    </row>
    <row r="94" spans="1:7" s="135" customFormat="1" ht="56.25" customHeight="1">
      <c r="A94" s="150"/>
      <c r="B94" s="151"/>
      <c r="C94" s="120">
        <v>2010</v>
      </c>
      <c r="D94" s="121" t="s">
        <v>41</v>
      </c>
      <c r="E94" s="149">
        <v>6900</v>
      </c>
      <c r="F94" s="149">
        <v>3450</v>
      </c>
      <c r="G94" s="176">
        <f t="shared" si="3"/>
        <v>50</v>
      </c>
    </row>
    <row r="95" spans="1:7" s="135" customFormat="1" ht="18.75" customHeight="1">
      <c r="A95" s="156"/>
      <c r="B95" s="157" t="s">
        <v>336</v>
      </c>
      <c r="C95" s="174"/>
      <c r="D95" s="160" t="s">
        <v>357</v>
      </c>
      <c r="E95" s="159">
        <f>E96</f>
        <v>52280</v>
      </c>
      <c r="F95" s="159">
        <f>F96</f>
        <v>52280</v>
      </c>
      <c r="G95" s="175">
        <f t="shared" si="3"/>
        <v>100</v>
      </c>
    </row>
    <row r="96" spans="1:7" s="135" customFormat="1" ht="56.25" customHeight="1">
      <c r="A96" s="150"/>
      <c r="B96" s="151"/>
      <c r="C96" s="120">
        <v>2010</v>
      </c>
      <c r="D96" s="121" t="s">
        <v>41</v>
      </c>
      <c r="E96" s="149">
        <v>52280</v>
      </c>
      <c r="F96" s="149">
        <v>52280</v>
      </c>
      <c r="G96" s="176">
        <f t="shared" si="3"/>
        <v>100</v>
      </c>
    </row>
    <row r="97" spans="1:7" ht="29.25" customHeight="1">
      <c r="A97" s="152" t="s">
        <v>1085</v>
      </c>
      <c r="B97" s="153"/>
      <c r="C97" s="154"/>
      <c r="D97" s="172" t="s">
        <v>1172</v>
      </c>
      <c r="E97" s="142">
        <f>SUM(E98,E100,E102)</f>
        <v>210000</v>
      </c>
      <c r="F97" s="142">
        <f>SUM(F98,F100,F102)</f>
        <v>107999.6</v>
      </c>
      <c r="G97" s="110">
        <f t="shared" si="3"/>
        <v>51.42838095238096</v>
      </c>
    </row>
    <row r="98" spans="1:7" ht="17.25" customHeight="1">
      <c r="A98" s="156"/>
      <c r="B98" s="157" t="s">
        <v>1087</v>
      </c>
      <c r="C98" s="154"/>
      <c r="D98" s="158" t="s">
        <v>1088</v>
      </c>
      <c r="E98" s="159">
        <f>SUM(E99)</f>
        <v>10000</v>
      </c>
      <c r="F98" s="159">
        <f>SUM(F99)</f>
        <v>10000</v>
      </c>
      <c r="G98" s="116">
        <f aca="true" t="shared" si="4" ref="G98:G109">F98/E98*100</f>
        <v>100</v>
      </c>
    </row>
    <row r="99" spans="1:7" s="135" customFormat="1" ht="57.75" customHeight="1">
      <c r="A99" s="150"/>
      <c r="B99" s="151"/>
      <c r="C99" s="120">
        <v>2010</v>
      </c>
      <c r="D99" s="121" t="s">
        <v>41</v>
      </c>
      <c r="E99" s="149">
        <v>10000</v>
      </c>
      <c r="F99" s="149">
        <v>10000</v>
      </c>
      <c r="G99" s="122">
        <f t="shared" si="4"/>
        <v>100</v>
      </c>
    </row>
    <row r="100" spans="1:7" ht="18" customHeight="1">
      <c r="A100" s="156"/>
      <c r="B100" s="157" t="s">
        <v>58</v>
      </c>
      <c r="C100" s="174"/>
      <c r="D100" s="160" t="s">
        <v>59</v>
      </c>
      <c r="E100" s="159">
        <f>E101</f>
        <v>200000</v>
      </c>
      <c r="F100" s="159">
        <f>F101</f>
        <v>97999.6</v>
      </c>
      <c r="G100" s="116">
        <f t="shared" si="4"/>
        <v>48.99980000000001</v>
      </c>
    </row>
    <row r="101" spans="1:7" s="135" customFormat="1" ht="27" customHeight="1">
      <c r="A101" s="150"/>
      <c r="B101" s="151"/>
      <c r="C101" s="148" t="s">
        <v>181</v>
      </c>
      <c r="D101" s="121" t="s">
        <v>950</v>
      </c>
      <c r="E101" s="149">
        <v>200000</v>
      </c>
      <c r="F101" s="149">
        <v>97999.6</v>
      </c>
      <c r="G101" s="122">
        <f t="shared" si="4"/>
        <v>48.99980000000001</v>
      </c>
    </row>
    <row r="102" spans="1:8" s="135" customFormat="1" ht="21" customHeight="1" hidden="1">
      <c r="A102" s="156"/>
      <c r="B102" s="157" t="s">
        <v>532</v>
      </c>
      <c r="C102" s="174"/>
      <c r="D102" s="160" t="s">
        <v>1042</v>
      </c>
      <c r="E102" s="159">
        <f>SUM(E103,E104,E105)</f>
        <v>0</v>
      </c>
      <c r="F102" s="159">
        <f>SUM(F103,F104,F105)</f>
        <v>0</v>
      </c>
      <c r="G102" s="116" t="e">
        <f>F102/E102*100</f>
        <v>#DIV/0!</v>
      </c>
      <c r="H102" s="131"/>
    </row>
    <row r="103" spans="1:7" s="135" customFormat="1" ht="22.5" customHeight="1" hidden="1">
      <c r="A103" s="150"/>
      <c r="B103" s="151"/>
      <c r="C103" s="148" t="s">
        <v>180</v>
      </c>
      <c r="D103" s="121" t="s">
        <v>1228</v>
      </c>
      <c r="E103" s="149">
        <v>0</v>
      </c>
      <c r="F103" s="149">
        <v>0</v>
      </c>
      <c r="G103" s="122" t="e">
        <f>F103/E103*100</f>
        <v>#DIV/0!</v>
      </c>
    </row>
    <row r="104" spans="1:7" s="135" customFormat="1" ht="51.75" customHeight="1" hidden="1">
      <c r="A104" s="150"/>
      <c r="B104" s="151"/>
      <c r="C104" s="148" t="s">
        <v>334</v>
      </c>
      <c r="D104" s="121" t="s">
        <v>1195</v>
      </c>
      <c r="E104" s="149">
        <v>0</v>
      </c>
      <c r="F104" s="149">
        <v>0</v>
      </c>
      <c r="G104" s="122" t="e">
        <f>F104/E104*100</f>
        <v>#DIV/0!</v>
      </c>
    </row>
    <row r="105" spans="1:7" s="135" customFormat="1" ht="54" customHeight="1" hidden="1">
      <c r="A105" s="150"/>
      <c r="B105" s="151"/>
      <c r="C105" s="148" t="s">
        <v>335</v>
      </c>
      <c r="D105" s="121" t="s">
        <v>1196</v>
      </c>
      <c r="E105" s="149">
        <v>0</v>
      </c>
      <c r="F105" s="149">
        <v>0</v>
      </c>
      <c r="G105" s="122" t="e">
        <f>F105/E105*100</f>
        <v>#DIV/0!</v>
      </c>
    </row>
    <row r="106" spans="1:7" s="127" customFormat="1" ht="69" customHeight="1">
      <c r="A106" s="170" t="s">
        <v>23</v>
      </c>
      <c r="B106" s="153"/>
      <c r="C106" s="153"/>
      <c r="D106" s="172" t="s">
        <v>483</v>
      </c>
      <c r="E106" s="142">
        <f>SUM(E107,E110,E118,E130,E139)</f>
        <v>55781987</v>
      </c>
      <c r="F106" s="142">
        <f>SUM(F107,F110,F118,F130,F139)</f>
        <v>25503580.69</v>
      </c>
      <c r="G106" s="110">
        <f t="shared" si="4"/>
        <v>45.72010080960365</v>
      </c>
    </row>
    <row r="107" spans="1:7" ht="19.5" customHeight="1">
      <c r="A107" s="156"/>
      <c r="B107" s="157" t="s">
        <v>1244</v>
      </c>
      <c r="C107" s="157"/>
      <c r="D107" s="158" t="s">
        <v>1245</v>
      </c>
      <c r="E107" s="159">
        <f>E108+E109</f>
        <v>345500</v>
      </c>
      <c r="F107" s="159">
        <f>F108+F109</f>
        <v>99553.09999999999</v>
      </c>
      <c r="G107" s="116">
        <f t="shared" si="4"/>
        <v>28.81421128798842</v>
      </c>
    </row>
    <row r="108" spans="1:7" s="135" customFormat="1" ht="29.25" customHeight="1">
      <c r="A108" s="150"/>
      <c r="B108" s="151"/>
      <c r="C108" s="151" t="s">
        <v>191</v>
      </c>
      <c r="D108" s="121" t="s">
        <v>147</v>
      </c>
      <c r="E108" s="149">
        <v>340000</v>
      </c>
      <c r="F108" s="134">
        <v>96805.17</v>
      </c>
      <c r="G108" s="122">
        <f t="shared" si="4"/>
        <v>28.472108823529414</v>
      </c>
    </row>
    <row r="109" spans="1:7" s="135" customFormat="1" ht="29.25" customHeight="1">
      <c r="A109" s="150"/>
      <c r="B109" s="151"/>
      <c r="C109" s="148" t="s">
        <v>192</v>
      </c>
      <c r="D109" s="121" t="s">
        <v>138</v>
      </c>
      <c r="E109" s="149">
        <v>5500</v>
      </c>
      <c r="F109" s="134">
        <v>2747.93</v>
      </c>
      <c r="G109" s="122">
        <f t="shared" si="4"/>
        <v>49.962363636363634</v>
      </c>
    </row>
    <row r="110" spans="1:7" ht="57.75" customHeight="1">
      <c r="A110" s="156"/>
      <c r="B110" s="169" t="s">
        <v>71</v>
      </c>
      <c r="C110" s="157"/>
      <c r="D110" s="160" t="s">
        <v>480</v>
      </c>
      <c r="E110" s="159">
        <f>SUM(E111,E112,E113,E114,E115,E116,E117)</f>
        <v>18036000</v>
      </c>
      <c r="F110" s="159">
        <f>SUM(F111,F112,F113,F114,F115,F116,F117)</f>
        <v>8820947.030000001</v>
      </c>
      <c r="G110" s="116">
        <f>F110/E110*100</f>
        <v>48.907446385007766</v>
      </c>
    </row>
    <row r="111" spans="1:7" s="135" customFormat="1" ht="19.5" customHeight="1">
      <c r="A111" s="150"/>
      <c r="B111" s="151"/>
      <c r="C111" s="151" t="s">
        <v>193</v>
      </c>
      <c r="D111" s="161" t="s">
        <v>1246</v>
      </c>
      <c r="E111" s="149">
        <v>17550000</v>
      </c>
      <c r="F111" s="149">
        <v>8640531.13</v>
      </c>
      <c r="G111" s="122">
        <f aca="true" t="shared" si="5" ref="G111:G218">F111/E111*100</f>
        <v>49.233795612535616</v>
      </c>
    </row>
    <row r="112" spans="1:7" s="135" customFormat="1" ht="19.5" customHeight="1">
      <c r="A112" s="150"/>
      <c r="B112" s="151"/>
      <c r="C112" s="151" t="s">
        <v>194</v>
      </c>
      <c r="D112" s="161" t="s">
        <v>1247</v>
      </c>
      <c r="E112" s="149">
        <v>6000</v>
      </c>
      <c r="F112" s="149">
        <v>3901.4</v>
      </c>
      <c r="G112" s="122">
        <f t="shared" si="5"/>
        <v>65.02333333333333</v>
      </c>
    </row>
    <row r="113" spans="1:7" s="135" customFormat="1" ht="19.5" customHeight="1">
      <c r="A113" s="150"/>
      <c r="B113" s="151"/>
      <c r="C113" s="151" t="s">
        <v>195</v>
      </c>
      <c r="D113" s="161" t="s">
        <v>1248</v>
      </c>
      <c r="E113" s="149">
        <v>58000</v>
      </c>
      <c r="F113" s="149">
        <v>31244</v>
      </c>
      <c r="G113" s="122">
        <f t="shared" si="5"/>
        <v>53.86896551724137</v>
      </c>
    </row>
    <row r="114" spans="1:7" s="135" customFormat="1" ht="19.5" customHeight="1">
      <c r="A114" s="150"/>
      <c r="B114" s="151"/>
      <c r="C114" s="151" t="s">
        <v>196</v>
      </c>
      <c r="D114" s="161" t="s">
        <v>1249</v>
      </c>
      <c r="E114" s="149">
        <v>142000</v>
      </c>
      <c r="F114" s="149">
        <v>85915.1</v>
      </c>
      <c r="G114" s="122">
        <f t="shared" si="5"/>
        <v>60.50359154929578</v>
      </c>
    </row>
    <row r="115" spans="1:7" s="135" customFormat="1" ht="19.5" customHeight="1">
      <c r="A115" s="150"/>
      <c r="B115" s="151"/>
      <c r="C115" s="151" t="s">
        <v>197</v>
      </c>
      <c r="D115" s="161" t="s">
        <v>1250</v>
      </c>
      <c r="E115" s="149">
        <v>180000</v>
      </c>
      <c r="F115" s="149">
        <v>23514.85</v>
      </c>
      <c r="G115" s="122">
        <f t="shared" si="5"/>
        <v>13.063805555555556</v>
      </c>
    </row>
    <row r="116" spans="1:7" s="135" customFormat="1" ht="28.5" customHeight="1">
      <c r="A116" s="150"/>
      <c r="B116" s="151"/>
      <c r="C116" s="151" t="s">
        <v>192</v>
      </c>
      <c r="D116" s="121" t="s">
        <v>138</v>
      </c>
      <c r="E116" s="149">
        <v>100000</v>
      </c>
      <c r="F116" s="149">
        <v>35840.55</v>
      </c>
      <c r="G116" s="122">
        <f t="shared" si="5"/>
        <v>35.84055000000001</v>
      </c>
    </row>
    <row r="117" spans="1:7" s="135" customFormat="1" ht="28.5" customHeight="1" hidden="1">
      <c r="A117" s="150"/>
      <c r="B117" s="151"/>
      <c r="C117" s="151" t="s">
        <v>619</v>
      </c>
      <c r="D117" s="121" t="s">
        <v>620</v>
      </c>
      <c r="E117" s="149">
        <v>0</v>
      </c>
      <c r="F117" s="149">
        <v>0</v>
      </c>
      <c r="G117" s="122" t="e">
        <f t="shared" si="5"/>
        <v>#DIV/0!</v>
      </c>
    </row>
    <row r="118" spans="1:7" ht="56.25" customHeight="1">
      <c r="A118" s="156"/>
      <c r="B118" s="157" t="s">
        <v>169</v>
      </c>
      <c r="C118" s="157"/>
      <c r="D118" s="160" t="s">
        <v>170</v>
      </c>
      <c r="E118" s="159">
        <f>SUM(E119,E120,E121,E122,E123,E127,E124,E125,E126,E128,E129)</f>
        <v>10233800</v>
      </c>
      <c r="F118" s="159">
        <f>SUM(F119,F120,F121,F122,F123,F127,F124,F125,F126,F128,F129)</f>
        <v>5100685.54</v>
      </c>
      <c r="G118" s="116">
        <f t="shared" si="5"/>
        <v>49.84155973343235</v>
      </c>
    </row>
    <row r="119" spans="1:7" s="135" customFormat="1" ht="21" customHeight="1">
      <c r="A119" s="150"/>
      <c r="B119" s="151"/>
      <c r="C119" s="151" t="s">
        <v>193</v>
      </c>
      <c r="D119" s="161" t="s">
        <v>1246</v>
      </c>
      <c r="E119" s="149">
        <v>3650000</v>
      </c>
      <c r="F119" s="149">
        <v>2384472.05</v>
      </c>
      <c r="G119" s="122">
        <f t="shared" si="5"/>
        <v>65.328001369863</v>
      </c>
    </row>
    <row r="120" spans="1:7" s="135" customFormat="1" ht="21" customHeight="1">
      <c r="A120" s="150"/>
      <c r="B120" s="151"/>
      <c r="C120" s="151" t="s">
        <v>194</v>
      </c>
      <c r="D120" s="161" t="s">
        <v>1247</v>
      </c>
      <c r="E120" s="149">
        <v>41200</v>
      </c>
      <c r="F120" s="149">
        <v>43458.99</v>
      </c>
      <c r="G120" s="122">
        <f t="shared" si="5"/>
        <v>105.4829854368932</v>
      </c>
    </row>
    <row r="121" spans="1:7" s="135" customFormat="1" ht="21" customHeight="1">
      <c r="A121" s="150"/>
      <c r="B121" s="151"/>
      <c r="C121" s="151" t="s">
        <v>195</v>
      </c>
      <c r="D121" s="161" t="s">
        <v>1248</v>
      </c>
      <c r="E121" s="149">
        <v>600</v>
      </c>
      <c r="F121" s="149">
        <v>372.12</v>
      </c>
      <c r="G121" s="122">
        <f t="shared" si="5"/>
        <v>62.019999999999996</v>
      </c>
    </row>
    <row r="122" spans="1:7" s="135" customFormat="1" ht="21" customHeight="1">
      <c r="A122" s="150"/>
      <c r="B122" s="151"/>
      <c r="C122" s="151" t="s">
        <v>196</v>
      </c>
      <c r="D122" s="161" t="s">
        <v>1249</v>
      </c>
      <c r="E122" s="149">
        <v>97000</v>
      </c>
      <c r="F122" s="149">
        <v>69892.27</v>
      </c>
      <c r="G122" s="122">
        <f t="shared" si="5"/>
        <v>72.05388659793815</v>
      </c>
    </row>
    <row r="123" spans="1:7" s="135" customFormat="1" ht="21" customHeight="1">
      <c r="A123" s="150"/>
      <c r="B123" s="151"/>
      <c r="C123" s="151" t="s">
        <v>198</v>
      </c>
      <c r="D123" s="161" t="s">
        <v>1251</v>
      </c>
      <c r="E123" s="149">
        <v>280000</v>
      </c>
      <c r="F123" s="134">
        <v>150024.9</v>
      </c>
      <c r="G123" s="122">
        <f t="shared" si="5"/>
        <v>53.58032142857143</v>
      </c>
    </row>
    <row r="124" spans="1:7" s="135" customFormat="1" ht="28.5" customHeight="1">
      <c r="A124" s="150"/>
      <c r="B124" s="151"/>
      <c r="C124" s="151" t="s">
        <v>968</v>
      </c>
      <c r="D124" s="121" t="s">
        <v>145</v>
      </c>
      <c r="E124" s="149">
        <v>3400000</v>
      </c>
      <c r="F124" s="149">
        <v>1039466.84</v>
      </c>
      <c r="G124" s="122">
        <f t="shared" si="5"/>
        <v>30.572554117647062</v>
      </c>
    </row>
    <row r="125" spans="1:7" s="135" customFormat="1" ht="21" customHeight="1">
      <c r="A125" s="150"/>
      <c r="B125" s="151"/>
      <c r="C125" s="151" t="s">
        <v>246</v>
      </c>
      <c r="D125" s="161" t="s">
        <v>1252</v>
      </c>
      <c r="E125" s="149">
        <v>500000</v>
      </c>
      <c r="F125" s="149">
        <v>245078</v>
      </c>
      <c r="G125" s="122">
        <f t="shared" si="5"/>
        <v>49.0156</v>
      </c>
    </row>
    <row r="126" spans="1:7" s="135" customFormat="1" ht="21" customHeight="1">
      <c r="A126" s="150"/>
      <c r="B126" s="151"/>
      <c r="C126" s="151" t="s">
        <v>197</v>
      </c>
      <c r="D126" s="161" t="s">
        <v>1250</v>
      </c>
      <c r="E126" s="149">
        <v>2200000</v>
      </c>
      <c r="F126" s="134">
        <v>1097829.61</v>
      </c>
      <c r="G126" s="122">
        <f t="shared" si="5"/>
        <v>49.901345909090914</v>
      </c>
    </row>
    <row r="127" spans="1:8" s="135" customFormat="1" ht="21" customHeight="1">
      <c r="A127" s="150"/>
      <c r="B127" s="151"/>
      <c r="C127" s="180" t="s">
        <v>826</v>
      </c>
      <c r="D127" s="181" t="s">
        <v>827</v>
      </c>
      <c r="E127" s="149">
        <v>0</v>
      </c>
      <c r="F127" s="149">
        <v>11435.65</v>
      </c>
      <c r="G127" s="122" t="s">
        <v>1274</v>
      </c>
      <c r="H127" s="182"/>
    </row>
    <row r="128" spans="1:7" s="135" customFormat="1" ht="27.75" customHeight="1" hidden="1">
      <c r="A128" s="150"/>
      <c r="B128" s="151"/>
      <c r="C128" s="151" t="s">
        <v>1223</v>
      </c>
      <c r="D128" s="121" t="s">
        <v>762</v>
      </c>
      <c r="E128" s="149">
        <v>0</v>
      </c>
      <c r="F128" s="134"/>
      <c r="G128" s="122" t="s">
        <v>1274</v>
      </c>
    </row>
    <row r="129" spans="1:7" s="135" customFormat="1" ht="28.5" customHeight="1">
      <c r="A129" s="150"/>
      <c r="B129" s="151"/>
      <c r="C129" s="151" t="s">
        <v>192</v>
      </c>
      <c r="D129" s="121" t="s">
        <v>138</v>
      </c>
      <c r="E129" s="149">
        <v>65000</v>
      </c>
      <c r="F129" s="149">
        <v>58655.11</v>
      </c>
      <c r="G129" s="122">
        <f t="shared" si="5"/>
        <v>90.23863076923077</v>
      </c>
    </row>
    <row r="130" spans="1:7" ht="41.25" customHeight="1">
      <c r="A130" s="156"/>
      <c r="B130" s="157" t="s">
        <v>1253</v>
      </c>
      <c r="C130" s="157"/>
      <c r="D130" s="160" t="s">
        <v>50</v>
      </c>
      <c r="E130" s="159">
        <f>SUM(E131,E132,E133,E134,E135,E136,E137,E138)</f>
        <v>1694000</v>
      </c>
      <c r="F130" s="159">
        <f>SUM(F131,F132,F133,F134,F135,F136,F137,F138)</f>
        <v>1320407.88</v>
      </c>
      <c r="G130" s="116">
        <f t="shared" si="5"/>
        <v>77.94615584415584</v>
      </c>
    </row>
    <row r="131" spans="1:7" s="135" customFormat="1" ht="19.5" customHeight="1">
      <c r="A131" s="150"/>
      <c r="B131" s="151"/>
      <c r="C131" s="151" t="s">
        <v>247</v>
      </c>
      <c r="D131" s="161" t="s">
        <v>1263</v>
      </c>
      <c r="E131" s="149">
        <v>500000</v>
      </c>
      <c r="F131" s="149">
        <v>236967.18</v>
      </c>
      <c r="G131" s="122">
        <f t="shared" si="5"/>
        <v>47.393436</v>
      </c>
    </row>
    <row r="132" spans="1:7" s="135" customFormat="1" ht="19.5" customHeight="1">
      <c r="A132" s="150"/>
      <c r="B132" s="151"/>
      <c r="C132" s="151" t="s">
        <v>249</v>
      </c>
      <c r="D132" s="161" t="s">
        <v>48</v>
      </c>
      <c r="E132" s="149">
        <v>5000</v>
      </c>
      <c r="F132" s="149">
        <v>3329.35</v>
      </c>
      <c r="G132" s="122">
        <f>F132/E132*100</f>
        <v>66.58699999999999</v>
      </c>
    </row>
    <row r="133" spans="1:7" s="135" customFormat="1" ht="27" customHeight="1">
      <c r="A133" s="150"/>
      <c r="B133" s="151"/>
      <c r="C133" s="151" t="s">
        <v>250</v>
      </c>
      <c r="D133" s="121" t="s">
        <v>1272</v>
      </c>
      <c r="E133" s="149">
        <v>1100000</v>
      </c>
      <c r="F133" s="149">
        <v>1041823.06</v>
      </c>
      <c r="G133" s="122">
        <f>F133/E133*100</f>
        <v>94.71118727272729</v>
      </c>
    </row>
    <row r="134" spans="1:7" s="135" customFormat="1" ht="41.25" customHeight="1">
      <c r="A134" s="150"/>
      <c r="B134" s="151"/>
      <c r="C134" s="151" t="s">
        <v>188</v>
      </c>
      <c r="D134" s="121" t="s">
        <v>79</v>
      </c>
      <c r="E134" s="149">
        <v>74000</v>
      </c>
      <c r="F134" s="149">
        <v>30524.93</v>
      </c>
      <c r="G134" s="122">
        <f>F134/E134*100</f>
        <v>41.24990540540541</v>
      </c>
    </row>
    <row r="135" spans="1:7" s="135" customFormat="1" ht="19.5" customHeight="1">
      <c r="A135" s="150"/>
      <c r="B135" s="151"/>
      <c r="C135" s="148" t="s">
        <v>251</v>
      </c>
      <c r="D135" s="121" t="s">
        <v>43</v>
      </c>
      <c r="E135" s="149">
        <v>15000</v>
      </c>
      <c r="F135" s="149">
        <v>6810.2</v>
      </c>
      <c r="G135" s="122">
        <f>F135/E135*100</f>
        <v>45.40133333333333</v>
      </c>
    </row>
    <row r="136" spans="1:7" s="135" customFormat="1" ht="19.5" customHeight="1">
      <c r="A136" s="165"/>
      <c r="B136" s="166"/>
      <c r="C136" s="166" t="s">
        <v>182</v>
      </c>
      <c r="D136" s="167" t="s">
        <v>1225</v>
      </c>
      <c r="E136" s="168">
        <v>0</v>
      </c>
      <c r="F136" s="149">
        <v>321</v>
      </c>
      <c r="G136" s="17" t="s">
        <v>1274</v>
      </c>
    </row>
    <row r="137" spans="1:7" s="135" customFormat="1" ht="27.75" customHeight="1" hidden="1">
      <c r="A137" s="150"/>
      <c r="B137" s="151"/>
      <c r="C137" s="148" t="s">
        <v>192</v>
      </c>
      <c r="D137" s="121" t="s">
        <v>138</v>
      </c>
      <c r="E137" s="149">
        <v>0</v>
      </c>
      <c r="F137" s="149"/>
      <c r="G137" s="116" t="s">
        <v>1274</v>
      </c>
    </row>
    <row r="138" spans="1:7" s="185" customFormat="1" ht="19.5" customHeight="1">
      <c r="A138" s="165"/>
      <c r="B138" s="166"/>
      <c r="C138" s="183" t="s">
        <v>179</v>
      </c>
      <c r="D138" s="184" t="s">
        <v>1229</v>
      </c>
      <c r="E138" s="168">
        <v>0</v>
      </c>
      <c r="F138" s="168">
        <v>632.16</v>
      </c>
      <c r="G138" s="139" t="s">
        <v>1274</v>
      </c>
    </row>
    <row r="139" spans="1:7" ht="30" customHeight="1">
      <c r="A139" s="156"/>
      <c r="B139" s="157" t="s">
        <v>1264</v>
      </c>
      <c r="C139" s="157"/>
      <c r="D139" s="160" t="s">
        <v>1265</v>
      </c>
      <c r="E139" s="159">
        <f>E140+E141</f>
        <v>25472687</v>
      </c>
      <c r="F139" s="159">
        <f>F140+F141</f>
        <v>10161987.14</v>
      </c>
      <c r="G139" s="116">
        <f t="shared" si="5"/>
        <v>39.893659981767925</v>
      </c>
    </row>
    <row r="140" spans="1:7" s="135" customFormat="1" ht="19.5" customHeight="1">
      <c r="A140" s="150"/>
      <c r="B140" s="151"/>
      <c r="C140" s="151" t="s">
        <v>252</v>
      </c>
      <c r="D140" s="161" t="s">
        <v>1270</v>
      </c>
      <c r="E140" s="149">
        <v>24172687</v>
      </c>
      <c r="F140" s="134">
        <v>9753140</v>
      </c>
      <c r="G140" s="122">
        <f t="shared" si="5"/>
        <v>40.34776936465524</v>
      </c>
    </row>
    <row r="141" spans="1:7" s="135" customFormat="1" ht="19.5" customHeight="1">
      <c r="A141" s="150"/>
      <c r="B141" s="151"/>
      <c r="C141" s="151" t="s">
        <v>253</v>
      </c>
      <c r="D141" s="161" t="s">
        <v>1275</v>
      </c>
      <c r="E141" s="149">
        <v>1300000</v>
      </c>
      <c r="F141" s="134">
        <v>408847.14</v>
      </c>
      <c r="G141" s="122">
        <f t="shared" si="5"/>
        <v>31.44978</v>
      </c>
    </row>
    <row r="142" spans="1:7" s="127" customFormat="1" ht="19.5" customHeight="1">
      <c r="A142" s="152" t="s">
        <v>1090</v>
      </c>
      <c r="B142" s="153"/>
      <c r="C142" s="153"/>
      <c r="D142" s="155" t="s">
        <v>1091</v>
      </c>
      <c r="E142" s="142">
        <f>SUM(E143,E145)</f>
        <v>21447725</v>
      </c>
      <c r="F142" s="142">
        <f>SUM(F143,F145)</f>
        <v>14692321.280000001</v>
      </c>
      <c r="G142" s="110">
        <f t="shared" si="5"/>
        <v>68.50293576591457</v>
      </c>
    </row>
    <row r="143" spans="1:7" ht="30.75" customHeight="1">
      <c r="A143" s="156"/>
      <c r="B143" s="157" t="s">
        <v>1277</v>
      </c>
      <c r="C143" s="157"/>
      <c r="D143" s="160" t="s">
        <v>1279</v>
      </c>
      <c r="E143" s="159">
        <f>E144</f>
        <v>14336887</v>
      </c>
      <c r="F143" s="159">
        <f>F144</f>
        <v>8852396</v>
      </c>
      <c r="G143" s="116">
        <f t="shared" si="5"/>
        <v>61.745593726169425</v>
      </c>
    </row>
    <row r="144" spans="1:7" s="127" customFormat="1" ht="19.5" customHeight="1">
      <c r="A144" s="152"/>
      <c r="B144" s="153"/>
      <c r="C144" s="151" t="s">
        <v>254</v>
      </c>
      <c r="D144" s="121" t="s">
        <v>45</v>
      </c>
      <c r="E144" s="149">
        <v>14336887</v>
      </c>
      <c r="F144" s="149">
        <v>8852396</v>
      </c>
      <c r="G144" s="122">
        <f t="shared" si="5"/>
        <v>61.745593726169425</v>
      </c>
    </row>
    <row r="145" spans="1:7" ht="19.5" customHeight="1">
      <c r="A145" s="156"/>
      <c r="B145" s="157" t="s">
        <v>1282</v>
      </c>
      <c r="C145" s="157"/>
      <c r="D145" s="158" t="s">
        <v>1283</v>
      </c>
      <c r="E145" s="159">
        <f>SUM(E147,E148,E149,E150,E151)</f>
        <v>7110838</v>
      </c>
      <c r="F145" s="159">
        <f>SUM(F147,F148,F149,F150,F151)</f>
        <v>5839925.28</v>
      </c>
      <c r="G145" s="116">
        <f t="shared" si="5"/>
        <v>82.12710344406665</v>
      </c>
    </row>
    <row r="146" spans="1:7" s="135" customFormat="1" ht="30" customHeight="1" hidden="1">
      <c r="A146" s="150"/>
      <c r="B146" s="151"/>
      <c r="C146" s="151" t="s">
        <v>949</v>
      </c>
      <c r="D146" s="121" t="s">
        <v>948</v>
      </c>
      <c r="E146" s="149">
        <v>0</v>
      </c>
      <c r="F146" s="149">
        <v>0</v>
      </c>
      <c r="G146" s="116" t="e">
        <f t="shared" si="5"/>
        <v>#DIV/0!</v>
      </c>
    </row>
    <row r="147" spans="1:7" s="135" customFormat="1" ht="18.75" customHeight="1">
      <c r="A147" s="150"/>
      <c r="B147" s="151"/>
      <c r="C147" s="151" t="s">
        <v>182</v>
      </c>
      <c r="D147" s="121" t="s">
        <v>1225</v>
      </c>
      <c r="E147" s="149">
        <v>0</v>
      </c>
      <c r="F147" s="149">
        <v>48</v>
      </c>
      <c r="G147" s="122" t="s">
        <v>1274</v>
      </c>
    </row>
    <row r="148" spans="1:7" s="135" customFormat="1" ht="18.75" customHeight="1" hidden="1">
      <c r="A148" s="150"/>
      <c r="B148" s="151"/>
      <c r="C148" s="151" t="s">
        <v>153</v>
      </c>
      <c r="D148" s="136" t="s">
        <v>152</v>
      </c>
      <c r="E148" s="149">
        <v>0</v>
      </c>
      <c r="F148" s="149">
        <v>0</v>
      </c>
      <c r="G148" s="122" t="s">
        <v>1274</v>
      </c>
    </row>
    <row r="149" spans="1:7" s="135" customFormat="1" ht="18.75" customHeight="1">
      <c r="A149" s="150"/>
      <c r="B149" s="151"/>
      <c r="C149" s="151" t="s">
        <v>179</v>
      </c>
      <c r="D149" s="161" t="s">
        <v>1284</v>
      </c>
      <c r="E149" s="149">
        <v>600000</v>
      </c>
      <c r="F149" s="149">
        <v>84663.12</v>
      </c>
      <c r="G149" s="122">
        <f t="shared" si="5"/>
        <v>14.11052</v>
      </c>
    </row>
    <row r="150" spans="1:7" s="135" customFormat="1" ht="21" customHeight="1">
      <c r="A150" s="150"/>
      <c r="B150" s="151"/>
      <c r="C150" s="148" t="s">
        <v>180</v>
      </c>
      <c r="D150" s="121" t="s">
        <v>1228</v>
      </c>
      <c r="E150" s="149">
        <v>4640000</v>
      </c>
      <c r="F150" s="149">
        <v>5755214.16</v>
      </c>
      <c r="G150" s="122">
        <f t="shared" si="5"/>
        <v>124.03478793103449</v>
      </c>
    </row>
    <row r="151" spans="1:7" s="135" customFormat="1" ht="44.25" customHeight="1">
      <c r="A151" s="150"/>
      <c r="B151" s="151"/>
      <c r="C151" s="148" t="s">
        <v>258</v>
      </c>
      <c r="D151" s="121" t="s">
        <v>47</v>
      </c>
      <c r="E151" s="149">
        <v>1870838</v>
      </c>
      <c r="F151" s="149">
        <v>0</v>
      </c>
      <c r="G151" s="122">
        <f t="shared" si="5"/>
        <v>0</v>
      </c>
    </row>
    <row r="152" spans="1:7" s="127" customFormat="1" ht="18.75" customHeight="1">
      <c r="A152" s="152" t="s">
        <v>1092</v>
      </c>
      <c r="B152" s="153"/>
      <c r="C152" s="153"/>
      <c r="D152" s="155" t="s">
        <v>1093</v>
      </c>
      <c r="E152" s="142">
        <f>SUM(E158,E162,E165)</f>
        <v>296</v>
      </c>
      <c r="F152" s="142">
        <f>SUM(F158,F162,F165)</f>
        <v>5369.08</v>
      </c>
      <c r="G152" s="110">
        <f aca="true" t="shared" si="6" ref="G152:G157">F152/E152*100</f>
        <v>1813.8783783783783</v>
      </c>
    </row>
    <row r="153" spans="1:7" ht="18.75" customHeight="1" hidden="1">
      <c r="A153" s="156"/>
      <c r="B153" s="157" t="s">
        <v>1094</v>
      </c>
      <c r="C153" s="157"/>
      <c r="D153" s="158" t="s">
        <v>1095</v>
      </c>
      <c r="E153" s="159">
        <f>SUM(E154)</f>
        <v>0</v>
      </c>
      <c r="F153" s="159">
        <f>SUM(F154)</f>
        <v>0</v>
      </c>
      <c r="G153" s="116" t="e">
        <f t="shared" si="6"/>
        <v>#DIV/0!</v>
      </c>
    </row>
    <row r="154" spans="1:7" s="135" customFormat="1" ht="47.25" customHeight="1" hidden="1">
      <c r="A154" s="150"/>
      <c r="B154" s="151"/>
      <c r="C154" s="148" t="s">
        <v>258</v>
      </c>
      <c r="D154" s="121" t="s">
        <v>47</v>
      </c>
      <c r="E154" s="149">
        <v>0</v>
      </c>
      <c r="F154" s="149">
        <v>0</v>
      </c>
      <c r="G154" s="176" t="e">
        <f t="shared" si="6"/>
        <v>#DIV/0!</v>
      </c>
    </row>
    <row r="155" spans="1:7" ht="20.25" customHeight="1" hidden="1">
      <c r="A155" s="156"/>
      <c r="B155" s="157" t="s">
        <v>555</v>
      </c>
      <c r="C155" s="169"/>
      <c r="D155" s="160" t="s">
        <v>556</v>
      </c>
      <c r="E155" s="159">
        <f>SUM(E156,E157)</f>
        <v>0</v>
      </c>
      <c r="F155" s="159">
        <f>SUM(F156,F157)</f>
        <v>0</v>
      </c>
      <c r="G155" s="175" t="e">
        <f t="shared" si="6"/>
        <v>#DIV/0!</v>
      </c>
    </row>
    <row r="156" spans="1:7" s="135" customFormat="1" ht="29.25" customHeight="1" hidden="1">
      <c r="A156" s="150"/>
      <c r="B156" s="151"/>
      <c r="C156" s="148" t="s">
        <v>181</v>
      </c>
      <c r="D156" s="121" t="s">
        <v>950</v>
      </c>
      <c r="E156" s="149">
        <v>0</v>
      </c>
      <c r="F156" s="149">
        <v>0</v>
      </c>
      <c r="G156" s="176" t="e">
        <f t="shared" si="6"/>
        <v>#DIV/0!</v>
      </c>
    </row>
    <row r="157" spans="1:7" s="135" customFormat="1" ht="39.75" customHeight="1" hidden="1">
      <c r="A157" s="150"/>
      <c r="B157" s="151"/>
      <c r="C157" s="148" t="s">
        <v>95</v>
      </c>
      <c r="D157" s="121" t="s">
        <v>96</v>
      </c>
      <c r="E157" s="149">
        <v>0</v>
      </c>
      <c r="F157" s="149">
        <v>0</v>
      </c>
      <c r="G157" s="176" t="e">
        <f t="shared" si="6"/>
        <v>#DIV/0!</v>
      </c>
    </row>
    <row r="158" spans="1:7" s="135" customFormat="1" ht="16.5" customHeight="1">
      <c r="A158" s="156"/>
      <c r="B158" s="157" t="s">
        <v>1096</v>
      </c>
      <c r="C158" s="169"/>
      <c r="D158" s="160" t="s">
        <v>1097</v>
      </c>
      <c r="E158" s="159">
        <f>SUM(E159,E160,E161)</f>
        <v>0</v>
      </c>
      <c r="F158" s="159">
        <f>SUM(F159,F160,F161)</f>
        <v>385.08</v>
      </c>
      <c r="G158" s="175" t="s">
        <v>1274</v>
      </c>
    </row>
    <row r="159" spans="1:7" s="135" customFormat="1" ht="18.75" customHeight="1">
      <c r="A159" s="150"/>
      <c r="B159" s="151"/>
      <c r="C159" s="151" t="s">
        <v>182</v>
      </c>
      <c r="D159" s="121" t="s">
        <v>1225</v>
      </c>
      <c r="E159" s="149">
        <v>0</v>
      </c>
      <c r="F159" s="149">
        <v>313</v>
      </c>
      <c r="G159" s="122" t="s">
        <v>1274</v>
      </c>
    </row>
    <row r="160" spans="1:7" s="135" customFormat="1" ht="16.5" customHeight="1">
      <c r="A160" s="150"/>
      <c r="B160" s="151"/>
      <c r="C160" s="148" t="s">
        <v>180</v>
      </c>
      <c r="D160" s="121" t="s">
        <v>1228</v>
      </c>
      <c r="E160" s="149">
        <v>0</v>
      </c>
      <c r="F160" s="149">
        <v>72.08</v>
      </c>
      <c r="G160" s="176" t="s">
        <v>1274</v>
      </c>
    </row>
    <row r="161" spans="1:7" s="135" customFormat="1" ht="82.5" customHeight="1" hidden="1">
      <c r="A161" s="150"/>
      <c r="B161" s="151"/>
      <c r="C161" s="151" t="s">
        <v>1015</v>
      </c>
      <c r="D161" s="121" t="s">
        <v>1034</v>
      </c>
      <c r="E161" s="149">
        <v>0</v>
      </c>
      <c r="F161" s="149">
        <v>0</v>
      </c>
      <c r="G161" s="176" t="s">
        <v>1274</v>
      </c>
    </row>
    <row r="162" spans="1:7" s="135" customFormat="1" ht="16.5" customHeight="1">
      <c r="A162" s="156"/>
      <c r="B162" s="157" t="s">
        <v>1098</v>
      </c>
      <c r="C162" s="169"/>
      <c r="D162" s="160" t="s">
        <v>123</v>
      </c>
      <c r="E162" s="159">
        <f>SUM(E163,E164)</f>
        <v>0</v>
      </c>
      <c r="F162" s="159">
        <f>SUM(F163,F164)</f>
        <v>4984</v>
      </c>
      <c r="G162" s="175" t="s">
        <v>1274</v>
      </c>
    </row>
    <row r="163" spans="1:7" s="135" customFormat="1" ht="18.75" customHeight="1">
      <c r="A163" s="150"/>
      <c r="B163" s="151"/>
      <c r="C163" s="151" t="s">
        <v>182</v>
      </c>
      <c r="D163" s="121" t="s">
        <v>1225</v>
      </c>
      <c r="E163" s="149">
        <v>0</v>
      </c>
      <c r="F163" s="149">
        <v>384</v>
      </c>
      <c r="G163" s="175" t="s">
        <v>1274</v>
      </c>
    </row>
    <row r="164" spans="1:7" s="135" customFormat="1" ht="16.5" customHeight="1">
      <c r="A164" s="150"/>
      <c r="B164" s="151"/>
      <c r="C164" s="148" t="s">
        <v>180</v>
      </c>
      <c r="D164" s="121" t="s">
        <v>1228</v>
      </c>
      <c r="E164" s="149">
        <v>0</v>
      </c>
      <c r="F164" s="149">
        <v>4600</v>
      </c>
      <c r="G164" s="176" t="s">
        <v>1274</v>
      </c>
    </row>
    <row r="165" spans="1:7" s="135" customFormat="1" ht="17.25" customHeight="1">
      <c r="A165" s="156"/>
      <c r="B165" s="157" t="s">
        <v>585</v>
      </c>
      <c r="C165" s="169"/>
      <c r="D165" s="160" t="s">
        <v>1042</v>
      </c>
      <c r="E165" s="159">
        <f>SUM(E166,E167,E168,E169)</f>
        <v>296</v>
      </c>
      <c r="F165" s="159">
        <f>SUM(F166,F167,F168,F169)</f>
        <v>0</v>
      </c>
      <c r="G165" s="175">
        <f>F165/E165*100</f>
        <v>0</v>
      </c>
    </row>
    <row r="166" spans="1:7" s="135" customFormat="1" ht="56.25" customHeight="1" hidden="1">
      <c r="A166" s="150"/>
      <c r="B166" s="151"/>
      <c r="C166" s="148" t="s">
        <v>273</v>
      </c>
      <c r="D166" s="121" t="s">
        <v>41</v>
      </c>
      <c r="E166" s="149">
        <v>0</v>
      </c>
      <c r="F166" s="149">
        <v>0</v>
      </c>
      <c r="G166" s="176" t="e">
        <f>F166/E166*100</f>
        <v>#DIV/0!</v>
      </c>
    </row>
    <row r="167" spans="1:7" s="135" customFormat="1" ht="58.5" customHeight="1">
      <c r="A167" s="150"/>
      <c r="B167" s="151"/>
      <c r="C167" s="148" t="s">
        <v>257</v>
      </c>
      <c r="D167" s="121" t="s">
        <v>55</v>
      </c>
      <c r="E167" s="149">
        <v>296</v>
      </c>
      <c r="F167" s="149">
        <v>0</v>
      </c>
      <c r="G167" s="176">
        <f>F167/E167*100</f>
        <v>0</v>
      </c>
    </row>
    <row r="168" spans="1:7" s="135" customFormat="1" ht="41.25" customHeight="1" hidden="1">
      <c r="A168" s="150"/>
      <c r="B168" s="151"/>
      <c r="C168" s="148" t="s">
        <v>258</v>
      </c>
      <c r="D168" s="121" t="s">
        <v>47</v>
      </c>
      <c r="E168" s="149">
        <v>0</v>
      </c>
      <c r="F168" s="149"/>
      <c r="G168" s="176" t="e">
        <f>F168/E168*100</f>
        <v>#DIV/0!</v>
      </c>
    </row>
    <row r="169" spans="1:7" s="135" customFormat="1" ht="44.25" customHeight="1" hidden="1">
      <c r="A169" s="150"/>
      <c r="B169" s="151"/>
      <c r="C169" s="148" t="s">
        <v>255</v>
      </c>
      <c r="D169" s="121" t="s">
        <v>69</v>
      </c>
      <c r="E169" s="149">
        <v>0</v>
      </c>
      <c r="F169" s="149">
        <v>0</v>
      </c>
      <c r="G169" s="176" t="e">
        <f>F169/E169*100</f>
        <v>#DIV/0!</v>
      </c>
    </row>
    <row r="170" spans="1:7" ht="19.5" customHeight="1">
      <c r="A170" s="152" t="s">
        <v>1101</v>
      </c>
      <c r="B170" s="153"/>
      <c r="C170" s="154"/>
      <c r="D170" s="155" t="s">
        <v>1102</v>
      </c>
      <c r="E170" s="142">
        <f>SUM(E171,E173,E175,E177,E179)</f>
        <v>3000</v>
      </c>
      <c r="F170" s="142">
        <f>SUM(F171,F173,F175,F177,F179)</f>
        <v>1620</v>
      </c>
      <c r="G170" s="110">
        <f t="shared" si="5"/>
        <v>54</v>
      </c>
    </row>
    <row r="171" spans="1:7" ht="18" customHeight="1">
      <c r="A171" s="156"/>
      <c r="B171" s="162" t="s">
        <v>586</v>
      </c>
      <c r="C171" s="162"/>
      <c r="D171" s="186" t="s">
        <v>587</v>
      </c>
      <c r="E171" s="164">
        <f>SUM(E172)</f>
        <v>0</v>
      </c>
      <c r="F171" s="164">
        <f>SUM(F172)</f>
        <v>120</v>
      </c>
      <c r="G171" s="116" t="s">
        <v>1274</v>
      </c>
    </row>
    <row r="172" spans="1:7" ht="40.5" customHeight="1">
      <c r="A172" s="150"/>
      <c r="B172" s="180"/>
      <c r="C172" s="180" t="s">
        <v>95</v>
      </c>
      <c r="D172" s="136" t="s">
        <v>96</v>
      </c>
      <c r="E172" s="187">
        <v>0</v>
      </c>
      <c r="F172" s="187">
        <v>120</v>
      </c>
      <c r="G172" s="122" t="s">
        <v>1274</v>
      </c>
    </row>
    <row r="173" spans="1:7" ht="18" customHeight="1" hidden="1">
      <c r="A173" s="156"/>
      <c r="B173" s="162" t="s">
        <v>590</v>
      </c>
      <c r="C173" s="162"/>
      <c r="D173" s="186" t="s">
        <v>512</v>
      </c>
      <c r="E173" s="164">
        <f>SUM(E174)</f>
        <v>0</v>
      </c>
      <c r="F173" s="164">
        <f>SUM(F174)</f>
        <v>0</v>
      </c>
      <c r="G173" s="116" t="s">
        <v>1274</v>
      </c>
    </row>
    <row r="174" spans="1:7" ht="20.25" customHeight="1" hidden="1">
      <c r="A174" s="150"/>
      <c r="B174" s="180"/>
      <c r="C174" s="180" t="s">
        <v>180</v>
      </c>
      <c r="D174" s="161" t="s">
        <v>1228</v>
      </c>
      <c r="E174" s="187">
        <v>0</v>
      </c>
      <c r="F174" s="187">
        <v>0</v>
      </c>
      <c r="G174" s="122" t="s">
        <v>1274</v>
      </c>
    </row>
    <row r="175" spans="1:7" ht="19.5" customHeight="1" hidden="1">
      <c r="A175" s="156"/>
      <c r="B175" s="162" t="s">
        <v>594</v>
      </c>
      <c r="C175" s="188"/>
      <c r="D175" s="163" t="s">
        <v>595</v>
      </c>
      <c r="E175" s="164">
        <f>SUM(E176)</f>
        <v>0</v>
      </c>
      <c r="F175" s="164">
        <f>SUM(F176)</f>
        <v>0</v>
      </c>
      <c r="G175" s="116" t="s">
        <v>1274</v>
      </c>
    </row>
    <row r="176" spans="1:7" ht="19.5" customHeight="1" hidden="1">
      <c r="A176" s="156"/>
      <c r="B176" s="162"/>
      <c r="C176" s="151" t="s">
        <v>180</v>
      </c>
      <c r="D176" s="161" t="s">
        <v>1228</v>
      </c>
      <c r="E176" s="187">
        <v>0</v>
      </c>
      <c r="F176" s="187"/>
      <c r="G176" s="116" t="s">
        <v>1274</v>
      </c>
    </row>
    <row r="177" spans="1:7" ht="19.5" customHeight="1" hidden="1">
      <c r="A177" s="156"/>
      <c r="B177" s="162" t="s">
        <v>1103</v>
      </c>
      <c r="C177" s="188"/>
      <c r="D177" s="163" t="s">
        <v>1104</v>
      </c>
      <c r="E177" s="164">
        <f>SUM(E178)</f>
        <v>0</v>
      </c>
      <c r="F177" s="164">
        <f>SUM(F178)</f>
        <v>0</v>
      </c>
      <c r="G177" s="116" t="s">
        <v>1274</v>
      </c>
    </row>
    <row r="178" spans="1:7" ht="19.5" customHeight="1" hidden="1">
      <c r="A178" s="156"/>
      <c r="B178" s="162"/>
      <c r="C178" s="151" t="s">
        <v>180</v>
      </c>
      <c r="D178" s="161" t="s">
        <v>1228</v>
      </c>
      <c r="E178" s="187">
        <v>0</v>
      </c>
      <c r="F178" s="187">
        <v>0</v>
      </c>
      <c r="G178" s="116" t="s">
        <v>1274</v>
      </c>
    </row>
    <row r="179" spans="1:7" ht="19.5" customHeight="1">
      <c r="A179" s="156"/>
      <c r="B179" s="189" t="s">
        <v>596</v>
      </c>
      <c r="C179" s="190"/>
      <c r="D179" s="191" t="s">
        <v>1042</v>
      </c>
      <c r="E179" s="192">
        <f>SUM(E180,E181)</f>
        <v>3000</v>
      </c>
      <c r="F179" s="192">
        <f>SUM(F180,F181)</f>
        <v>1500</v>
      </c>
      <c r="G179" s="139">
        <f t="shared" si="5"/>
        <v>50</v>
      </c>
    </row>
    <row r="180" spans="1:7" s="135" customFormat="1" ht="58.5" customHeight="1">
      <c r="A180" s="150"/>
      <c r="B180" s="151"/>
      <c r="C180" s="120">
        <v>2010</v>
      </c>
      <c r="D180" s="121" t="s">
        <v>41</v>
      </c>
      <c r="E180" s="149">
        <v>3000</v>
      </c>
      <c r="F180" s="149">
        <v>1500</v>
      </c>
      <c r="G180" s="122">
        <f t="shared" si="5"/>
        <v>50</v>
      </c>
    </row>
    <row r="181" spans="1:7" s="135" customFormat="1" ht="55.5" customHeight="1" hidden="1">
      <c r="A181" s="150"/>
      <c r="B181" s="151"/>
      <c r="C181" s="120">
        <v>2020</v>
      </c>
      <c r="D181" s="121" t="s">
        <v>55</v>
      </c>
      <c r="E181" s="149">
        <v>0</v>
      </c>
      <c r="F181" s="149"/>
      <c r="G181" s="122" t="e">
        <f t="shared" si="5"/>
        <v>#DIV/0!</v>
      </c>
    </row>
    <row r="182" spans="1:7" s="127" customFormat="1" ht="21.75" customHeight="1">
      <c r="A182" s="152" t="s">
        <v>264</v>
      </c>
      <c r="B182" s="153"/>
      <c r="C182" s="171"/>
      <c r="D182" s="140" t="s">
        <v>275</v>
      </c>
      <c r="E182" s="142">
        <f>SUM(E183,E185,E187,E191,E193,E196,E198,E203,E205,E209,E213)</f>
        <v>9558273</v>
      </c>
      <c r="F182" s="142">
        <f>SUM(F183,F185,F187,F191,F193,F196,F198,F203,F205,F209,F213)</f>
        <v>4008121.1200000006</v>
      </c>
      <c r="G182" s="110">
        <f t="shared" si="5"/>
        <v>41.93352836856617</v>
      </c>
    </row>
    <row r="183" spans="1:7" s="1285" customFormat="1" ht="21.75" customHeight="1" hidden="1">
      <c r="A183" s="1279"/>
      <c r="B183" s="1280" t="s">
        <v>265</v>
      </c>
      <c r="C183" s="1281"/>
      <c r="D183" s="1282" t="s">
        <v>969</v>
      </c>
      <c r="E183" s="1283">
        <f>SUM(E184)</f>
        <v>0</v>
      </c>
      <c r="F183" s="1283">
        <f>SUM(F184)</f>
        <v>0</v>
      </c>
      <c r="G183" s="1284" t="s">
        <v>1274</v>
      </c>
    </row>
    <row r="184" spans="1:7" s="1285" customFormat="1" ht="21.75" customHeight="1" hidden="1">
      <c r="A184" s="1286"/>
      <c r="B184" s="1287"/>
      <c r="C184" s="1288" t="s">
        <v>180</v>
      </c>
      <c r="D184" s="1289" t="s">
        <v>1228</v>
      </c>
      <c r="E184" s="1290">
        <v>0</v>
      </c>
      <c r="F184" s="1291">
        <v>0</v>
      </c>
      <c r="G184" s="1292" t="s">
        <v>1274</v>
      </c>
    </row>
    <row r="185" spans="1:7" s="127" customFormat="1" ht="21.75" customHeight="1">
      <c r="A185" s="156"/>
      <c r="B185" s="157" t="s">
        <v>599</v>
      </c>
      <c r="C185" s="174"/>
      <c r="D185" s="186" t="s">
        <v>600</v>
      </c>
      <c r="E185" s="159">
        <f>SUM(E186)</f>
        <v>0</v>
      </c>
      <c r="F185" s="159">
        <f>SUM(F186)</f>
        <v>4525.68</v>
      </c>
      <c r="G185" s="116" t="s">
        <v>1274</v>
      </c>
    </row>
    <row r="186" spans="1:7" s="127" customFormat="1" ht="21.75" customHeight="1">
      <c r="A186" s="150"/>
      <c r="B186" s="151"/>
      <c r="C186" s="148" t="s">
        <v>180</v>
      </c>
      <c r="D186" s="193" t="s">
        <v>1228</v>
      </c>
      <c r="E186" s="187">
        <v>0</v>
      </c>
      <c r="F186" s="149">
        <v>4525.68</v>
      </c>
      <c r="G186" s="122" t="s">
        <v>1274</v>
      </c>
    </row>
    <row r="187" spans="1:7" ht="21.75" customHeight="1">
      <c r="A187" s="156"/>
      <c r="B187" s="157" t="s">
        <v>276</v>
      </c>
      <c r="C187" s="174"/>
      <c r="D187" s="186" t="s">
        <v>46</v>
      </c>
      <c r="E187" s="159">
        <f>SUM(E188,E189,E190)</f>
        <v>143000</v>
      </c>
      <c r="F187" s="159">
        <f>SUM(F188,F189,F190)</f>
        <v>74454.95</v>
      </c>
      <c r="G187" s="116">
        <f>F187/E187*100</f>
        <v>52.0663986013986</v>
      </c>
    </row>
    <row r="188" spans="1:7" ht="23.25" customHeight="1">
      <c r="A188" s="156"/>
      <c r="B188" s="157"/>
      <c r="C188" s="148" t="s">
        <v>178</v>
      </c>
      <c r="D188" s="121" t="s">
        <v>1286</v>
      </c>
      <c r="E188" s="187">
        <v>12000</v>
      </c>
      <c r="F188" s="149">
        <v>7760.96</v>
      </c>
      <c r="G188" s="122">
        <f>F188/E188*100</f>
        <v>64.67466666666667</v>
      </c>
    </row>
    <row r="189" spans="1:7" s="127" customFormat="1" ht="21.75" customHeight="1">
      <c r="A189" s="150"/>
      <c r="B189" s="151"/>
      <c r="C189" s="148" t="s">
        <v>180</v>
      </c>
      <c r="D189" s="193" t="s">
        <v>1228</v>
      </c>
      <c r="E189" s="187">
        <v>0</v>
      </c>
      <c r="F189" s="149">
        <v>1197.99</v>
      </c>
      <c r="G189" s="122" t="s">
        <v>1274</v>
      </c>
    </row>
    <row r="190" spans="1:7" s="135" customFormat="1" ht="58.5" customHeight="1">
      <c r="A190" s="150"/>
      <c r="B190" s="151"/>
      <c r="C190" s="120">
        <v>2010</v>
      </c>
      <c r="D190" s="121" t="s">
        <v>41</v>
      </c>
      <c r="E190" s="187">
        <v>131000</v>
      </c>
      <c r="F190" s="149">
        <v>65496</v>
      </c>
      <c r="G190" s="122">
        <f>F190/E190*100</f>
        <v>49.9969465648855</v>
      </c>
    </row>
    <row r="191" spans="1:7" s="1285" customFormat="1" ht="21.75" customHeight="1" hidden="1">
      <c r="A191" s="1279"/>
      <c r="B191" s="1280" t="s">
        <v>601</v>
      </c>
      <c r="C191" s="1281"/>
      <c r="D191" s="1282" t="s">
        <v>602</v>
      </c>
      <c r="E191" s="1283">
        <f>SUM(E192)</f>
        <v>0</v>
      </c>
      <c r="F191" s="1283">
        <f>SUM(F192)</f>
        <v>0</v>
      </c>
      <c r="G191" s="1284" t="s">
        <v>1274</v>
      </c>
    </row>
    <row r="192" spans="1:7" s="1285" customFormat="1" ht="21.75" customHeight="1" hidden="1">
      <c r="A192" s="1286"/>
      <c r="B192" s="1287"/>
      <c r="C192" s="1288" t="s">
        <v>180</v>
      </c>
      <c r="D192" s="1289" t="s">
        <v>1228</v>
      </c>
      <c r="E192" s="1290">
        <v>0</v>
      </c>
      <c r="F192" s="1291">
        <v>0</v>
      </c>
      <c r="G192" s="1292" t="s">
        <v>1274</v>
      </c>
    </row>
    <row r="193" spans="1:7" ht="46.5" customHeight="1">
      <c r="A193" s="156"/>
      <c r="B193" s="157" t="s">
        <v>266</v>
      </c>
      <c r="C193" s="174"/>
      <c r="D193" s="194" t="s">
        <v>635</v>
      </c>
      <c r="E193" s="164">
        <f>SUM(E194,E195)</f>
        <v>5729473</v>
      </c>
      <c r="F193" s="164">
        <f>SUM(F194,F195)</f>
        <v>2738050.74</v>
      </c>
      <c r="G193" s="116">
        <f t="shared" si="5"/>
        <v>47.788875870433465</v>
      </c>
    </row>
    <row r="194" spans="1:7" ht="18" customHeight="1">
      <c r="A194" s="156"/>
      <c r="B194" s="157"/>
      <c r="C194" s="148" t="s">
        <v>180</v>
      </c>
      <c r="D194" s="121" t="s">
        <v>1228</v>
      </c>
      <c r="E194" s="149">
        <v>25473</v>
      </c>
      <c r="F194" s="149">
        <v>7136.74</v>
      </c>
      <c r="G194" s="122">
        <f t="shared" si="5"/>
        <v>28.0168806186943</v>
      </c>
    </row>
    <row r="195" spans="1:7" s="195" customFormat="1" ht="58.5" customHeight="1">
      <c r="A195" s="150"/>
      <c r="B195" s="151"/>
      <c r="C195" s="120">
        <v>2010</v>
      </c>
      <c r="D195" s="121" t="s">
        <v>41</v>
      </c>
      <c r="E195" s="149">
        <v>5704000</v>
      </c>
      <c r="F195" s="149">
        <v>2730914</v>
      </c>
      <c r="G195" s="122">
        <f t="shared" si="5"/>
        <v>47.87717391304348</v>
      </c>
    </row>
    <row r="196" spans="1:7" ht="69" customHeight="1">
      <c r="A196" s="156"/>
      <c r="B196" s="157" t="s">
        <v>267</v>
      </c>
      <c r="C196" s="174"/>
      <c r="D196" s="114" t="s">
        <v>391</v>
      </c>
      <c r="E196" s="159">
        <f>E197</f>
        <v>84000</v>
      </c>
      <c r="F196" s="159">
        <f>F197</f>
        <v>37000</v>
      </c>
      <c r="G196" s="116">
        <f t="shared" si="5"/>
        <v>44.047619047619044</v>
      </c>
    </row>
    <row r="197" spans="1:7" s="135" customFormat="1" ht="56.25" customHeight="1">
      <c r="A197" s="150"/>
      <c r="B197" s="151"/>
      <c r="C197" s="120">
        <v>2010</v>
      </c>
      <c r="D197" s="121" t="s">
        <v>41</v>
      </c>
      <c r="E197" s="149">
        <v>84000</v>
      </c>
      <c r="F197" s="149">
        <v>37000</v>
      </c>
      <c r="G197" s="122">
        <f t="shared" si="5"/>
        <v>44.047619047619044</v>
      </c>
    </row>
    <row r="198" spans="1:7" ht="32.25" customHeight="1">
      <c r="A198" s="150"/>
      <c r="B198" s="157" t="s">
        <v>268</v>
      </c>
      <c r="C198" s="120"/>
      <c r="D198" s="114" t="s">
        <v>481</v>
      </c>
      <c r="E198" s="159">
        <f>SUM(E199,E200,E201,E202)</f>
        <v>1133000</v>
      </c>
      <c r="F198" s="159">
        <f>SUM(F199,F200,F201,F202)</f>
        <v>568512</v>
      </c>
      <c r="G198" s="116">
        <f t="shared" si="5"/>
        <v>50.17758164165931</v>
      </c>
    </row>
    <row r="199" spans="1:7" s="135" customFormat="1" ht="21" customHeight="1">
      <c r="A199" s="150"/>
      <c r="B199" s="151"/>
      <c r="C199" s="148" t="s">
        <v>180</v>
      </c>
      <c r="D199" s="121" t="s">
        <v>1228</v>
      </c>
      <c r="E199" s="149">
        <v>0</v>
      </c>
      <c r="F199" s="149">
        <v>2010</v>
      </c>
      <c r="G199" s="122" t="s">
        <v>1274</v>
      </c>
    </row>
    <row r="200" spans="1:7" s="135" customFormat="1" ht="57" customHeight="1">
      <c r="A200" s="150"/>
      <c r="B200" s="151"/>
      <c r="C200" s="120">
        <v>2010</v>
      </c>
      <c r="D200" s="121" t="s">
        <v>41</v>
      </c>
      <c r="E200" s="149">
        <v>801000</v>
      </c>
      <c r="F200" s="149">
        <v>400500</v>
      </c>
      <c r="G200" s="122">
        <f t="shared" si="5"/>
        <v>50</v>
      </c>
    </row>
    <row r="201" spans="1:7" s="135" customFormat="1" ht="44.25" customHeight="1">
      <c r="A201" s="150"/>
      <c r="B201" s="151"/>
      <c r="C201" s="120">
        <v>2030</v>
      </c>
      <c r="D201" s="121" t="s">
        <v>47</v>
      </c>
      <c r="E201" s="149">
        <v>332000</v>
      </c>
      <c r="F201" s="149">
        <v>166002</v>
      </c>
      <c r="G201" s="122">
        <f t="shared" si="5"/>
        <v>50.00060240963855</v>
      </c>
    </row>
    <row r="202" spans="1:7" s="135" customFormat="1" ht="44.25" customHeight="1" hidden="1">
      <c r="A202" s="150"/>
      <c r="B202" s="151"/>
      <c r="C202" s="120">
        <v>2910</v>
      </c>
      <c r="D202" s="121" t="s">
        <v>96</v>
      </c>
      <c r="E202" s="149">
        <v>0</v>
      </c>
      <c r="F202" s="149">
        <v>0</v>
      </c>
      <c r="G202" s="122" t="e">
        <f t="shared" si="5"/>
        <v>#DIV/0!</v>
      </c>
    </row>
    <row r="203" spans="1:7" ht="20.25" customHeight="1">
      <c r="A203" s="150"/>
      <c r="B203" s="157" t="s">
        <v>269</v>
      </c>
      <c r="C203" s="120"/>
      <c r="D203" s="114" t="s">
        <v>1112</v>
      </c>
      <c r="E203" s="159">
        <f>SUM(E204)</f>
        <v>0</v>
      </c>
      <c r="F203" s="159">
        <f>SUM(F204)</f>
        <v>547.93</v>
      </c>
      <c r="G203" s="116" t="s">
        <v>1274</v>
      </c>
    </row>
    <row r="204" spans="1:7" s="135" customFormat="1" ht="21" customHeight="1">
      <c r="A204" s="150"/>
      <c r="B204" s="151"/>
      <c r="C204" s="148" t="s">
        <v>180</v>
      </c>
      <c r="D204" s="121" t="s">
        <v>1228</v>
      </c>
      <c r="E204" s="149">
        <v>0</v>
      </c>
      <c r="F204" s="149">
        <v>547.93</v>
      </c>
      <c r="G204" s="122" t="s">
        <v>1274</v>
      </c>
    </row>
    <row r="205" spans="1:7" ht="21.75" customHeight="1">
      <c r="A205" s="156"/>
      <c r="B205" s="157" t="s">
        <v>270</v>
      </c>
      <c r="C205" s="174"/>
      <c r="D205" s="114" t="s">
        <v>1113</v>
      </c>
      <c r="E205" s="159">
        <f>SUM(E206,E207,E208)</f>
        <v>573800</v>
      </c>
      <c r="F205" s="159">
        <f>SUM(F206,F207,F208)</f>
        <v>292494</v>
      </c>
      <c r="G205" s="116">
        <f t="shared" si="5"/>
        <v>50.97490414778668</v>
      </c>
    </row>
    <row r="206" spans="1:7" s="135" customFormat="1" ht="21.75" customHeight="1" hidden="1">
      <c r="A206" s="150"/>
      <c r="B206" s="151"/>
      <c r="C206" s="148" t="s">
        <v>179</v>
      </c>
      <c r="D206" s="161" t="s">
        <v>1284</v>
      </c>
      <c r="E206" s="149">
        <v>0</v>
      </c>
      <c r="F206" s="149"/>
      <c r="G206" s="122" t="s">
        <v>1274</v>
      </c>
    </row>
    <row r="207" spans="1:7" ht="21.75" customHeight="1">
      <c r="A207" s="156"/>
      <c r="B207" s="157"/>
      <c r="C207" s="148" t="s">
        <v>180</v>
      </c>
      <c r="D207" s="121" t="s">
        <v>1228</v>
      </c>
      <c r="E207" s="149">
        <v>0</v>
      </c>
      <c r="F207" s="149">
        <v>746</v>
      </c>
      <c r="G207" s="122" t="s">
        <v>1274</v>
      </c>
    </row>
    <row r="208" spans="1:7" s="135" customFormat="1" ht="43.5" customHeight="1">
      <c r="A208" s="150"/>
      <c r="B208" s="151"/>
      <c r="C208" s="148" t="s">
        <v>258</v>
      </c>
      <c r="D208" s="121" t="s">
        <v>47</v>
      </c>
      <c r="E208" s="149">
        <v>573800</v>
      </c>
      <c r="F208" s="149">
        <v>291748</v>
      </c>
      <c r="G208" s="122">
        <f t="shared" si="5"/>
        <v>50.84489369118159</v>
      </c>
    </row>
    <row r="209" spans="1:7" ht="27.75" customHeight="1">
      <c r="A209" s="156"/>
      <c r="B209" s="157" t="s">
        <v>272</v>
      </c>
      <c r="C209" s="174"/>
      <c r="D209" s="114" t="s">
        <v>1116</v>
      </c>
      <c r="E209" s="159">
        <f>SUM(E210,E211,E212)</f>
        <v>140000</v>
      </c>
      <c r="F209" s="159">
        <f>SUM(F210,F211,F212)</f>
        <v>72003.18</v>
      </c>
      <c r="G209" s="116">
        <f t="shared" si="5"/>
        <v>51.430842857142856</v>
      </c>
    </row>
    <row r="210" spans="1:7" s="135" customFormat="1" ht="17.25" customHeight="1">
      <c r="A210" s="150"/>
      <c r="B210" s="151"/>
      <c r="C210" s="148" t="s">
        <v>178</v>
      </c>
      <c r="D210" s="136" t="s">
        <v>1286</v>
      </c>
      <c r="E210" s="149">
        <v>61000</v>
      </c>
      <c r="F210" s="149">
        <v>32505.18</v>
      </c>
      <c r="G210" s="122">
        <f t="shared" si="5"/>
        <v>53.28718032786885</v>
      </c>
    </row>
    <row r="211" spans="1:7" s="135" customFormat="1" ht="17.25" customHeight="1" hidden="1">
      <c r="A211" s="150"/>
      <c r="B211" s="151"/>
      <c r="C211" s="148" t="s">
        <v>179</v>
      </c>
      <c r="D211" s="161" t="s">
        <v>1284</v>
      </c>
      <c r="E211" s="149">
        <v>0</v>
      </c>
      <c r="F211" s="149"/>
      <c r="G211" s="122" t="s">
        <v>1274</v>
      </c>
    </row>
    <row r="212" spans="1:7" ht="56.25" customHeight="1">
      <c r="A212" s="150"/>
      <c r="B212" s="151"/>
      <c r="C212" s="148" t="s">
        <v>273</v>
      </c>
      <c r="D212" s="121" t="s">
        <v>41</v>
      </c>
      <c r="E212" s="149">
        <v>79000</v>
      </c>
      <c r="F212" s="149">
        <v>39498</v>
      </c>
      <c r="G212" s="122">
        <f t="shared" si="5"/>
        <v>49.99746835443038</v>
      </c>
    </row>
    <row r="213" spans="1:7" ht="18" customHeight="1">
      <c r="A213" s="156"/>
      <c r="B213" s="157" t="s">
        <v>274</v>
      </c>
      <c r="C213" s="169"/>
      <c r="D213" s="114" t="s">
        <v>1042</v>
      </c>
      <c r="E213" s="159">
        <f>SUM(E214,E215,E216,E217)</f>
        <v>1755000</v>
      </c>
      <c r="F213" s="159">
        <f>SUM(F214,F215,F216,F217)</f>
        <v>220532.64</v>
      </c>
      <c r="G213" s="116">
        <f t="shared" si="5"/>
        <v>12.565962393162394</v>
      </c>
    </row>
    <row r="214" spans="1:7" s="135" customFormat="1" ht="30.75" customHeight="1">
      <c r="A214" s="150"/>
      <c r="B214" s="151"/>
      <c r="C214" s="148" t="s">
        <v>181</v>
      </c>
      <c r="D214" s="121" t="s">
        <v>950</v>
      </c>
      <c r="E214" s="149">
        <v>0</v>
      </c>
      <c r="F214" s="149">
        <v>157.64</v>
      </c>
      <c r="G214" s="122" t="s">
        <v>1274</v>
      </c>
    </row>
    <row r="215" spans="1:7" s="135" customFormat="1" ht="55.5" customHeight="1" hidden="1">
      <c r="A215" s="150"/>
      <c r="B215" s="151"/>
      <c r="C215" s="148" t="s">
        <v>257</v>
      </c>
      <c r="D215" s="136" t="s">
        <v>1194</v>
      </c>
      <c r="E215" s="149">
        <v>0</v>
      </c>
      <c r="F215" s="149">
        <v>0</v>
      </c>
      <c r="G215" s="122" t="e">
        <f t="shared" si="5"/>
        <v>#DIV/0!</v>
      </c>
    </row>
    <row r="216" spans="1:7" ht="42" customHeight="1">
      <c r="A216" s="150"/>
      <c r="B216" s="151"/>
      <c r="C216" s="148" t="s">
        <v>258</v>
      </c>
      <c r="D216" s="121" t="s">
        <v>47</v>
      </c>
      <c r="E216" s="149">
        <v>355000</v>
      </c>
      <c r="F216" s="149">
        <v>220375</v>
      </c>
      <c r="G216" s="122">
        <f t="shared" si="5"/>
        <v>62.07746478873239</v>
      </c>
    </row>
    <row r="217" spans="1:7" ht="54.75" customHeight="1">
      <c r="A217" s="150"/>
      <c r="B217" s="151"/>
      <c r="C217" s="132" t="s">
        <v>260</v>
      </c>
      <c r="D217" s="136" t="s">
        <v>296</v>
      </c>
      <c r="E217" s="149">
        <v>1400000</v>
      </c>
      <c r="F217" s="149">
        <v>0</v>
      </c>
      <c r="G217" s="1301">
        <f t="shared" si="5"/>
        <v>0</v>
      </c>
    </row>
    <row r="218" spans="1:7" s="127" customFormat="1" ht="30" customHeight="1">
      <c r="A218" s="152" t="s">
        <v>1105</v>
      </c>
      <c r="B218" s="153"/>
      <c r="C218" s="196"/>
      <c r="D218" s="172" t="s">
        <v>605</v>
      </c>
      <c r="E218" s="142">
        <f>SUM(E219)</f>
        <v>226381</v>
      </c>
      <c r="F218" s="142">
        <f>SUM(F219)</f>
        <v>226382.61</v>
      </c>
      <c r="G218" s="110">
        <f t="shared" si="5"/>
        <v>100.00071119042676</v>
      </c>
    </row>
    <row r="219" spans="1:7" ht="20.25" customHeight="1">
      <c r="A219" s="156"/>
      <c r="B219" s="157" t="s">
        <v>609</v>
      </c>
      <c r="C219" s="169"/>
      <c r="D219" s="114" t="s">
        <v>1042</v>
      </c>
      <c r="E219" s="159">
        <f>SUM(E220,E221,E222,E224)</f>
        <v>226381</v>
      </c>
      <c r="F219" s="159">
        <f>SUM(F220,F221,F222,F224)</f>
        <v>226382.61</v>
      </c>
      <c r="G219" s="116">
        <f>F219/E219*100</f>
        <v>100.00071119042676</v>
      </c>
    </row>
    <row r="220" spans="1:7" ht="21.75" customHeight="1">
      <c r="A220" s="156"/>
      <c r="B220" s="157"/>
      <c r="C220" s="148" t="s">
        <v>180</v>
      </c>
      <c r="D220" s="121" t="s">
        <v>1228</v>
      </c>
      <c r="E220" s="149">
        <v>0</v>
      </c>
      <c r="F220" s="149">
        <v>1.11</v>
      </c>
      <c r="G220" s="122" t="s">
        <v>1274</v>
      </c>
    </row>
    <row r="221" spans="1:7" ht="20.25" customHeight="1" hidden="1">
      <c r="A221" s="156"/>
      <c r="B221" s="157"/>
      <c r="C221" s="148" t="s">
        <v>1030</v>
      </c>
      <c r="D221" s="161" t="s">
        <v>1284</v>
      </c>
      <c r="E221" s="149">
        <v>0</v>
      </c>
      <c r="F221" s="149"/>
      <c r="G221" s="122" t="s">
        <v>1274</v>
      </c>
    </row>
    <row r="222" spans="1:7" ht="29.25" customHeight="1">
      <c r="A222" s="150"/>
      <c r="B222" s="151"/>
      <c r="C222" s="148" t="s">
        <v>442</v>
      </c>
      <c r="D222" s="136" t="s">
        <v>443</v>
      </c>
      <c r="E222" s="149">
        <v>213794</v>
      </c>
      <c r="F222" s="149">
        <v>213804.75</v>
      </c>
      <c r="G222" s="122">
        <f>F222/E222*100</f>
        <v>100.00502820472043</v>
      </c>
    </row>
    <row r="223" spans="1:7" ht="67.5" customHeight="1">
      <c r="A223" s="150"/>
      <c r="B223" s="151"/>
      <c r="C223" s="148"/>
      <c r="D223" s="121" t="s">
        <v>385</v>
      </c>
      <c r="E223" s="149"/>
      <c r="F223" s="149"/>
      <c r="G223" s="122"/>
    </row>
    <row r="224" spans="1:7" ht="30.75" customHeight="1">
      <c r="A224" s="150"/>
      <c r="B224" s="151"/>
      <c r="C224" s="148" t="s">
        <v>444</v>
      </c>
      <c r="D224" s="136" t="s">
        <v>443</v>
      </c>
      <c r="E224" s="149">
        <v>12587</v>
      </c>
      <c r="F224" s="149">
        <v>12576.75</v>
      </c>
      <c r="G224" s="122">
        <f>F224/E224*100</f>
        <v>99.9185667752443</v>
      </c>
    </row>
    <row r="225" spans="1:7" ht="75.75" customHeight="1">
      <c r="A225" s="150"/>
      <c r="B225" s="151"/>
      <c r="C225" s="148"/>
      <c r="D225" s="121" t="s">
        <v>114</v>
      </c>
      <c r="E225" s="149"/>
      <c r="F225" s="149"/>
      <c r="G225" s="122"/>
    </row>
    <row r="226" spans="1:7" ht="21" customHeight="1">
      <c r="A226" s="152" t="s">
        <v>1117</v>
      </c>
      <c r="B226" s="153"/>
      <c r="C226" s="153"/>
      <c r="D226" s="172" t="s">
        <v>1121</v>
      </c>
      <c r="E226" s="142">
        <f>SUM(E227)</f>
        <v>112577</v>
      </c>
      <c r="F226" s="142">
        <f>SUM(F227)</f>
        <v>85950</v>
      </c>
      <c r="G226" s="110">
        <f aca="true" t="shared" si="7" ref="G226:G242">F226/E226*100</f>
        <v>76.34774421062916</v>
      </c>
    </row>
    <row r="227" spans="1:7" ht="20.25" customHeight="1">
      <c r="A227" s="156"/>
      <c r="B227" s="157" t="s">
        <v>1174</v>
      </c>
      <c r="C227" s="157"/>
      <c r="D227" s="160" t="s">
        <v>1175</v>
      </c>
      <c r="E227" s="159">
        <f>SUM(E228)</f>
        <v>112577</v>
      </c>
      <c r="F227" s="159">
        <f>SUM(F228)</f>
        <v>85950</v>
      </c>
      <c r="G227" s="116">
        <f t="shared" si="7"/>
        <v>76.34774421062916</v>
      </c>
    </row>
    <row r="228" spans="1:7" s="135" customFormat="1" ht="46.5" customHeight="1">
      <c r="A228" s="150"/>
      <c r="B228" s="151"/>
      <c r="C228" s="151" t="s">
        <v>258</v>
      </c>
      <c r="D228" s="121" t="s">
        <v>47</v>
      </c>
      <c r="E228" s="149">
        <v>112577</v>
      </c>
      <c r="F228" s="149">
        <v>85950</v>
      </c>
      <c r="G228" s="122">
        <f t="shared" si="7"/>
        <v>76.34774421062916</v>
      </c>
    </row>
    <row r="229" spans="1:7" s="135" customFormat="1" ht="29.25" customHeight="1">
      <c r="A229" s="152" t="s">
        <v>1177</v>
      </c>
      <c r="B229" s="153"/>
      <c r="C229" s="153"/>
      <c r="D229" s="172" t="s">
        <v>1287</v>
      </c>
      <c r="E229" s="142">
        <f>SUM(E230,E234,E240,E238,E242)</f>
        <v>8510817</v>
      </c>
      <c r="F229" s="142">
        <f>SUM(F230,F234,F240,F238,F242)</f>
        <v>2994418.7199999997</v>
      </c>
      <c r="G229" s="110">
        <f t="shared" si="7"/>
        <v>35.1836811906542</v>
      </c>
    </row>
    <row r="230" spans="1:7" ht="21.75" customHeight="1" hidden="1">
      <c r="A230" s="156"/>
      <c r="B230" s="157" t="s">
        <v>277</v>
      </c>
      <c r="C230" s="169"/>
      <c r="D230" s="160" t="s">
        <v>278</v>
      </c>
      <c r="E230" s="159">
        <f>SUM(E231,E232,E233)</f>
        <v>0</v>
      </c>
      <c r="F230" s="159">
        <f>SUM(F231,F232,F233)</f>
        <v>0</v>
      </c>
      <c r="G230" s="116" t="e">
        <f t="shared" si="7"/>
        <v>#DIV/0!</v>
      </c>
    </row>
    <row r="231" spans="1:7" s="135" customFormat="1" ht="21.75" customHeight="1" hidden="1">
      <c r="A231" s="150"/>
      <c r="B231" s="151"/>
      <c r="C231" s="148" t="s">
        <v>153</v>
      </c>
      <c r="D231" s="121" t="s">
        <v>152</v>
      </c>
      <c r="E231" s="149">
        <v>0</v>
      </c>
      <c r="F231" s="149"/>
      <c r="G231" s="122" t="e">
        <f t="shared" si="7"/>
        <v>#DIV/0!</v>
      </c>
    </row>
    <row r="232" spans="1:7" s="135" customFormat="1" ht="21.75" customHeight="1" hidden="1">
      <c r="A232" s="150"/>
      <c r="B232" s="151"/>
      <c r="C232" s="148" t="s">
        <v>180</v>
      </c>
      <c r="D232" s="121" t="s">
        <v>1228</v>
      </c>
      <c r="E232" s="149">
        <v>0</v>
      </c>
      <c r="F232" s="149"/>
      <c r="G232" s="122" t="e">
        <f t="shared" si="7"/>
        <v>#DIV/0!</v>
      </c>
    </row>
    <row r="233" spans="1:7" ht="30.75" customHeight="1" hidden="1">
      <c r="A233" s="150"/>
      <c r="B233" s="151"/>
      <c r="C233" s="148" t="s">
        <v>186</v>
      </c>
      <c r="D233" s="121" t="s">
        <v>54</v>
      </c>
      <c r="E233" s="149">
        <v>0</v>
      </c>
      <c r="F233" s="149"/>
      <c r="G233" s="122" t="e">
        <f t="shared" si="7"/>
        <v>#DIV/0!</v>
      </c>
    </row>
    <row r="234" spans="1:7" ht="18" customHeight="1">
      <c r="A234" s="156"/>
      <c r="B234" s="157" t="s">
        <v>630</v>
      </c>
      <c r="C234" s="169"/>
      <c r="D234" s="160" t="s">
        <v>631</v>
      </c>
      <c r="E234" s="159">
        <f>SUM(E235,E236)</f>
        <v>2899617</v>
      </c>
      <c r="F234" s="159">
        <f>SUM(F235,F236)</f>
        <v>430400.43</v>
      </c>
      <c r="G234" s="116">
        <f t="shared" si="7"/>
        <v>14.843354484402596</v>
      </c>
    </row>
    <row r="235" spans="1:7" s="135" customFormat="1" ht="27" customHeight="1">
      <c r="A235" s="150"/>
      <c r="B235" s="151"/>
      <c r="C235" s="148" t="s">
        <v>949</v>
      </c>
      <c r="D235" s="136" t="s">
        <v>948</v>
      </c>
      <c r="E235" s="149">
        <v>0</v>
      </c>
      <c r="F235" s="149">
        <v>7659.16</v>
      </c>
      <c r="G235" s="122" t="s">
        <v>1274</v>
      </c>
    </row>
    <row r="236" spans="1:7" ht="53.25" customHeight="1">
      <c r="A236" s="150"/>
      <c r="B236" s="151"/>
      <c r="C236" s="148" t="s">
        <v>920</v>
      </c>
      <c r="D236" s="136" t="s">
        <v>296</v>
      </c>
      <c r="E236" s="149">
        <v>2899617</v>
      </c>
      <c r="F236" s="149">
        <v>422741.27</v>
      </c>
      <c r="G236" s="122">
        <f t="shared" si="7"/>
        <v>14.579210633680242</v>
      </c>
    </row>
    <row r="237" spans="1:7" ht="66" customHeight="1">
      <c r="A237" s="150"/>
      <c r="B237" s="151"/>
      <c r="C237" s="148"/>
      <c r="D237" s="121" t="s">
        <v>385</v>
      </c>
      <c r="E237" s="149"/>
      <c r="F237" s="149"/>
      <c r="G237" s="122"/>
    </row>
    <row r="238" spans="1:7" ht="23.25" customHeight="1">
      <c r="A238" s="112"/>
      <c r="B238" s="128" t="s">
        <v>1179</v>
      </c>
      <c r="C238" s="197"/>
      <c r="D238" s="114" t="s">
        <v>1180</v>
      </c>
      <c r="E238" s="130">
        <f>SUM(E239)</f>
        <v>0</v>
      </c>
      <c r="F238" s="130">
        <f>SUM(F239)</f>
        <v>554.7</v>
      </c>
      <c r="G238" s="116" t="s">
        <v>1274</v>
      </c>
    </row>
    <row r="239" spans="1:7" ht="21" customHeight="1">
      <c r="A239" s="118"/>
      <c r="B239" s="132"/>
      <c r="C239" s="198" t="s">
        <v>180</v>
      </c>
      <c r="D239" s="136" t="s">
        <v>1228</v>
      </c>
      <c r="E239" s="134">
        <v>0</v>
      </c>
      <c r="F239" s="134">
        <v>554.7</v>
      </c>
      <c r="G239" s="116" t="s">
        <v>1274</v>
      </c>
    </row>
    <row r="240" spans="1:7" s="135" customFormat="1" ht="30.75" customHeight="1">
      <c r="A240" s="156"/>
      <c r="B240" s="157" t="s">
        <v>80</v>
      </c>
      <c r="C240" s="174"/>
      <c r="D240" s="160" t="s">
        <v>81</v>
      </c>
      <c r="E240" s="159">
        <f>E241</f>
        <v>12000</v>
      </c>
      <c r="F240" s="159">
        <f>F241</f>
        <v>7338.98</v>
      </c>
      <c r="G240" s="116">
        <f t="shared" si="7"/>
        <v>61.15816666666666</v>
      </c>
    </row>
    <row r="241" spans="1:7" s="135" customFormat="1" ht="22.5" customHeight="1">
      <c r="A241" s="150"/>
      <c r="B241" s="151"/>
      <c r="C241" s="148" t="s">
        <v>259</v>
      </c>
      <c r="D241" s="121" t="s">
        <v>82</v>
      </c>
      <c r="E241" s="149">
        <v>12000</v>
      </c>
      <c r="F241" s="149">
        <v>7338.98</v>
      </c>
      <c r="G241" s="122">
        <f t="shared" si="7"/>
        <v>61.15816666666666</v>
      </c>
    </row>
    <row r="242" spans="1:7" ht="20.25" customHeight="1">
      <c r="A242" s="199"/>
      <c r="B242" s="189" t="s">
        <v>1181</v>
      </c>
      <c r="C242" s="189"/>
      <c r="D242" s="200" t="s">
        <v>1042</v>
      </c>
      <c r="E242" s="159">
        <f>SUM(E243,E244,E245,E246)</f>
        <v>5599200</v>
      </c>
      <c r="F242" s="192">
        <f>SUM(F243,F244,F245,F246)</f>
        <v>2556124.61</v>
      </c>
      <c r="G242" s="139">
        <f t="shared" si="7"/>
        <v>45.65160397913988</v>
      </c>
    </row>
    <row r="243" spans="1:7" ht="69.75" customHeight="1">
      <c r="A243" s="150"/>
      <c r="B243" s="151"/>
      <c r="C243" s="148" t="s">
        <v>183</v>
      </c>
      <c r="D243" s="121" t="s">
        <v>283</v>
      </c>
      <c r="E243" s="149">
        <v>2200</v>
      </c>
      <c r="F243" s="149">
        <v>1085.76</v>
      </c>
      <c r="G243" s="122">
        <f aca="true" t="shared" si="8" ref="G243:G265">F243/E243*100</f>
        <v>49.35272727272727</v>
      </c>
    </row>
    <row r="244" spans="1:7" s="135" customFormat="1" ht="21.75" customHeight="1">
      <c r="A244" s="150"/>
      <c r="B244" s="151"/>
      <c r="C244" s="148" t="s">
        <v>153</v>
      </c>
      <c r="D244" s="121" t="s">
        <v>152</v>
      </c>
      <c r="E244" s="149">
        <v>0</v>
      </c>
      <c r="F244" s="149">
        <v>442.73</v>
      </c>
      <c r="G244" s="122" t="s">
        <v>1274</v>
      </c>
    </row>
    <row r="245" spans="1:7" s="135" customFormat="1" ht="18.75" customHeight="1">
      <c r="A245" s="150"/>
      <c r="B245" s="151"/>
      <c r="C245" s="151" t="s">
        <v>179</v>
      </c>
      <c r="D245" s="161" t="s">
        <v>1284</v>
      </c>
      <c r="E245" s="149">
        <v>0</v>
      </c>
      <c r="F245" s="149">
        <v>9.87</v>
      </c>
      <c r="G245" s="122" t="s">
        <v>1274</v>
      </c>
    </row>
    <row r="246" spans="1:7" s="135" customFormat="1" ht="21.75" customHeight="1">
      <c r="A246" s="150"/>
      <c r="B246" s="151"/>
      <c r="C246" s="151" t="s">
        <v>180</v>
      </c>
      <c r="D246" s="161" t="s">
        <v>1228</v>
      </c>
      <c r="E246" s="149">
        <v>5597000</v>
      </c>
      <c r="F246" s="149">
        <v>2554586.25</v>
      </c>
      <c r="G246" s="122">
        <f t="shared" si="8"/>
        <v>45.64206271216723</v>
      </c>
    </row>
    <row r="247" spans="1:7" s="127" customFormat="1" ht="27.75" customHeight="1">
      <c r="A247" s="152" t="s">
        <v>1205</v>
      </c>
      <c r="B247" s="153"/>
      <c r="C247" s="153"/>
      <c r="D247" s="172" t="s">
        <v>640</v>
      </c>
      <c r="E247" s="142">
        <f>SUM(E248,E250,E252)</f>
        <v>0</v>
      </c>
      <c r="F247" s="142">
        <f>SUM(F248,F250,F252)</f>
        <v>46309.630000000005</v>
      </c>
      <c r="G247" s="110" t="s">
        <v>1274</v>
      </c>
    </row>
    <row r="248" spans="1:7" ht="21.75" customHeight="1" hidden="1">
      <c r="A248" s="156"/>
      <c r="B248" s="157" t="s">
        <v>641</v>
      </c>
      <c r="C248" s="157"/>
      <c r="D248" s="158" t="s">
        <v>642</v>
      </c>
      <c r="E248" s="159">
        <f>SUM(E249)</f>
        <v>0</v>
      </c>
      <c r="F248" s="159">
        <f>SUM(F249)</f>
        <v>0</v>
      </c>
      <c r="G248" s="116" t="s">
        <v>1274</v>
      </c>
    </row>
    <row r="249" spans="1:7" s="135" customFormat="1" ht="38.25" customHeight="1" hidden="1">
      <c r="A249" s="150"/>
      <c r="B249" s="151"/>
      <c r="C249" s="151" t="s">
        <v>95</v>
      </c>
      <c r="D249" s="121" t="s">
        <v>96</v>
      </c>
      <c r="E249" s="149">
        <v>0</v>
      </c>
      <c r="F249" s="149"/>
      <c r="G249" s="122" t="e">
        <f t="shared" si="8"/>
        <v>#DIV/0!</v>
      </c>
    </row>
    <row r="250" spans="1:7" ht="21.75" customHeight="1">
      <c r="A250" s="156"/>
      <c r="B250" s="157" t="s">
        <v>293</v>
      </c>
      <c r="C250" s="157"/>
      <c r="D250" s="158" t="s">
        <v>294</v>
      </c>
      <c r="E250" s="159">
        <f>SUM(E251)</f>
        <v>0</v>
      </c>
      <c r="F250" s="159">
        <f>SUM(F251)</f>
        <v>46042.8</v>
      </c>
      <c r="G250" s="116" t="s">
        <v>1274</v>
      </c>
    </row>
    <row r="251" spans="1:7" s="135" customFormat="1" ht="29.25" customHeight="1">
      <c r="A251" s="150"/>
      <c r="B251" s="151"/>
      <c r="C251" s="148" t="s">
        <v>949</v>
      </c>
      <c r="D251" s="136" t="s">
        <v>948</v>
      </c>
      <c r="E251" s="149">
        <v>0</v>
      </c>
      <c r="F251" s="149">
        <v>46042.8</v>
      </c>
      <c r="G251" s="122" t="s">
        <v>1274</v>
      </c>
    </row>
    <row r="252" spans="1:7" ht="21.75" customHeight="1">
      <c r="A252" s="156"/>
      <c r="B252" s="157" t="s">
        <v>647</v>
      </c>
      <c r="C252" s="157"/>
      <c r="D252" s="158" t="s">
        <v>1042</v>
      </c>
      <c r="E252" s="159">
        <f>SUM(E253)</f>
        <v>0</v>
      </c>
      <c r="F252" s="159">
        <f>SUM(F253)</f>
        <v>266.83</v>
      </c>
      <c r="G252" s="116" t="s">
        <v>1274</v>
      </c>
    </row>
    <row r="253" spans="1:7" s="135" customFormat="1" ht="22.5" customHeight="1">
      <c r="A253" s="150"/>
      <c r="B253" s="151"/>
      <c r="C253" s="151" t="s">
        <v>180</v>
      </c>
      <c r="D253" s="161" t="s">
        <v>1228</v>
      </c>
      <c r="E253" s="149">
        <v>0</v>
      </c>
      <c r="F253" s="149">
        <v>266.83</v>
      </c>
      <c r="G253" s="122" t="s">
        <v>1274</v>
      </c>
    </row>
    <row r="254" spans="1:7" ht="21" customHeight="1">
      <c r="A254" s="152" t="s">
        <v>1206</v>
      </c>
      <c r="B254" s="153"/>
      <c r="C254" s="196"/>
      <c r="D254" s="172" t="s">
        <v>1207</v>
      </c>
      <c r="E254" s="142">
        <f>SUM(E255,E261,E264)</f>
        <v>666000</v>
      </c>
      <c r="F254" s="142">
        <f>SUM(F255,F261,F264)</f>
        <v>1572.29</v>
      </c>
      <c r="G254" s="110">
        <f t="shared" si="8"/>
        <v>0.23607957957957956</v>
      </c>
    </row>
    <row r="255" spans="1:7" s="135" customFormat="1" ht="18" customHeight="1">
      <c r="A255" s="156"/>
      <c r="B255" s="157" t="s">
        <v>1211</v>
      </c>
      <c r="C255" s="169"/>
      <c r="D255" s="160" t="s">
        <v>1212</v>
      </c>
      <c r="E255" s="159">
        <f>SUM(E256,E257,E258,E259,E260)</f>
        <v>666000</v>
      </c>
      <c r="F255" s="159">
        <f>SUM(F256,F257,F258,F259,F260)</f>
        <v>1548.18</v>
      </c>
      <c r="G255" s="116">
        <f t="shared" si="8"/>
        <v>0.23245945945945945</v>
      </c>
    </row>
    <row r="256" spans="1:7" s="135" customFormat="1" ht="30.75" customHeight="1">
      <c r="A256" s="150"/>
      <c r="B256" s="151"/>
      <c r="C256" s="148" t="s">
        <v>181</v>
      </c>
      <c r="D256" s="121" t="s">
        <v>950</v>
      </c>
      <c r="E256" s="149">
        <v>0</v>
      </c>
      <c r="F256" s="149">
        <v>691.74</v>
      </c>
      <c r="G256" s="122" t="s">
        <v>1274</v>
      </c>
    </row>
    <row r="257" spans="1:7" s="135" customFormat="1" ht="29.25" customHeight="1">
      <c r="A257" s="150"/>
      <c r="B257" s="151"/>
      <c r="C257" s="148" t="s">
        <v>949</v>
      </c>
      <c r="D257" s="136" t="s">
        <v>948</v>
      </c>
      <c r="E257" s="149">
        <v>0</v>
      </c>
      <c r="F257" s="149">
        <v>856.44</v>
      </c>
      <c r="G257" s="122" t="s">
        <v>1274</v>
      </c>
    </row>
    <row r="258" spans="1:7" s="127" customFormat="1" ht="52.5" customHeight="1" hidden="1">
      <c r="A258" s="156"/>
      <c r="B258" s="157"/>
      <c r="C258" s="151" t="s">
        <v>621</v>
      </c>
      <c r="D258" s="121" t="s">
        <v>625</v>
      </c>
      <c r="E258" s="149">
        <v>0</v>
      </c>
      <c r="F258" s="149"/>
      <c r="G258" s="122" t="e">
        <f t="shared" si="8"/>
        <v>#DIV/0!</v>
      </c>
    </row>
    <row r="259" spans="1:7" s="127" customFormat="1" ht="54" customHeight="1">
      <c r="A259" s="156"/>
      <c r="B259" s="157"/>
      <c r="C259" s="151" t="s">
        <v>622</v>
      </c>
      <c r="D259" s="121" t="s">
        <v>626</v>
      </c>
      <c r="E259" s="149">
        <v>333000</v>
      </c>
      <c r="F259" s="149">
        <v>0</v>
      </c>
      <c r="G259" s="122">
        <f t="shared" si="8"/>
        <v>0</v>
      </c>
    </row>
    <row r="260" spans="1:7" s="195" customFormat="1" ht="42" customHeight="1">
      <c r="A260" s="165"/>
      <c r="B260" s="166"/>
      <c r="C260" s="183" t="s">
        <v>255</v>
      </c>
      <c r="D260" s="184" t="s">
        <v>69</v>
      </c>
      <c r="E260" s="168">
        <v>333000</v>
      </c>
      <c r="F260" s="168">
        <v>0</v>
      </c>
      <c r="G260" s="17">
        <f t="shared" si="8"/>
        <v>0</v>
      </c>
    </row>
    <row r="261" spans="1:7" ht="19.5" customHeight="1">
      <c r="A261" s="156"/>
      <c r="B261" s="189" t="s">
        <v>1213</v>
      </c>
      <c r="C261" s="201"/>
      <c r="D261" s="202" t="s">
        <v>1214</v>
      </c>
      <c r="E261" s="192">
        <f>SUM(E262,E263)</f>
        <v>0</v>
      </c>
      <c r="F261" s="192">
        <f>SUM(F262,F263)</f>
        <v>24.11</v>
      </c>
      <c r="G261" s="139" t="s">
        <v>1274</v>
      </c>
    </row>
    <row r="262" spans="1:7" s="135" customFormat="1" ht="22.5" customHeight="1">
      <c r="A262" s="203"/>
      <c r="B262" s="1225"/>
      <c r="C262" s="1225" t="s">
        <v>180</v>
      </c>
      <c r="D262" s="1226" t="s">
        <v>1228</v>
      </c>
      <c r="E262" s="308">
        <v>0</v>
      </c>
      <c r="F262" s="308">
        <v>24.11</v>
      </c>
      <c r="G262" s="309" t="s">
        <v>1274</v>
      </c>
    </row>
    <row r="263" spans="1:7" ht="41.25" customHeight="1" hidden="1">
      <c r="A263" s="203"/>
      <c r="B263" s="204"/>
      <c r="C263" s="205" t="s">
        <v>95</v>
      </c>
      <c r="D263" s="307" t="s">
        <v>96</v>
      </c>
      <c r="E263" s="207">
        <v>0</v>
      </c>
      <c r="F263" s="207"/>
      <c r="G263" s="208" t="e">
        <f t="shared" si="8"/>
        <v>#DIV/0!</v>
      </c>
    </row>
    <row r="264" spans="1:7" ht="21.75" customHeight="1" hidden="1">
      <c r="A264" s="156"/>
      <c r="B264" s="189" t="s">
        <v>623</v>
      </c>
      <c r="C264" s="201"/>
      <c r="D264" s="202" t="s">
        <v>1042</v>
      </c>
      <c r="E264" s="192">
        <f>SUM(E265)</f>
        <v>0</v>
      </c>
      <c r="F264" s="192">
        <f>SUM(F265)</f>
        <v>0</v>
      </c>
      <c r="G264" s="139" t="e">
        <f t="shared" si="8"/>
        <v>#DIV/0!</v>
      </c>
    </row>
    <row r="265" spans="1:7" ht="44.25" customHeight="1" hidden="1">
      <c r="A265" s="203"/>
      <c r="B265" s="204"/>
      <c r="C265" s="205" t="s">
        <v>624</v>
      </c>
      <c r="D265" s="206" t="s">
        <v>627</v>
      </c>
      <c r="E265" s="207">
        <v>0</v>
      </c>
      <c r="F265" s="207"/>
      <c r="G265" s="208" t="e">
        <f t="shared" si="8"/>
        <v>#DIV/0!</v>
      </c>
    </row>
    <row r="266" spans="1:7" s="229" customFormat="1" ht="19.5" customHeight="1">
      <c r="A266" s="1386" t="s">
        <v>1227</v>
      </c>
      <c r="B266" s="1387"/>
      <c r="C266" s="1387"/>
      <c r="D266" s="1388"/>
      <c r="E266" s="227">
        <f>SUM(E267,E270,E283,E287,E295,E306,E310,E316,E330,E333,E326,E345,E359,E373)</f>
        <v>58078760</v>
      </c>
      <c r="F266" s="227">
        <f>SUM(F267,F270,F283,F287,F295,F306,F310,F316,F330,F333,F326,F345,F359,F373)</f>
        <v>30440010.740000002</v>
      </c>
      <c r="G266" s="228">
        <f aca="true" t="shared" si="9" ref="G266:G280">F266/E266*100</f>
        <v>52.411605791859195</v>
      </c>
    </row>
    <row r="267" spans="1:7" s="230" customFormat="1" ht="16.5" customHeight="1" hidden="1">
      <c r="A267" s="106" t="s">
        <v>1041</v>
      </c>
      <c r="B267" s="107"/>
      <c r="C267" s="107"/>
      <c r="D267" s="108" t="s">
        <v>492</v>
      </c>
      <c r="E267" s="109">
        <f>SUM(E268)</f>
        <v>0</v>
      </c>
      <c r="F267" s="109">
        <f>SUM(F268)</f>
        <v>0</v>
      </c>
      <c r="G267" s="110" t="e">
        <f t="shared" si="9"/>
        <v>#DIV/0!</v>
      </c>
    </row>
    <row r="268" spans="1:7" s="232" customFormat="1" ht="30.75" customHeight="1" hidden="1">
      <c r="A268" s="112"/>
      <c r="B268" s="113" t="s">
        <v>149</v>
      </c>
      <c r="C268" s="113"/>
      <c r="D268" s="231" t="s">
        <v>151</v>
      </c>
      <c r="E268" s="115">
        <f>SUM(E269)</f>
        <v>0</v>
      </c>
      <c r="F268" s="115">
        <f>SUM(F269)</f>
        <v>0</v>
      </c>
      <c r="G268" s="116" t="e">
        <f t="shared" si="9"/>
        <v>#DIV/0!</v>
      </c>
    </row>
    <row r="269" spans="1:7" s="232" customFormat="1" ht="59.25" customHeight="1" hidden="1">
      <c r="A269" s="118"/>
      <c r="B269" s="119"/>
      <c r="C269" s="119" t="s">
        <v>150</v>
      </c>
      <c r="D269" s="136" t="s">
        <v>31</v>
      </c>
      <c r="E269" s="16">
        <v>0</v>
      </c>
      <c r="F269" s="16">
        <v>0</v>
      </c>
      <c r="G269" s="122" t="e">
        <f t="shared" si="9"/>
        <v>#DIV/0!</v>
      </c>
    </row>
    <row r="270" spans="1:7" s="233" customFormat="1" ht="21.75" customHeight="1">
      <c r="A270" s="106" t="s">
        <v>1046</v>
      </c>
      <c r="B270" s="124"/>
      <c r="C270" s="124"/>
      <c r="D270" s="140" t="s">
        <v>1047</v>
      </c>
      <c r="E270" s="126">
        <f>SUM(E271,E275)</f>
        <v>1813000</v>
      </c>
      <c r="F270" s="126">
        <f>SUM(F271,F275)</f>
        <v>271601.81</v>
      </c>
      <c r="G270" s="110">
        <f t="shared" si="9"/>
        <v>14.980794815223387</v>
      </c>
    </row>
    <row r="271" spans="1:7" s="232" customFormat="1" ht="19.5" customHeight="1">
      <c r="A271" s="112"/>
      <c r="B271" s="128" t="s">
        <v>1076</v>
      </c>
      <c r="C271" s="128"/>
      <c r="D271" s="114" t="s">
        <v>921</v>
      </c>
      <c r="E271" s="130">
        <f>SUM(E273)</f>
        <v>0</v>
      </c>
      <c r="F271" s="130">
        <f>SUM(F272,F273)</f>
        <v>4461.52</v>
      </c>
      <c r="G271" s="116" t="s">
        <v>1274</v>
      </c>
    </row>
    <row r="272" spans="1:7" s="147" customFormat="1" ht="30" customHeight="1">
      <c r="A272" s="118"/>
      <c r="B272" s="132"/>
      <c r="C272" s="132" t="s">
        <v>181</v>
      </c>
      <c r="D272" s="136" t="s">
        <v>950</v>
      </c>
      <c r="E272" s="134">
        <v>0</v>
      </c>
      <c r="F272" s="134">
        <v>4461.52</v>
      </c>
      <c r="G272" s="116" t="s">
        <v>1274</v>
      </c>
    </row>
    <row r="273" spans="1:7" s="147" customFormat="1" ht="54" customHeight="1" hidden="1">
      <c r="A273" s="118"/>
      <c r="B273" s="132"/>
      <c r="C273" s="132" t="s">
        <v>920</v>
      </c>
      <c r="D273" s="136" t="s">
        <v>1075</v>
      </c>
      <c r="E273" s="134">
        <v>0</v>
      </c>
      <c r="F273" s="134">
        <v>0</v>
      </c>
      <c r="G273" s="122" t="e">
        <f t="shared" si="9"/>
        <v>#DIV/0!</v>
      </c>
    </row>
    <row r="274" spans="1:7" s="147" customFormat="1" ht="65.25" customHeight="1" hidden="1">
      <c r="A274" s="118"/>
      <c r="B274" s="132"/>
      <c r="C274" s="132"/>
      <c r="D274" s="136" t="s">
        <v>385</v>
      </c>
      <c r="E274" s="134"/>
      <c r="F274" s="134"/>
      <c r="G274" s="116"/>
    </row>
    <row r="275" spans="1:7" s="232" customFormat="1" ht="39" customHeight="1">
      <c r="A275" s="112"/>
      <c r="B275" s="128" t="s">
        <v>1048</v>
      </c>
      <c r="C275" s="128"/>
      <c r="D275" s="114" t="s">
        <v>245</v>
      </c>
      <c r="E275" s="130">
        <f>SUM(E276,E277,E278,E279,E280,E282)</f>
        <v>1813000</v>
      </c>
      <c r="F275" s="130">
        <f>SUM(F276,F277,F278,F279,F280,F282)</f>
        <v>267140.29</v>
      </c>
      <c r="G275" s="116">
        <f t="shared" si="9"/>
        <v>14.734709873138444</v>
      </c>
    </row>
    <row r="276" spans="1:7" s="147" customFormat="1" ht="27" customHeight="1" hidden="1">
      <c r="A276" s="118"/>
      <c r="B276" s="132"/>
      <c r="C276" s="132" t="s">
        <v>181</v>
      </c>
      <c r="D276" s="136" t="s">
        <v>950</v>
      </c>
      <c r="E276" s="134">
        <v>0</v>
      </c>
      <c r="F276" s="134"/>
      <c r="G276" s="122" t="e">
        <f t="shared" si="9"/>
        <v>#DIV/0!</v>
      </c>
    </row>
    <row r="277" spans="1:7" s="147" customFormat="1" ht="27.75" customHeight="1">
      <c r="A277" s="118"/>
      <c r="B277" s="132"/>
      <c r="C277" s="132" t="s">
        <v>949</v>
      </c>
      <c r="D277" s="136" t="s">
        <v>948</v>
      </c>
      <c r="E277" s="134">
        <v>0</v>
      </c>
      <c r="F277" s="134">
        <v>267140.29</v>
      </c>
      <c r="G277" s="122" t="s">
        <v>1274</v>
      </c>
    </row>
    <row r="278" spans="1:7" s="147" customFormat="1" ht="18" customHeight="1" hidden="1">
      <c r="A278" s="118"/>
      <c r="B278" s="132"/>
      <c r="C278" s="132" t="s">
        <v>180</v>
      </c>
      <c r="D278" s="136" t="s">
        <v>1228</v>
      </c>
      <c r="E278" s="134">
        <v>0</v>
      </c>
      <c r="F278" s="134"/>
      <c r="G278" s="116" t="s">
        <v>1274</v>
      </c>
    </row>
    <row r="279" spans="1:7" s="147" customFormat="1" ht="51" customHeight="1">
      <c r="A279" s="118"/>
      <c r="B279" s="132"/>
      <c r="C279" s="132" t="s">
        <v>260</v>
      </c>
      <c r="D279" s="136" t="s">
        <v>296</v>
      </c>
      <c r="E279" s="16">
        <v>1813000</v>
      </c>
      <c r="F279" s="16">
        <v>0</v>
      </c>
      <c r="G279" s="17">
        <f t="shared" si="9"/>
        <v>0</v>
      </c>
    </row>
    <row r="280" spans="1:7" s="147" customFormat="1" ht="57" customHeight="1" hidden="1">
      <c r="A280" s="118"/>
      <c r="B280" s="144"/>
      <c r="C280" s="132" t="s">
        <v>831</v>
      </c>
      <c r="D280" s="136" t="s">
        <v>473</v>
      </c>
      <c r="E280" s="16">
        <v>0</v>
      </c>
      <c r="F280" s="16"/>
      <c r="G280" s="17" t="e">
        <f t="shared" si="9"/>
        <v>#DIV/0!</v>
      </c>
    </row>
    <row r="281" spans="1:7" s="147" customFormat="1" ht="30" customHeight="1" hidden="1">
      <c r="A281" s="118"/>
      <c r="B281" s="144"/>
      <c r="C281" s="132"/>
      <c r="D281" s="136" t="s">
        <v>474</v>
      </c>
      <c r="E281" s="16"/>
      <c r="F281" s="16"/>
      <c r="G281" s="122"/>
    </row>
    <row r="282" spans="1:7" s="147" customFormat="1" ht="40.5" customHeight="1" hidden="1">
      <c r="A282" s="118"/>
      <c r="B282" s="144"/>
      <c r="C282" s="132" t="s">
        <v>1197</v>
      </c>
      <c r="D282" s="136" t="s">
        <v>1199</v>
      </c>
      <c r="E282" s="16">
        <v>0</v>
      </c>
      <c r="F282" s="16"/>
      <c r="G282" s="122" t="e">
        <f>F282/E282*100</f>
        <v>#DIV/0!</v>
      </c>
    </row>
    <row r="283" spans="1:7" s="233" customFormat="1" ht="20.25" customHeight="1">
      <c r="A283" s="106" t="s">
        <v>1053</v>
      </c>
      <c r="B283" s="234"/>
      <c r="C283" s="124"/>
      <c r="D283" s="125" t="s">
        <v>1054</v>
      </c>
      <c r="E283" s="126">
        <f>SUM(E284)</f>
        <v>66500</v>
      </c>
      <c r="F283" s="126">
        <f>SUM(F284)</f>
        <v>20331</v>
      </c>
      <c r="G283" s="110">
        <f>F283/E283*100</f>
        <v>30.57293233082707</v>
      </c>
    </row>
    <row r="284" spans="1:7" s="232" customFormat="1" ht="21" customHeight="1">
      <c r="A284" s="118"/>
      <c r="B284" s="143" t="s">
        <v>1055</v>
      </c>
      <c r="C284" s="143"/>
      <c r="D284" s="235" t="s">
        <v>1056</v>
      </c>
      <c r="E284" s="137">
        <f>SUM(E285,E286)</f>
        <v>66500</v>
      </c>
      <c r="F284" s="137">
        <f>SUM(F285,F286)</f>
        <v>20331</v>
      </c>
      <c r="G284" s="139">
        <f>F284/E284*100</f>
        <v>30.57293233082707</v>
      </c>
    </row>
    <row r="285" spans="1:7" s="239" customFormat="1" ht="57" customHeight="1">
      <c r="A285" s="236"/>
      <c r="B285" s="143"/>
      <c r="C285" s="237">
        <v>2110</v>
      </c>
      <c r="D285" s="238" t="s">
        <v>31</v>
      </c>
      <c r="E285" s="138">
        <v>66500</v>
      </c>
      <c r="F285" s="138">
        <v>20331</v>
      </c>
      <c r="G285" s="17">
        <f>F285/E285*100</f>
        <v>30.57293233082707</v>
      </c>
    </row>
    <row r="286" spans="1:7" s="239" customFormat="1" ht="57" customHeight="1" hidden="1">
      <c r="A286" s="236"/>
      <c r="B286" s="143"/>
      <c r="C286" s="237">
        <v>6410</v>
      </c>
      <c r="D286" s="238" t="s">
        <v>938</v>
      </c>
      <c r="E286" s="138">
        <v>0</v>
      </c>
      <c r="F286" s="138">
        <v>0</v>
      </c>
      <c r="G286" s="17" t="e">
        <f>F286/E286*100</f>
        <v>#DIV/0!</v>
      </c>
    </row>
    <row r="287" spans="1:7" s="232" customFormat="1" ht="19.5" customHeight="1">
      <c r="A287" s="106" t="s">
        <v>1057</v>
      </c>
      <c r="B287" s="124"/>
      <c r="C287" s="240"/>
      <c r="D287" s="125" t="s">
        <v>1058</v>
      </c>
      <c r="E287" s="126">
        <f>SUM(E288,E290,E293)</f>
        <v>445895</v>
      </c>
      <c r="F287" s="126">
        <f>SUM(F288,F290,F293)</f>
        <v>219223</v>
      </c>
      <c r="G287" s="110">
        <f aca="true" t="shared" si="10" ref="G287:G293">F287/E287*100</f>
        <v>49.16471366577333</v>
      </c>
    </row>
    <row r="288" spans="1:7" s="232" customFormat="1" ht="19.5" customHeight="1">
      <c r="A288" s="112"/>
      <c r="B288" s="128" t="s">
        <v>1059</v>
      </c>
      <c r="C288" s="128"/>
      <c r="D288" s="129" t="s">
        <v>33</v>
      </c>
      <c r="E288" s="130">
        <f>E289</f>
        <v>45000</v>
      </c>
      <c r="F288" s="130">
        <f>F289</f>
        <v>7500</v>
      </c>
      <c r="G288" s="116">
        <f t="shared" si="10"/>
        <v>16.666666666666664</v>
      </c>
    </row>
    <row r="289" spans="1:7" s="147" customFormat="1" ht="54.75" customHeight="1">
      <c r="A289" s="118"/>
      <c r="B289" s="132"/>
      <c r="C289" s="132" t="s">
        <v>150</v>
      </c>
      <c r="D289" s="136" t="s">
        <v>31</v>
      </c>
      <c r="E289" s="134">
        <v>45000</v>
      </c>
      <c r="F289" s="134">
        <v>7500</v>
      </c>
      <c r="G289" s="122">
        <f t="shared" si="10"/>
        <v>16.666666666666664</v>
      </c>
    </row>
    <row r="290" spans="1:7" s="232" customFormat="1" ht="19.5" customHeight="1">
      <c r="A290" s="112"/>
      <c r="B290" s="128" t="s">
        <v>1060</v>
      </c>
      <c r="C290" s="128"/>
      <c r="D290" s="114" t="s">
        <v>1061</v>
      </c>
      <c r="E290" s="130">
        <f>SUM(E291,E292)</f>
        <v>11000</v>
      </c>
      <c r="F290" s="130">
        <f>SUM(F291,F292)</f>
        <v>1832</v>
      </c>
      <c r="G290" s="116">
        <f t="shared" si="10"/>
        <v>16.654545454545456</v>
      </c>
    </row>
    <row r="291" spans="1:7" s="147" customFormat="1" ht="28.5" customHeight="1" hidden="1">
      <c r="A291" s="118"/>
      <c r="B291" s="132"/>
      <c r="C291" s="132" t="s">
        <v>181</v>
      </c>
      <c r="D291" s="136" t="s">
        <v>950</v>
      </c>
      <c r="E291" s="134"/>
      <c r="F291" s="134"/>
      <c r="G291" s="122" t="s">
        <v>1274</v>
      </c>
    </row>
    <row r="292" spans="1:7" s="147" customFormat="1" ht="60.75" customHeight="1">
      <c r="A292" s="118"/>
      <c r="B292" s="132"/>
      <c r="C292" s="132" t="s">
        <v>150</v>
      </c>
      <c r="D292" s="136" t="s">
        <v>31</v>
      </c>
      <c r="E292" s="134">
        <v>11000</v>
      </c>
      <c r="F292" s="134">
        <v>1832</v>
      </c>
      <c r="G292" s="122">
        <f t="shared" si="10"/>
        <v>16.654545454545456</v>
      </c>
    </row>
    <row r="293" spans="1:7" s="232" customFormat="1" ht="19.5" customHeight="1">
      <c r="A293" s="112"/>
      <c r="B293" s="128" t="s">
        <v>1062</v>
      </c>
      <c r="C293" s="128"/>
      <c r="D293" s="129" t="s">
        <v>1066</v>
      </c>
      <c r="E293" s="130">
        <f>SUM(E294)</f>
        <v>389895</v>
      </c>
      <c r="F293" s="130">
        <f>SUM(F294)</f>
        <v>209891</v>
      </c>
      <c r="G293" s="116">
        <f t="shared" si="10"/>
        <v>53.83269854704472</v>
      </c>
    </row>
    <row r="294" spans="1:7" s="147" customFormat="1" ht="60" customHeight="1">
      <c r="A294" s="118"/>
      <c r="B294" s="132"/>
      <c r="C294" s="132" t="s">
        <v>150</v>
      </c>
      <c r="D294" s="136" t="s">
        <v>31</v>
      </c>
      <c r="E294" s="134">
        <v>389895</v>
      </c>
      <c r="F294" s="134">
        <v>209891</v>
      </c>
      <c r="G294" s="122">
        <f>F294/E294*100</f>
        <v>53.83269854704472</v>
      </c>
    </row>
    <row r="295" spans="1:7" s="233" customFormat="1" ht="19.5" customHeight="1">
      <c r="A295" s="106" t="s">
        <v>1069</v>
      </c>
      <c r="B295" s="124"/>
      <c r="C295" s="124"/>
      <c r="D295" s="125" t="s">
        <v>1070</v>
      </c>
      <c r="E295" s="126">
        <f>SUM(E296,E298,E303)</f>
        <v>779876</v>
      </c>
      <c r="F295" s="126">
        <f>SUM(F296,F298,F303)</f>
        <v>799446.26</v>
      </c>
      <c r="G295" s="110">
        <f>F295/E295*100</f>
        <v>102.5094066236171</v>
      </c>
    </row>
    <row r="296" spans="1:7" s="232" customFormat="1" ht="19.5" customHeight="1">
      <c r="A296" s="112"/>
      <c r="B296" s="128" t="s">
        <v>1071</v>
      </c>
      <c r="C296" s="128"/>
      <c r="D296" s="129" t="s">
        <v>1077</v>
      </c>
      <c r="E296" s="130">
        <f>SUM(E297)</f>
        <v>82100</v>
      </c>
      <c r="F296" s="130">
        <f>SUM(F297)</f>
        <v>40696</v>
      </c>
      <c r="G296" s="116">
        <f>F296/E296*100</f>
        <v>49.568818514007305</v>
      </c>
    </row>
    <row r="297" spans="1:7" s="147" customFormat="1" ht="59.25" customHeight="1">
      <c r="A297" s="118"/>
      <c r="B297" s="132"/>
      <c r="C297" s="132" t="s">
        <v>150</v>
      </c>
      <c r="D297" s="136" t="s">
        <v>31</v>
      </c>
      <c r="E297" s="134">
        <v>82100</v>
      </c>
      <c r="F297" s="134">
        <v>40696</v>
      </c>
      <c r="G297" s="122">
        <f>F297/E297*100</f>
        <v>49.568818514007305</v>
      </c>
    </row>
    <row r="298" spans="1:7" s="232" customFormat="1" ht="19.5" customHeight="1">
      <c r="A298" s="112"/>
      <c r="B298" s="128" t="s">
        <v>1078</v>
      </c>
      <c r="C298" s="128"/>
      <c r="D298" s="129" t="s">
        <v>1079</v>
      </c>
      <c r="E298" s="130">
        <f>SUM(E299,E300,E301,E302)</f>
        <v>677776</v>
      </c>
      <c r="F298" s="130">
        <f>SUM(F299,F300,F301,F302)</f>
        <v>739960.26</v>
      </c>
      <c r="G298" s="116">
        <f>F298/E298*100</f>
        <v>109.17475095016643</v>
      </c>
    </row>
    <row r="299" spans="1:7" s="232" customFormat="1" ht="19.5" customHeight="1">
      <c r="A299" s="118"/>
      <c r="B299" s="132"/>
      <c r="C299" s="132" t="s">
        <v>182</v>
      </c>
      <c r="D299" s="136" t="s">
        <v>1225</v>
      </c>
      <c r="E299" s="134">
        <v>0</v>
      </c>
      <c r="F299" s="134">
        <v>1050</v>
      </c>
      <c r="G299" s="122" t="s">
        <v>1274</v>
      </c>
    </row>
    <row r="300" spans="1:7" s="232" customFormat="1" ht="69" customHeight="1">
      <c r="A300" s="118"/>
      <c r="B300" s="132"/>
      <c r="C300" s="132" t="s">
        <v>183</v>
      </c>
      <c r="D300" s="136" t="s">
        <v>283</v>
      </c>
      <c r="E300" s="134">
        <v>20026</v>
      </c>
      <c r="F300" s="134">
        <v>10605.34</v>
      </c>
      <c r="G300" s="122">
        <f aca="true" t="shared" si="11" ref="G300:G311">F300/E300*100</f>
        <v>52.9578547887746</v>
      </c>
    </row>
    <row r="301" spans="1:8" s="232" customFormat="1" ht="20.25" customHeight="1">
      <c r="A301" s="118"/>
      <c r="B301" s="132"/>
      <c r="C301" s="132" t="s">
        <v>179</v>
      </c>
      <c r="D301" s="133" t="s">
        <v>1284</v>
      </c>
      <c r="E301" s="134">
        <v>0</v>
      </c>
      <c r="F301" s="134">
        <v>178.46</v>
      </c>
      <c r="G301" s="122" t="s">
        <v>1274</v>
      </c>
      <c r="H301" s="147"/>
    </row>
    <row r="302" spans="1:7" s="232" customFormat="1" ht="51.75" customHeight="1">
      <c r="A302" s="118"/>
      <c r="B302" s="132"/>
      <c r="C302" s="132" t="s">
        <v>261</v>
      </c>
      <c r="D302" s="136" t="s">
        <v>281</v>
      </c>
      <c r="E302" s="134">
        <v>657750</v>
      </c>
      <c r="F302" s="134">
        <v>728126.46</v>
      </c>
      <c r="G302" s="122">
        <f t="shared" si="11"/>
        <v>110.69957582668187</v>
      </c>
    </row>
    <row r="303" spans="1:7" s="232" customFormat="1" ht="19.5" customHeight="1">
      <c r="A303" s="112"/>
      <c r="B303" s="128" t="s">
        <v>1081</v>
      </c>
      <c r="C303" s="240"/>
      <c r="D303" s="129" t="s">
        <v>1082</v>
      </c>
      <c r="E303" s="130">
        <f>E304+E305</f>
        <v>20000</v>
      </c>
      <c r="F303" s="130">
        <f>F304+F305</f>
        <v>18790</v>
      </c>
      <c r="G303" s="116">
        <f t="shared" si="11"/>
        <v>93.95</v>
      </c>
    </row>
    <row r="304" spans="1:7" s="147" customFormat="1" ht="56.25" customHeight="1">
      <c r="A304" s="118"/>
      <c r="B304" s="132"/>
      <c r="C304" s="241">
        <v>2110</v>
      </c>
      <c r="D304" s="136" t="s">
        <v>31</v>
      </c>
      <c r="E304" s="134">
        <v>17000</v>
      </c>
      <c r="F304" s="134">
        <v>17000</v>
      </c>
      <c r="G304" s="122">
        <f t="shared" si="11"/>
        <v>100</v>
      </c>
    </row>
    <row r="305" spans="1:7" s="147" customFormat="1" ht="56.25" customHeight="1">
      <c r="A305" s="118"/>
      <c r="B305" s="132"/>
      <c r="C305" s="241">
        <v>2120</v>
      </c>
      <c r="D305" s="136" t="s">
        <v>1239</v>
      </c>
      <c r="E305" s="134">
        <v>3000</v>
      </c>
      <c r="F305" s="134">
        <v>1790</v>
      </c>
      <c r="G305" s="122">
        <f t="shared" si="11"/>
        <v>59.66666666666667</v>
      </c>
    </row>
    <row r="306" spans="1:7" s="232" customFormat="1" ht="29.25" customHeight="1">
      <c r="A306" s="106" t="s">
        <v>1085</v>
      </c>
      <c r="B306" s="124"/>
      <c r="C306" s="240"/>
      <c r="D306" s="140" t="s">
        <v>1172</v>
      </c>
      <c r="E306" s="126">
        <f>SUM(E307)</f>
        <v>3810449</v>
      </c>
      <c r="F306" s="126">
        <f>SUM(F307)</f>
        <v>2322640</v>
      </c>
      <c r="G306" s="110">
        <f t="shared" si="11"/>
        <v>60.95449643860867</v>
      </c>
    </row>
    <row r="307" spans="1:7" s="232" customFormat="1" ht="19.5" customHeight="1">
      <c r="A307" s="112"/>
      <c r="B307" s="128" t="s">
        <v>1086</v>
      </c>
      <c r="C307" s="240"/>
      <c r="D307" s="114" t="s">
        <v>44</v>
      </c>
      <c r="E307" s="130">
        <f>SUM(E308,E309)</f>
        <v>3810449</v>
      </c>
      <c r="F307" s="130">
        <f>SUM(F308,F309)</f>
        <v>2322640</v>
      </c>
      <c r="G307" s="116">
        <f t="shared" si="11"/>
        <v>60.95449643860867</v>
      </c>
    </row>
    <row r="308" spans="1:7" s="147" customFormat="1" ht="56.25" customHeight="1">
      <c r="A308" s="118"/>
      <c r="B308" s="119"/>
      <c r="C308" s="242">
        <v>2110</v>
      </c>
      <c r="D308" s="136" t="s">
        <v>31</v>
      </c>
      <c r="E308" s="146">
        <v>3810449</v>
      </c>
      <c r="F308" s="146">
        <v>2322640</v>
      </c>
      <c r="G308" s="122">
        <f t="shared" si="11"/>
        <v>60.95449643860867</v>
      </c>
    </row>
    <row r="309" spans="1:7" s="147" customFormat="1" ht="57.75" customHeight="1" hidden="1">
      <c r="A309" s="118"/>
      <c r="B309" s="119"/>
      <c r="C309" s="242">
        <v>6410</v>
      </c>
      <c r="D309" s="136" t="s">
        <v>938</v>
      </c>
      <c r="E309" s="146">
        <v>0</v>
      </c>
      <c r="F309" s="146"/>
      <c r="G309" s="122" t="e">
        <f t="shared" si="11"/>
        <v>#DIV/0!</v>
      </c>
    </row>
    <row r="310" spans="1:7" s="233" customFormat="1" ht="69" customHeight="1">
      <c r="A310" s="243" t="s">
        <v>23</v>
      </c>
      <c r="B310" s="124"/>
      <c r="C310" s="124"/>
      <c r="D310" s="140" t="s">
        <v>483</v>
      </c>
      <c r="E310" s="126">
        <f>SUM(E311,E313)</f>
        <v>7626290</v>
      </c>
      <c r="F310" s="126">
        <f>SUM(F311,F313)</f>
        <v>3122448.3</v>
      </c>
      <c r="G310" s="110">
        <f t="shared" si="11"/>
        <v>40.94321485283145</v>
      </c>
    </row>
    <row r="311" spans="1:7" s="232" customFormat="1" ht="41.25" customHeight="1">
      <c r="A311" s="112"/>
      <c r="B311" s="128" t="s">
        <v>1253</v>
      </c>
      <c r="C311" s="128"/>
      <c r="D311" s="114" t="s">
        <v>50</v>
      </c>
      <c r="E311" s="130">
        <f>SUM(E312)</f>
        <v>678740</v>
      </c>
      <c r="F311" s="130">
        <f>SUM(F312)</f>
        <v>314629.5</v>
      </c>
      <c r="G311" s="116">
        <f t="shared" si="11"/>
        <v>46.35493708931255</v>
      </c>
    </row>
    <row r="312" spans="1:7" s="147" customFormat="1" ht="19.5" customHeight="1">
      <c r="A312" s="118"/>
      <c r="B312" s="132"/>
      <c r="C312" s="132" t="s">
        <v>248</v>
      </c>
      <c r="D312" s="133" t="s">
        <v>1238</v>
      </c>
      <c r="E312" s="134">
        <v>678740</v>
      </c>
      <c r="F312" s="134">
        <v>314629.5</v>
      </c>
      <c r="G312" s="122">
        <f aca="true" t="shared" si="12" ref="G312:G330">F312/E312*100</f>
        <v>46.35493708931255</v>
      </c>
    </row>
    <row r="313" spans="1:7" s="232" customFormat="1" ht="30.75" customHeight="1">
      <c r="A313" s="112"/>
      <c r="B313" s="128" t="s">
        <v>1276</v>
      </c>
      <c r="C313" s="128"/>
      <c r="D313" s="114" t="s">
        <v>148</v>
      </c>
      <c r="E313" s="130">
        <f>+E314+E315</f>
        <v>6947550</v>
      </c>
      <c r="F313" s="130">
        <f>F314+F315</f>
        <v>2807818.8</v>
      </c>
      <c r="G313" s="116">
        <f t="shared" si="12"/>
        <v>40.41451734784204</v>
      </c>
    </row>
    <row r="314" spans="1:7" s="147" customFormat="1" ht="19.5" customHeight="1">
      <c r="A314" s="118"/>
      <c r="B314" s="132"/>
      <c r="C314" s="132" t="s">
        <v>252</v>
      </c>
      <c r="D314" s="136" t="s">
        <v>1270</v>
      </c>
      <c r="E314" s="134">
        <v>6747550</v>
      </c>
      <c r="F314" s="134">
        <v>2722486</v>
      </c>
      <c r="G314" s="122">
        <f t="shared" si="12"/>
        <v>40.3477706723181</v>
      </c>
    </row>
    <row r="315" spans="1:7" s="147" customFormat="1" ht="19.5" customHeight="1">
      <c r="A315" s="118"/>
      <c r="B315" s="132"/>
      <c r="C315" s="132" t="s">
        <v>253</v>
      </c>
      <c r="D315" s="133" t="s">
        <v>1275</v>
      </c>
      <c r="E315" s="134">
        <v>200000</v>
      </c>
      <c r="F315" s="134">
        <v>85332.8</v>
      </c>
      <c r="G315" s="122">
        <f t="shared" si="12"/>
        <v>42.666399999999996</v>
      </c>
    </row>
    <row r="316" spans="1:7" s="233" customFormat="1" ht="19.5" customHeight="1">
      <c r="A316" s="106" t="s">
        <v>1090</v>
      </c>
      <c r="B316" s="124"/>
      <c r="C316" s="124"/>
      <c r="D316" s="125" t="s">
        <v>1091</v>
      </c>
      <c r="E316" s="126">
        <f>SUM(E317,E319,E322,E324)</f>
        <v>41008255</v>
      </c>
      <c r="F316" s="126">
        <f>SUM(F317,F319,F322,F324)</f>
        <v>22496049</v>
      </c>
      <c r="G316" s="110">
        <f t="shared" si="12"/>
        <v>54.85736713254441</v>
      </c>
    </row>
    <row r="317" spans="1:7" s="232" customFormat="1" ht="33.75" customHeight="1">
      <c r="A317" s="112"/>
      <c r="B317" s="128" t="s">
        <v>1277</v>
      </c>
      <c r="C317" s="128"/>
      <c r="D317" s="114" t="s">
        <v>1279</v>
      </c>
      <c r="E317" s="130">
        <f>E318</f>
        <v>15514899</v>
      </c>
      <c r="F317" s="130">
        <f>F318</f>
        <v>9749371</v>
      </c>
      <c r="G317" s="116">
        <f t="shared" si="12"/>
        <v>62.83876549889239</v>
      </c>
    </row>
    <row r="318" spans="1:7" s="233" customFormat="1" ht="19.5" customHeight="1">
      <c r="A318" s="106"/>
      <c r="B318" s="124"/>
      <c r="C318" s="132" t="s">
        <v>254</v>
      </c>
      <c r="D318" s="136" t="s">
        <v>45</v>
      </c>
      <c r="E318" s="134">
        <v>15514899</v>
      </c>
      <c r="F318" s="134">
        <v>9749371</v>
      </c>
      <c r="G318" s="122">
        <f t="shared" si="12"/>
        <v>62.83876549889239</v>
      </c>
    </row>
    <row r="319" spans="1:7" s="232" customFormat="1" ht="30" customHeight="1">
      <c r="A319" s="112"/>
      <c r="B319" s="128" t="s">
        <v>1281</v>
      </c>
      <c r="C319" s="128"/>
      <c r="D319" s="114" t="s">
        <v>486</v>
      </c>
      <c r="E319" s="130">
        <f>SUM(E321,E320)</f>
        <v>22000000</v>
      </c>
      <c r="F319" s="130">
        <f>SUM(F321,F320)</f>
        <v>11000000</v>
      </c>
      <c r="G319" s="116">
        <f t="shared" si="12"/>
        <v>50</v>
      </c>
    </row>
    <row r="320" spans="1:7" s="147" customFormat="1" ht="55.5" customHeight="1">
      <c r="A320" s="118"/>
      <c r="B320" s="132"/>
      <c r="C320" s="132" t="s">
        <v>262</v>
      </c>
      <c r="D320" s="136" t="s">
        <v>115</v>
      </c>
      <c r="E320" s="134">
        <v>22000000</v>
      </c>
      <c r="F320" s="134">
        <v>11000000</v>
      </c>
      <c r="G320" s="122">
        <f t="shared" si="12"/>
        <v>50</v>
      </c>
    </row>
    <row r="321" spans="1:7" s="147" customFormat="1" ht="53.25" customHeight="1" hidden="1">
      <c r="A321" s="118"/>
      <c r="B321" s="132"/>
      <c r="C321" s="132" t="s">
        <v>435</v>
      </c>
      <c r="D321" s="136" t="s">
        <v>393</v>
      </c>
      <c r="E321" s="134">
        <v>0</v>
      </c>
      <c r="F321" s="134"/>
      <c r="G321" s="122" t="e">
        <f>F321/E321*100</f>
        <v>#DIV/0!</v>
      </c>
    </row>
    <row r="322" spans="1:7" s="232" customFormat="1" ht="26.25" customHeight="1">
      <c r="A322" s="112"/>
      <c r="B322" s="128" t="s">
        <v>438</v>
      </c>
      <c r="C322" s="128"/>
      <c r="D322" s="114" t="s">
        <v>441</v>
      </c>
      <c r="E322" s="130">
        <f>SUM(E323)</f>
        <v>7357</v>
      </c>
      <c r="F322" s="130">
        <f>SUM(F323)</f>
        <v>3678</v>
      </c>
      <c r="G322" s="116">
        <f>F322/E322*100</f>
        <v>49.99320375152916</v>
      </c>
    </row>
    <row r="323" spans="1:7" s="147" customFormat="1" ht="19.5" customHeight="1">
      <c r="A323" s="118"/>
      <c r="B323" s="132"/>
      <c r="C323" s="132" t="s">
        <v>254</v>
      </c>
      <c r="D323" s="136" t="s">
        <v>45</v>
      </c>
      <c r="E323" s="134">
        <v>7357</v>
      </c>
      <c r="F323" s="134">
        <v>3678</v>
      </c>
      <c r="G323" s="122">
        <f>F323/E323*100</f>
        <v>49.99320375152916</v>
      </c>
    </row>
    <row r="324" spans="1:7" s="232" customFormat="1" ht="25.5" customHeight="1">
      <c r="A324" s="112"/>
      <c r="B324" s="128" t="s">
        <v>263</v>
      </c>
      <c r="C324" s="197"/>
      <c r="D324" s="114" t="s">
        <v>279</v>
      </c>
      <c r="E324" s="130">
        <f>E325</f>
        <v>3485999</v>
      </c>
      <c r="F324" s="130">
        <f>F325</f>
        <v>1743000</v>
      </c>
      <c r="G324" s="116">
        <f t="shared" si="12"/>
        <v>50.00001434309075</v>
      </c>
    </row>
    <row r="325" spans="1:7" s="147" customFormat="1" ht="21" customHeight="1">
      <c r="A325" s="118"/>
      <c r="B325" s="132"/>
      <c r="C325" s="198" t="s">
        <v>254</v>
      </c>
      <c r="D325" s="244" t="s">
        <v>1280</v>
      </c>
      <c r="E325" s="134">
        <v>3485999</v>
      </c>
      <c r="F325" s="134">
        <v>1743000</v>
      </c>
      <c r="G325" s="122">
        <f t="shared" si="12"/>
        <v>50.00001434309075</v>
      </c>
    </row>
    <row r="326" spans="1:7" s="232" customFormat="1" ht="19.5" customHeight="1" hidden="1">
      <c r="A326" s="106" t="s">
        <v>1092</v>
      </c>
      <c r="B326" s="124"/>
      <c r="C326" s="240"/>
      <c r="D326" s="125" t="s">
        <v>1093</v>
      </c>
      <c r="E326" s="126">
        <f>SUM(E327)</f>
        <v>0</v>
      </c>
      <c r="F326" s="126">
        <f>SUM(F327)</f>
        <v>0</v>
      </c>
      <c r="G326" s="110" t="e">
        <f>F326/E326*100</f>
        <v>#DIV/0!</v>
      </c>
    </row>
    <row r="327" spans="1:7" s="232" customFormat="1" ht="21" customHeight="1" hidden="1">
      <c r="A327" s="112"/>
      <c r="B327" s="197" t="s">
        <v>585</v>
      </c>
      <c r="C327" s="240"/>
      <c r="D327" s="114" t="s">
        <v>1042</v>
      </c>
      <c r="E327" s="130">
        <f>SUM(E328,E329)</f>
        <v>0</v>
      </c>
      <c r="F327" s="130">
        <f>SUM(F328,F329)</f>
        <v>0</v>
      </c>
      <c r="G327" s="116" t="e">
        <f>F327/E327*100</f>
        <v>#DIV/0!</v>
      </c>
    </row>
    <row r="328" spans="1:7" s="147" customFormat="1" ht="31.5" customHeight="1" hidden="1">
      <c r="A328" s="118"/>
      <c r="B328" s="132"/>
      <c r="C328" s="241">
        <v>2130</v>
      </c>
      <c r="D328" s="136" t="s">
        <v>939</v>
      </c>
      <c r="E328" s="134">
        <v>0</v>
      </c>
      <c r="F328" s="134"/>
      <c r="G328" s="122" t="e">
        <f>F328/E328*100</f>
        <v>#DIV/0!</v>
      </c>
    </row>
    <row r="329" spans="1:7" s="147" customFormat="1" ht="45" customHeight="1" hidden="1">
      <c r="A329" s="118"/>
      <c r="B329" s="132"/>
      <c r="C329" s="198" t="s">
        <v>1197</v>
      </c>
      <c r="D329" s="244" t="s">
        <v>1199</v>
      </c>
      <c r="E329" s="134">
        <v>0</v>
      </c>
      <c r="F329" s="134">
        <v>0</v>
      </c>
      <c r="G329" s="122" t="e">
        <f>F329/E329*100</f>
        <v>#DIV/0!</v>
      </c>
    </row>
    <row r="330" spans="1:7" s="232" customFormat="1" ht="19.5" customHeight="1">
      <c r="A330" s="106" t="s">
        <v>1101</v>
      </c>
      <c r="B330" s="124"/>
      <c r="C330" s="240"/>
      <c r="D330" s="125" t="s">
        <v>1102</v>
      </c>
      <c r="E330" s="126">
        <f>SUM(E331)</f>
        <v>654000</v>
      </c>
      <c r="F330" s="126">
        <f>SUM(F331)</f>
        <v>393502</v>
      </c>
      <c r="G330" s="110">
        <f t="shared" si="12"/>
        <v>60.16850152905199</v>
      </c>
    </row>
    <row r="331" spans="1:7" s="232" customFormat="1" ht="43.5" customHeight="1">
      <c r="A331" s="112"/>
      <c r="B331" s="197" t="s">
        <v>1285</v>
      </c>
      <c r="C331" s="240"/>
      <c r="D331" s="114" t="s">
        <v>489</v>
      </c>
      <c r="E331" s="130">
        <f>SUM(E332)</f>
        <v>654000</v>
      </c>
      <c r="F331" s="130">
        <f>SUM(F332)</f>
        <v>393502</v>
      </c>
      <c r="G331" s="116">
        <f aca="true" t="shared" si="13" ref="G331:G372">F331/E331*100</f>
        <v>60.16850152905199</v>
      </c>
    </row>
    <row r="332" spans="1:7" s="147" customFormat="1" ht="58.5" customHeight="1">
      <c r="A332" s="118"/>
      <c r="B332" s="132"/>
      <c r="C332" s="241">
        <v>2110</v>
      </c>
      <c r="D332" s="136" t="s">
        <v>31</v>
      </c>
      <c r="E332" s="134">
        <v>654000</v>
      </c>
      <c r="F332" s="134">
        <v>393502</v>
      </c>
      <c r="G332" s="122">
        <f t="shared" si="13"/>
        <v>60.16850152905199</v>
      </c>
    </row>
    <row r="333" spans="1:7" s="233" customFormat="1" ht="21.75" customHeight="1">
      <c r="A333" s="106" t="s">
        <v>264</v>
      </c>
      <c r="B333" s="124"/>
      <c r="C333" s="245"/>
      <c r="D333" s="140" t="s">
        <v>275</v>
      </c>
      <c r="E333" s="126">
        <f>SUM(E334,E336,E338,E341,E343)</f>
        <v>400609</v>
      </c>
      <c r="F333" s="126">
        <f>SUM(F334,F336,F338,F341,F343)</f>
        <v>193594.52</v>
      </c>
      <c r="G333" s="110">
        <f t="shared" si="13"/>
        <v>48.32505510360476</v>
      </c>
    </row>
    <row r="334" spans="1:7" s="232" customFormat="1" ht="21.75" customHeight="1">
      <c r="A334" s="112"/>
      <c r="B334" s="128" t="s">
        <v>265</v>
      </c>
      <c r="C334" s="246"/>
      <c r="D334" s="247" t="s">
        <v>969</v>
      </c>
      <c r="E334" s="130">
        <f>SUM(E335)</f>
        <v>0</v>
      </c>
      <c r="F334" s="130">
        <f>SUM(F335)</f>
        <v>1008.15</v>
      </c>
      <c r="G334" s="122" t="s">
        <v>1274</v>
      </c>
    </row>
    <row r="335" spans="1:7" s="147" customFormat="1" ht="21.75" customHeight="1">
      <c r="A335" s="118"/>
      <c r="B335" s="132"/>
      <c r="C335" s="198" t="s">
        <v>180</v>
      </c>
      <c r="D335" s="244" t="s">
        <v>1228</v>
      </c>
      <c r="E335" s="134">
        <v>0</v>
      </c>
      <c r="F335" s="134">
        <v>1008.15</v>
      </c>
      <c r="G335" s="122" t="s">
        <v>1274</v>
      </c>
    </row>
    <row r="336" spans="1:7" s="232" customFormat="1" ht="21.75" customHeight="1">
      <c r="A336" s="112"/>
      <c r="B336" s="128" t="s">
        <v>276</v>
      </c>
      <c r="C336" s="246"/>
      <c r="D336" s="247" t="s">
        <v>46</v>
      </c>
      <c r="E336" s="130">
        <f>SUM(E337)</f>
        <v>315900</v>
      </c>
      <c r="F336" s="130">
        <f>SUM(F337)</f>
        <v>165900</v>
      </c>
      <c r="G336" s="116">
        <f t="shared" si="13"/>
        <v>52.516619183285854</v>
      </c>
    </row>
    <row r="337" spans="1:7" s="147" customFormat="1" ht="54" customHeight="1">
      <c r="A337" s="118"/>
      <c r="B337" s="132"/>
      <c r="C337" s="241">
        <v>2110</v>
      </c>
      <c r="D337" s="136" t="s">
        <v>31</v>
      </c>
      <c r="E337" s="146">
        <v>315900</v>
      </c>
      <c r="F337" s="134">
        <v>165900</v>
      </c>
      <c r="G337" s="122">
        <f t="shared" si="13"/>
        <v>52.516619183285854</v>
      </c>
    </row>
    <row r="338" spans="1:7" s="232" customFormat="1" ht="20.25" customHeight="1">
      <c r="A338" s="112"/>
      <c r="B338" s="128" t="s">
        <v>601</v>
      </c>
      <c r="C338" s="246"/>
      <c r="D338" s="114" t="s">
        <v>602</v>
      </c>
      <c r="E338" s="248">
        <f>SUM(E339,E340)</f>
        <v>82509</v>
      </c>
      <c r="F338" s="248">
        <f>SUM(F339,F340)</f>
        <v>24486.37</v>
      </c>
      <c r="G338" s="116">
        <f t="shared" si="13"/>
        <v>29.677210970924385</v>
      </c>
    </row>
    <row r="339" spans="1:7" s="147" customFormat="1" ht="20.25" customHeight="1">
      <c r="A339" s="118"/>
      <c r="B339" s="132"/>
      <c r="C339" s="198" t="s">
        <v>180</v>
      </c>
      <c r="D339" s="136" t="s">
        <v>1228</v>
      </c>
      <c r="E339" s="146">
        <v>0</v>
      </c>
      <c r="F339" s="134">
        <v>1257.73</v>
      </c>
      <c r="G339" s="122" t="s">
        <v>1274</v>
      </c>
    </row>
    <row r="340" spans="1:7" s="147" customFormat="1" ht="54.75" customHeight="1">
      <c r="A340" s="118"/>
      <c r="B340" s="132"/>
      <c r="C340" s="132" t="s">
        <v>171</v>
      </c>
      <c r="D340" s="136" t="s">
        <v>172</v>
      </c>
      <c r="E340" s="146">
        <v>82509</v>
      </c>
      <c r="F340" s="134">
        <v>23228.64</v>
      </c>
      <c r="G340" s="122">
        <f t="shared" si="13"/>
        <v>28.152856052067047</v>
      </c>
    </row>
    <row r="341" spans="1:7" s="232" customFormat="1" ht="21.75" customHeight="1">
      <c r="A341" s="112"/>
      <c r="B341" s="128" t="s">
        <v>603</v>
      </c>
      <c r="C341" s="197"/>
      <c r="D341" s="114" t="s">
        <v>604</v>
      </c>
      <c r="E341" s="130">
        <f>SUM(E342)</f>
        <v>2200</v>
      </c>
      <c r="F341" s="130">
        <f>SUM(F342)</f>
        <v>2200</v>
      </c>
      <c r="G341" s="116">
        <f t="shared" si="13"/>
        <v>100</v>
      </c>
    </row>
    <row r="342" spans="1:7" s="147" customFormat="1" ht="31.5" customHeight="1">
      <c r="A342" s="118"/>
      <c r="B342" s="132"/>
      <c r="C342" s="198" t="s">
        <v>256</v>
      </c>
      <c r="D342" s="136" t="s">
        <v>1224</v>
      </c>
      <c r="E342" s="134">
        <v>2200</v>
      </c>
      <c r="F342" s="134">
        <v>2200</v>
      </c>
      <c r="G342" s="122">
        <f t="shared" si="13"/>
        <v>100</v>
      </c>
    </row>
    <row r="343" spans="1:7" s="147" customFormat="1" ht="39" customHeight="1" hidden="1">
      <c r="A343" s="112"/>
      <c r="B343" s="128" t="s">
        <v>772</v>
      </c>
      <c r="C343" s="197"/>
      <c r="D343" s="114" t="s">
        <v>773</v>
      </c>
      <c r="E343" s="130">
        <f>SUM(E344)</f>
        <v>0</v>
      </c>
      <c r="F343" s="130">
        <f>SUM(F344)</f>
        <v>0</v>
      </c>
      <c r="G343" s="116" t="e">
        <f>F343/E343*100</f>
        <v>#DIV/0!</v>
      </c>
    </row>
    <row r="344" spans="1:7" s="147" customFormat="1" ht="31.5" customHeight="1" hidden="1">
      <c r="A344" s="118"/>
      <c r="B344" s="132"/>
      <c r="C344" s="198" t="s">
        <v>256</v>
      </c>
      <c r="D344" s="136" t="s">
        <v>1224</v>
      </c>
      <c r="E344" s="134">
        <v>0</v>
      </c>
      <c r="F344" s="134"/>
      <c r="G344" s="122" t="e">
        <f>F344/E344*100</f>
        <v>#DIV/0!</v>
      </c>
    </row>
    <row r="345" spans="1:7" s="147" customFormat="1" ht="32.25" customHeight="1">
      <c r="A345" s="106" t="s">
        <v>1105</v>
      </c>
      <c r="B345" s="124"/>
      <c r="C345" s="124"/>
      <c r="D345" s="140" t="s">
        <v>484</v>
      </c>
      <c r="E345" s="126">
        <f>SUM(E346,E348,E350,E352,E354)</f>
        <v>1283886</v>
      </c>
      <c r="F345" s="126">
        <f>SUM(F346,F348,F350,F352,F354)</f>
        <v>538970.96</v>
      </c>
      <c r="G345" s="110">
        <f t="shared" si="13"/>
        <v>41.979658630127595</v>
      </c>
    </row>
    <row r="346" spans="1:7" s="147" customFormat="1" ht="22.5" customHeight="1">
      <c r="A346" s="112"/>
      <c r="B346" s="197" t="s">
        <v>1115</v>
      </c>
      <c r="C346" s="240"/>
      <c r="D346" s="114" t="s">
        <v>52</v>
      </c>
      <c r="E346" s="130">
        <f>E347</f>
        <v>33000</v>
      </c>
      <c r="F346" s="130">
        <f>F347</f>
        <v>16500</v>
      </c>
      <c r="G346" s="116">
        <f t="shared" si="13"/>
        <v>50</v>
      </c>
    </row>
    <row r="347" spans="1:7" s="233" customFormat="1" ht="57.75" customHeight="1">
      <c r="A347" s="118"/>
      <c r="B347" s="132"/>
      <c r="C347" s="241">
        <v>2110</v>
      </c>
      <c r="D347" s="136" t="s">
        <v>31</v>
      </c>
      <c r="E347" s="134">
        <v>33000</v>
      </c>
      <c r="F347" s="134">
        <v>16500</v>
      </c>
      <c r="G347" s="122">
        <f t="shared" si="13"/>
        <v>50</v>
      </c>
    </row>
    <row r="348" spans="1:7" s="232" customFormat="1" ht="28.5" customHeight="1">
      <c r="A348" s="112"/>
      <c r="B348" s="128" t="s">
        <v>1016</v>
      </c>
      <c r="C348" s="246"/>
      <c r="D348" s="114" t="s">
        <v>1017</v>
      </c>
      <c r="E348" s="130">
        <f>SUM(E349)</f>
        <v>5922</v>
      </c>
      <c r="F348" s="130">
        <f>SUM(F349)</f>
        <v>0</v>
      </c>
      <c r="G348" s="116" t="s">
        <v>1274</v>
      </c>
    </row>
    <row r="349" spans="1:7" s="147" customFormat="1" ht="21" customHeight="1">
      <c r="A349" s="118"/>
      <c r="B349" s="132"/>
      <c r="C349" s="198" t="s">
        <v>180</v>
      </c>
      <c r="D349" s="136" t="s">
        <v>1228</v>
      </c>
      <c r="E349" s="134">
        <v>5922</v>
      </c>
      <c r="F349" s="134">
        <v>0</v>
      </c>
      <c r="G349" s="122" t="s">
        <v>1274</v>
      </c>
    </row>
    <row r="350" spans="1:7" s="147" customFormat="1" ht="20.25" customHeight="1">
      <c r="A350" s="112"/>
      <c r="B350" s="128" t="s">
        <v>607</v>
      </c>
      <c r="C350" s="197"/>
      <c r="D350" s="114" t="s">
        <v>608</v>
      </c>
      <c r="E350" s="130">
        <f>SUM(E351)</f>
        <v>110000</v>
      </c>
      <c r="F350" s="130">
        <f>SUM(F351)</f>
        <v>54000</v>
      </c>
      <c r="G350" s="116">
        <f t="shared" si="13"/>
        <v>49.09090909090909</v>
      </c>
    </row>
    <row r="351" spans="1:7" s="147" customFormat="1" ht="63" customHeight="1">
      <c r="A351" s="118"/>
      <c r="B351" s="132"/>
      <c r="C351" s="198" t="s">
        <v>970</v>
      </c>
      <c r="D351" s="136" t="s">
        <v>1273</v>
      </c>
      <c r="E351" s="134">
        <v>110000</v>
      </c>
      <c r="F351" s="134">
        <v>54000</v>
      </c>
      <c r="G351" s="122">
        <f t="shared" si="13"/>
        <v>49.09090909090909</v>
      </c>
    </row>
    <row r="352" spans="1:7" s="147" customFormat="1" ht="20.25" customHeight="1">
      <c r="A352" s="112"/>
      <c r="B352" s="128" t="s">
        <v>358</v>
      </c>
      <c r="C352" s="197"/>
      <c r="D352" s="114" t="s">
        <v>359</v>
      </c>
      <c r="E352" s="130">
        <f>SUM(E353)</f>
        <v>6325</v>
      </c>
      <c r="F352" s="130">
        <f>SUM(F353)</f>
        <v>6325</v>
      </c>
      <c r="G352" s="116">
        <f>F352/E352*100</f>
        <v>100</v>
      </c>
    </row>
    <row r="353" spans="1:7" s="147" customFormat="1" ht="63" customHeight="1">
      <c r="A353" s="118"/>
      <c r="B353" s="132"/>
      <c r="C353" s="241">
        <v>2110</v>
      </c>
      <c r="D353" s="136" t="s">
        <v>31</v>
      </c>
      <c r="E353" s="134">
        <v>6325</v>
      </c>
      <c r="F353" s="134">
        <v>6325</v>
      </c>
      <c r="G353" s="122">
        <f>F353/E353*100</f>
        <v>100</v>
      </c>
    </row>
    <row r="354" spans="1:7" s="232" customFormat="1" ht="18.75" customHeight="1">
      <c r="A354" s="112"/>
      <c r="B354" s="128" t="s">
        <v>609</v>
      </c>
      <c r="C354" s="197"/>
      <c r="D354" s="114" t="s">
        <v>1042</v>
      </c>
      <c r="E354" s="130">
        <f>SUM(E355,E357)</f>
        <v>1128639</v>
      </c>
      <c r="F354" s="130">
        <f>SUM(F355,F357)</f>
        <v>462145.95999999996</v>
      </c>
      <c r="G354" s="122">
        <f t="shared" si="13"/>
        <v>40.947190377082485</v>
      </c>
    </row>
    <row r="355" spans="1:7" s="147" customFormat="1" ht="27.75" customHeight="1">
      <c r="A355" s="118"/>
      <c r="B355" s="132"/>
      <c r="C355" s="198" t="s">
        <v>442</v>
      </c>
      <c r="D355" s="136" t="s">
        <v>443</v>
      </c>
      <c r="E355" s="134">
        <v>1013214</v>
      </c>
      <c r="F355" s="134">
        <v>412495.47</v>
      </c>
      <c r="G355" s="122">
        <f t="shared" si="13"/>
        <v>40.71158412734131</v>
      </c>
    </row>
    <row r="356" spans="1:7" s="147" customFormat="1" ht="66" customHeight="1">
      <c r="A356" s="118"/>
      <c r="B356" s="132"/>
      <c r="C356" s="198"/>
      <c r="D356" s="136" t="s">
        <v>385</v>
      </c>
      <c r="E356" s="134"/>
      <c r="F356" s="134"/>
      <c r="G356" s="122"/>
    </row>
    <row r="357" spans="1:7" s="147" customFormat="1" ht="30" customHeight="1">
      <c r="A357" s="118"/>
      <c r="B357" s="132"/>
      <c r="C357" s="148" t="s">
        <v>444</v>
      </c>
      <c r="D357" s="121" t="s">
        <v>443</v>
      </c>
      <c r="E357" s="149">
        <v>115425</v>
      </c>
      <c r="F357" s="149">
        <v>49650.49</v>
      </c>
      <c r="G357" s="122">
        <f>F357/E357*100</f>
        <v>43.01536928741607</v>
      </c>
    </row>
    <row r="358" spans="1:7" s="147" customFormat="1" ht="78" customHeight="1">
      <c r="A358" s="118"/>
      <c r="B358" s="132"/>
      <c r="C358" s="148"/>
      <c r="D358" s="121" t="s">
        <v>114</v>
      </c>
      <c r="E358" s="149"/>
      <c r="F358" s="149"/>
      <c r="G358" s="122"/>
    </row>
    <row r="359" spans="1:7" s="232" customFormat="1" ht="21" customHeight="1">
      <c r="A359" s="106" t="s">
        <v>1117</v>
      </c>
      <c r="B359" s="124"/>
      <c r="C359" s="124"/>
      <c r="D359" s="140" t="s">
        <v>1121</v>
      </c>
      <c r="E359" s="126">
        <f>SUM(E360,E362,E364,E370)</f>
        <v>190000</v>
      </c>
      <c r="F359" s="126">
        <f>SUM(F360,F362,F364,F370)</f>
        <v>44000</v>
      </c>
      <c r="G359" s="110">
        <f t="shared" si="13"/>
        <v>23.157894736842106</v>
      </c>
    </row>
    <row r="360" spans="1:7" s="232" customFormat="1" ht="30" customHeight="1" hidden="1">
      <c r="A360" s="112"/>
      <c r="B360" s="128" t="s">
        <v>1123</v>
      </c>
      <c r="C360" s="128"/>
      <c r="D360" s="114" t="s">
        <v>1109</v>
      </c>
      <c r="E360" s="130">
        <f>SUM(E361)</f>
        <v>0</v>
      </c>
      <c r="F360" s="130">
        <f>SUM(F361)</f>
        <v>0</v>
      </c>
      <c r="G360" s="116" t="e">
        <f>F360/E360*100</f>
        <v>#DIV/0!</v>
      </c>
    </row>
    <row r="361" spans="1:7" s="232" customFormat="1" ht="33" customHeight="1" hidden="1">
      <c r="A361" s="118"/>
      <c r="B361" s="132"/>
      <c r="C361" s="132" t="s">
        <v>256</v>
      </c>
      <c r="D361" s="136" t="s">
        <v>1224</v>
      </c>
      <c r="E361" s="134">
        <v>0</v>
      </c>
      <c r="F361" s="134"/>
      <c r="G361" s="122" t="e">
        <f>F361/E361*100</f>
        <v>#DIV/0!</v>
      </c>
    </row>
    <row r="362" spans="1:7" s="232" customFormat="1" ht="20.25" customHeight="1" hidden="1">
      <c r="A362" s="112"/>
      <c r="B362" s="128" t="s">
        <v>1171</v>
      </c>
      <c r="C362" s="128"/>
      <c r="D362" s="114" t="s">
        <v>613</v>
      </c>
      <c r="E362" s="130">
        <f>SUM(E363)</f>
        <v>0</v>
      </c>
      <c r="F362" s="130">
        <f>SUM(F363)</f>
        <v>0</v>
      </c>
      <c r="G362" s="116" t="e">
        <f>F362/E362*100</f>
        <v>#DIV/0!</v>
      </c>
    </row>
    <row r="363" spans="1:7" s="232" customFormat="1" ht="33" customHeight="1" hidden="1">
      <c r="A363" s="118"/>
      <c r="B363" s="132"/>
      <c r="C363" s="132" t="s">
        <v>256</v>
      </c>
      <c r="D363" s="136" t="s">
        <v>1224</v>
      </c>
      <c r="E363" s="134">
        <v>0</v>
      </c>
      <c r="F363" s="134"/>
      <c r="G363" s="122" t="e">
        <f>F363/E363*100</f>
        <v>#DIV/0!</v>
      </c>
    </row>
    <row r="364" spans="1:7" s="232" customFormat="1" ht="20.25" customHeight="1">
      <c r="A364" s="112"/>
      <c r="B364" s="128" t="s">
        <v>1174</v>
      </c>
      <c r="C364" s="128"/>
      <c r="D364" s="114" t="s">
        <v>1175</v>
      </c>
      <c r="E364" s="130">
        <f>SUM(E365,E366,E368)</f>
        <v>190000</v>
      </c>
      <c r="F364" s="130">
        <f>SUM(F365,F366,F368)</f>
        <v>44000</v>
      </c>
      <c r="G364" s="116">
        <f t="shared" si="13"/>
        <v>23.157894736842106</v>
      </c>
    </row>
    <row r="365" spans="1:7" s="232" customFormat="1" ht="30.75" customHeight="1" hidden="1">
      <c r="A365" s="118"/>
      <c r="B365" s="132"/>
      <c r="C365" s="132" t="s">
        <v>256</v>
      </c>
      <c r="D365" s="136" t="s">
        <v>1224</v>
      </c>
      <c r="E365" s="134">
        <v>0</v>
      </c>
      <c r="F365" s="134"/>
      <c r="G365" s="122" t="e">
        <f t="shared" si="13"/>
        <v>#DIV/0!</v>
      </c>
    </row>
    <row r="366" spans="1:7" s="147" customFormat="1" ht="67.5" customHeight="1">
      <c r="A366" s="118"/>
      <c r="B366" s="132"/>
      <c r="C366" s="132" t="s">
        <v>173</v>
      </c>
      <c r="D366" s="136" t="s">
        <v>175</v>
      </c>
      <c r="E366" s="134">
        <v>129295</v>
      </c>
      <c r="F366" s="134">
        <v>29942</v>
      </c>
      <c r="G366" s="122">
        <f t="shared" si="13"/>
        <v>23.157894736842106</v>
      </c>
    </row>
    <row r="367" spans="1:7" s="147" customFormat="1" ht="68.25" customHeight="1">
      <c r="A367" s="118"/>
      <c r="B367" s="132"/>
      <c r="C367" s="132"/>
      <c r="D367" s="136" t="s">
        <v>385</v>
      </c>
      <c r="E367" s="134"/>
      <c r="F367" s="134"/>
      <c r="G367" s="122"/>
    </row>
    <row r="368" spans="1:7" s="249" customFormat="1" ht="67.5" customHeight="1">
      <c r="A368" s="118"/>
      <c r="B368" s="132"/>
      <c r="C368" s="132" t="s">
        <v>174</v>
      </c>
      <c r="D368" s="136" t="s">
        <v>175</v>
      </c>
      <c r="E368" s="134">
        <v>60705</v>
      </c>
      <c r="F368" s="134">
        <v>14058</v>
      </c>
      <c r="G368" s="122">
        <f t="shared" si="13"/>
        <v>23.157894736842106</v>
      </c>
    </row>
    <row r="369" spans="1:7" s="147" customFormat="1" ht="79.5" customHeight="1">
      <c r="A369" s="118"/>
      <c r="B369" s="132"/>
      <c r="C369" s="132"/>
      <c r="D369" s="136" t="s">
        <v>392</v>
      </c>
      <c r="E369" s="134"/>
      <c r="F369" s="134"/>
      <c r="G369" s="122"/>
    </row>
    <row r="370" spans="1:7" s="232" customFormat="1" ht="21" customHeight="1" hidden="1">
      <c r="A370" s="112"/>
      <c r="B370" s="128" t="s">
        <v>618</v>
      </c>
      <c r="C370" s="128"/>
      <c r="D370" s="114" t="s">
        <v>1042</v>
      </c>
      <c r="E370" s="115">
        <f>SUM(E371,E372)</f>
        <v>0</v>
      </c>
      <c r="F370" s="115">
        <f>SUM(F371,F372)</f>
        <v>0</v>
      </c>
      <c r="G370" s="116" t="e">
        <f t="shared" si="13"/>
        <v>#DIV/0!</v>
      </c>
    </row>
    <row r="371" spans="1:7" s="147" customFormat="1" ht="30" customHeight="1" hidden="1">
      <c r="A371" s="118"/>
      <c r="B371" s="132"/>
      <c r="C371" s="132" t="s">
        <v>256</v>
      </c>
      <c r="D371" s="136" t="s">
        <v>1224</v>
      </c>
      <c r="E371" s="16">
        <v>0</v>
      </c>
      <c r="F371" s="16"/>
      <c r="G371" s="122" t="e">
        <f t="shared" si="13"/>
        <v>#DIV/0!</v>
      </c>
    </row>
    <row r="372" spans="1:7" s="147" customFormat="1" ht="44.25" customHeight="1" hidden="1">
      <c r="A372" s="118"/>
      <c r="B372" s="132"/>
      <c r="C372" s="132" t="s">
        <v>1197</v>
      </c>
      <c r="D372" s="136" t="s">
        <v>628</v>
      </c>
      <c r="E372" s="16">
        <v>0</v>
      </c>
      <c r="F372" s="16"/>
      <c r="G372" s="122" t="e">
        <f t="shared" si="13"/>
        <v>#DIV/0!</v>
      </c>
    </row>
    <row r="373" spans="1:7" s="147" customFormat="1" ht="29.25" customHeight="1">
      <c r="A373" s="106" t="s">
        <v>1177</v>
      </c>
      <c r="B373" s="124"/>
      <c r="C373" s="124"/>
      <c r="D373" s="140" t="s">
        <v>1287</v>
      </c>
      <c r="E373" s="126">
        <f>SUM(E374)</f>
        <v>0</v>
      </c>
      <c r="F373" s="126">
        <f>SUM(F374)</f>
        <v>18203.89</v>
      </c>
      <c r="G373" s="110" t="s">
        <v>1274</v>
      </c>
    </row>
    <row r="374" spans="1:7" s="232" customFormat="1" ht="20.25" customHeight="1">
      <c r="A374" s="112"/>
      <c r="B374" s="128" t="s">
        <v>1179</v>
      </c>
      <c r="C374" s="197"/>
      <c r="D374" s="114" t="s">
        <v>1180</v>
      </c>
      <c r="E374" s="130">
        <f>SUM(E375)</f>
        <v>0</v>
      </c>
      <c r="F374" s="130">
        <f>SUM(F375)</f>
        <v>18203.89</v>
      </c>
      <c r="G374" s="116" t="s">
        <v>1274</v>
      </c>
    </row>
    <row r="375" spans="1:7" s="232" customFormat="1" ht="21" customHeight="1" thickBot="1">
      <c r="A375" s="250"/>
      <c r="B375" s="251"/>
      <c r="C375" s="252" t="s">
        <v>180</v>
      </c>
      <c r="D375" s="253" t="s">
        <v>1228</v>
      </c>
      <c r="E375" s="254">
        <v>0</v>
      </c>
      <c r="F375" s="254">
        <v>18203.89</v>
      </c>
      <c r="G375" s="255" t="s">
        <v>1274</v>
      </c>
    </row>
    <row r="376" spans="1:7" s="258" customFormat="1" ht="21" customHeight="1" thickBot="1">
      <c r="A376" s="1381" t="s">
        <v>1124</v>
      </c>
      <c r="B376" s="1382"/>
      <c r="C376" s="1382"/>
      <c r="D376" s="1383"/>
      <c r="E376" s="256">
        <f>SUM(E7,E266)</f>
        <v>185076316.75</v>
      </c>
      <c r="F376" s="256">
        <f>SUM(F7,F266)</f>
        <v>91613082.68</v>
      </c>
      <c r="G376" s="257">
        <f>F376/E376*100</f>
        <v>49.50016527708968</v>
      </c>
    </row>
    <row r="377" spans="1:6" ht="19.5" customHeight="1" hidden="1">
      <c r="A377" s="325"/>
      <c r="B377" s="325"/>
      <c r="C377" s="325"/>
      <c r="D377" s="326" t="s">
        <v>1125</v>
      </c>
      <c r="E377" s="414">
        <v>185076316.75</v>
      </c>
      <c r="F377" s="414">
        <v>91613082.68</v>
      </c>
    </row>
    <row r="378" spans="1:6" ht="19.5" customHeight="1" hidden="1">
      <c r="A378" s="325"/>
      <c r="B378" s="325"/>
      <c r="C378" s="325"/>
      <c r="D378" s="326" t="s">
        <v>1126</v>
      </c>
      <c r="E378" s="327">
        <f>E377-E376</f>
        <v>0</v>
      </c>
      <c r="F378" s="327">
        <f>F377-F376</f>
        <v>0</v>
      </c>
    </row>
    <row r="379" spans="1:7" s="135" customFormat="1" ht="19.5" customHeight="1">
      <c r="A379" s="750"/>
      <c r="B379" s="750"/>
      <c r="C379" s="750"/>
      <c r="D379" s="1227"/>
      <c r="E379" s="298"/>
      <c r="F379" s="1228"/>
      <c r="G379" s="1229"/>
    </row>
    <row r="380" spans="1:7" s="135" customFormat="1" ht="19.5" customHeight="1">
      <c r="A380" s="750"/>
      <c r="B380" s="750"/>
      <c r="C380" s="750"/>
      <c r="D380" s="1227"/>
      <c r="E380" s="298"/>
      <c r="F380" s="298"/>
      <c r="G380" s="1229"/>
    </row>
    <row r="381" spans="1:6" ht="19.5" customHeight="1">
      <c r="A381" s="325"/>
      <c r="B381" s="325"/>
      <c r="C381" s="325"/>
      <c r="D381" s="326"/>
      <c r="E381" s="331"/>
      <c r="F381" s="332"/>
    </row>
    <row r="382" spans="1:6" ht="19.5" customHeight="1">
      <c r="A382" s="325"/>
      <c r="B382" s="325"/>
      <c r="C382" s="325"/>
      <c r="D382" s="326"/>
      <c r="E382" s="331"/>
      <c r="F382" s="332"/>
    </row>
    <row r="383" spans="1:6" ht="19.5" customHeight="1">
      <c r="A383" s="325"/>
      <c r="B383" s="325"/>
      <c r="C383" s="325"/>
      <c r="D383" s="326"/>
      <c r="E383" s="331"/>
      <c r="F383" s="332"/>
    </row>
    <row r="384" spans="1:6" ht="19.5" customHeight="1">
      <c r="A384" s="325"/>
      <c r="B384" s="325"/>
      <c r="C384" s="325"/>
      <c r="D384" s="326"/>
      <c r="E384" s="331"/>
      <c r="F384" s="332"/>
    </row>
    <row r="385" spans="1:6" ht="19.5" customHeight="1">
      <c r="A385" s="325"/>
      <c r="B385" s="325"/>
      <c r="C385" s="325"/>
      <c r="D385" s="326"/>
      <c r="E385" s="331"/>
      <c r="F385" s="332"/>
    </row>
    <row r="386" spans="1:6" ht="19.5" customHeight="1">
      <c r="A386" s="325"/>
      <c r="B386" s="325"/>
      <c r="C386" s="325"/>
      <c r="D386" s="326"/>
      <c r="E386" s="331"/>
      <c r="F386" s="332"/>
    </row>
    <row r="387" spans="1:6" ht="19.5" customHeight="1">
      <c r="A387" s="325"/>
      <c r="B387" s="325"/>
      <c r="C387" s="325"/>
      <c r="D387" s="326"/>
      <c r="E387" s="331"/>
      <c r="F387" s="332"/>
    </row>
    <row r="388" spans="1:6" ht="19.5" customHeight="1">
      <c r="A388" s="325"/>
      <c r="B388" s="325"/>
      <c r="C388" s="325"/>
      <c r="D388" s="326"/>
      <c r="E388" s="331"/>
      <c r="F388" s="332"/>
    </row>
    <row r="389" spans="1:6" ht="19.5" customHeight="1">
      <c r="A389" s="325"/>
      <c r="B389" s="325"/>
      <c r="C389" s="325"/>
      <c r="D389" s="326"/>
      <c r="E389" s="331"/>
      <c r="F389" s="332"/>
    </row>
    <row r="390" spans="1:6" ht="19.5" customHeight="1">
      <c r="A390" s="325"/>
      <c r="B390" s="325"/>
      <c r="C390" s="325"/>
      <c r="D390" s="326"/>
      <c r="E390" s="331"/>
      <c r="F390" s="332"/>
    </row>
    <row r="391" spans="1:6" ht="19.5" customHeight="1">
      <c r="A391" s="325"/>
      <c r="B391" s="325"/>
      <c r="C391" s="325"/>
      <c r="D391" s="326"/>
      <c r="E391" s="331"/>
      <c r="F391" s="332"/>
    </row>
    <row r="392" spans="1:6" ht="19.5" customHeight="1">
      <c r="A392" s="325"/>
      <c r="B392" s="325"/>
      <c r="C392" s="325"/>
      <c r="D392" s="326"/>
      <c r="E392" s="331"/>
      <c r="F392" s="332"/>
    </row>
    <row r="393" spans="1:6" ht="19.5" customHeight="1">
      <c r="A393" s="325"/>
      <c r="B393" s="325"/>
      <c r="C393" s="325"/>
      <c r="D393" s="326"/>
      <c r="E393" s="331"/>
      <c r="F393" s="332"/>
    </row>
    <row r="394" spans="1:6" ht="19.5" customHeight="1">
      <c r="A394" s="325"/>
      <c r="B394" s="325"/>
      <c r="C394" s="325"/>
      <c r="D394" s="326"/>
      <c r="E394" s="331"/>
      <c r="F394" s="332"/>
    </row>
    <row r="395" spans="1:6" ht="19.5" customHeight="1">
      <c r="A395" s="325"/>
      <c r="B395" s="325"/>
      <c r="C395" s="325"/>
      <c r="D395" s="326"/>
      <c r="E395" s="331"/>
      <c r="F395" s="332"/>
    </row>
    <row r="396" spans="1:6" ht="19.5" customHeight="1">
      <c r="A396" s="325"/>
      <c r="B396" s="325"/>
      <c r="C396" s="325"/>
      <c r="D396" s="326"/>
      <c r="E396" s="331"/>
      <c r="F396" s="332"/>
    </row>
    <row r="397" spans="1:6" ht="19.5" customHeight="1">
      <c r="A397" s="325"/>
      <c r="B397" s="325"/>
      <c r="C397" s="325"/>
      <c r="D397" s="326"/>
      <c r="E397" s="331"/>
      <c r="F397" s="332"/>
    </row>
    <row r="398" spans="1:6" ht="19.5" customHeight="1">
      <c r="A398" s="325"/>
      <c r="B398" s="325"/>
      <c r="C398" s="325"/>
      <c r="D398" s="326"/>
      <c r="E398" s="331"/>
      <c r="F398" s="332"/>
    </row>
    <row r="399" spans="1:6" ht="19.5" customHeight="1">
      <c r="A399" s="325"/>
      <c r="B399" s="325"/>
      <c r="C399" s="325"/>
      <c r="D399" s="326"/>
      <c r="E399" s="331"/>
      <c r="F399" s="332"/>
    </row>
    <row r="400" spans="1:6" ht="19.5" customHeight="1">
      <c r="A400" s="325"/>
      <c r="B400" s="325"/>
      <c r="C400" s="325"/>
      <c r="D400" s="326"/>
      <c r="E400" s="331"/>
      <c r="F400" s="332"/>
    </row>
    <row r="401" spans="1:6" ht="19.5" customHeight="1">
      <c r="A401" s="325"/>
      <c r="B401" s="325"/>
      <c r="C401" s="325"/>
      <c r="D401" s="326"/>
      <c r="E401" s="331"/>
      <c r="F401" s="332"/>
    </row>
    <row r="402" spans="1:6" ht="19.5" customHeight="1">
      <c r="A402" s="325"/>
      <c r="B402" s="325"/>
      <c r="C402" s="325"/>
      <c r="D402" s="326"/>
      <c r="E402" s="331"/>
      <c r="F402" s="332"/>
    </row>
    <row r="403" spans="1:6" ht="19.5" customHeight="1">
      <c r="A403" s="325"/>
      <c r="B403" s="325"/>
      <c r="C403" s="325"/>
      <c r="D403" s="326"/>
      <c r="E403" s="331"/>
      <c r="F403" s="332"/>
    </row>
    <row r="404" spans="1:6" ht="19.5" customHeight="1">
      <c r="A404" s="325"/>
      <c r="B404" s="325"/>
      <c r="C404" s="325"/>
      <c r="D404" s="326"/>
      <c r="E404" s="331"/>
      <c r="F404" s="332"/>
    </row>
    <row r="405" spans="1:6" ht="19.5" customHeight="1">
      <c r="A405" s="325"/>
      <c r="B405" s="325"/>
      <c r="C405" s="325"/>
      <c r="D405" s="326"/>
      <c r="E405" s="331"/>
      <c r="F405" s="332"/>
    </row>
    <row r="406" spans="1:6" ht="19.5" customHeight="1">
      <c r="A406" s="325"/>
      <c r="B406" s="325"/>
      <c r="C406" s="325"/>
      <c r="D406" s="326"/>
      <c r="E406" s="331"/>
      <c r="F406" s="332"/>
    </row>
    <row r="407" spans="1:6" ht="19.5" customHeight="1">
      <c r="A407" s="325"/>
      <c r="B407" s="325"/>
      <c r="C407" s="325"/>
      <c r="D407" s="326"/>
      <c r="E407" s="331"/>
      <c r="F407" s="332"/>
    </row>
    <row r="408" spans="1:6" ht="19.5" customHeight="1">
      <c r="A408" s="325"/>
      <c r="B408" s="325"/>
      <c r="C408" s="325"/>
      <c r="D408" s="326"/>
      <c r="E408" s="331"/>
      <c r="F408" s="332"/>
    </row>
    <row r="409" spans="1:6" ht="19.5" customHeight="1">
      <c r="A409" s="325"/>
      <c r="B409" s="325"/>
      <c r="C409" s="325"/>
      <c r="D409" s="326"/>
      <c r="E409" s="331"/>
      <c r="F409" s="332"/>
    </row>
    <row r="410" spans="1:6" ht="19.5" customHeight="1">
      <c r="A410" s="325"/>
      <c r="B410" s="325"/>
      <c r="C410" s="325"/>
      <c r="D410" s="326"/>
      <c r="E410" s="331"/>
      <c r="F410" s="332"/>
    </row>
    <row r="411" spans="1:6" ht="19.5" customHeight="1">
      <c r="A411" s="325"/>
      <c r="B411" s="325"/>
      <c r="C411" s="325"/>
      <c r="D411" s="326"/>
      <c r="E411" s="331"/>
      <c r="F411" s="332"/>
    </row>
    <row r="412" spans="1:6" ht="19.5" customHeight="1">
      <c r="A412" s="325"/>
      <c r="B412" s="325"/>
      <c r="C412" s="325"/>
      <c r="D412" s="326"/>
      <c r="E412" s="331"/>
      <c r="F412" s="332"/>
    </row>
    <row r="413" spans="1:6" ht="19.5" customHeight="1">
      <c r="A413" s="325"/>
      <c r="B413" s="325"/>
      <c r="C413" s="325"/>
      <c r="D413" s="326"/>
      <c r="E413" s="331"/>
      <c r="F413" s="332"/>
    </row>
    <row r="414" spans="1:6" ht="19.5" customHeight="1">
      <c r="A414" s="325"/>
      <c r="B414" s="325"/>
      <c r="C414" s="325"/>
      <c r="D414" s="326"/>
      <c r="E414" s="331"/>
      <c r="F414" s="332"/>
    </row>
    <row r="415" spans="1:6" ht="19.5" customHeight="1">
      <c r="A415" s="325"/>
      <c r="B415" s="325"/>
      <c r="C415" s="325"/>
      <c r="D415" s="326"/>
      <c r="E415" s="331"/>
      <c r="F415" s="332"/>
    </row>
    <row r="416" spans="1:6" ht="19.5" customHeight="1">
      <c r="A416" s="325"/>
      <c r="B416" s="325"/>
      <c r="C416" s="325"/>
      <c r="D416" s="326"/>
      <c r="E416" s="331"/>
      <c r="F416" s="332"/>
    </row>
    <row r="417" spans="1:6" ht="19.5" customHeight="1">
      <c r="A417" s="325"/>
      <c r="B417" s="325"/>
      <c r="C417" s="325"/>
      <c r="D417" s="326"/>
      <c r="E417" s="331"/>
      <c r="F417" s="332"/>
    </row>
    <row r="418" spans="1:6" ht="19.5" customHeight="1">
      <c r="A418" s="325"/>
      <c r="B418" s="325"/>
      <c r="C418" s="325"/>
      <c r="D418" s="326"/>
      <c r="E418" s="331"/>
      <c r="F418" s="332"/>
    </row>
    <row r="419" spans="1:6" ht="19.5" customHeight="1">
      <c r="A419" s="325"/>
      <c r="B419" s="325"/>
      <c r="C419" s="325"/>
      <c r="D419" s="326"/>
      <c r="E419" s="331"/>
      <c r="F419" s="332"/>
    </row>
    <row r="420" spans="1:6" ht="19.5" customHeight="1">
      <c r="A420" s="325"/>
      <c r="B420" s="325"/>
      <c r="C420" s="325"/>
      <c r="D420" s="326"/>
      <c r="E420" s="331"/>
      <c r="F420" s="332"/>
    </row>
    <row r="421" spans="1:6" ht="19.5" customHeight="1">
      <c r="A421" s="325"/>
      <c r="B421" s="325"/>
      <c r="C421" s="325"/>
      <c r="D421" s="326"/>
      <c r="E421" s="331"/>
      <c r="F421" s="332"/>
    </row>
    <row r="422" spans="1:6" ht="19.5" customHeight="1">
      <c r="A422" s="325"/>
      <c r="B422" s="325"/>
      <c r="C422" s="325"/>
      <c r="D422" s="326"/>
      <c r="E422" s="331"/>
      <c r="F422" s="332"/>
    </row>
    <row r="423" spans="1:6" ht="19.5" customHeight="1">
      <c r="A423" s="325"/>
      <c r="B423" s="325"/>
      <c r="C423" s="325"/>
      <c r="D423" s="326"/>
      <c r="E423" s="331"/>
      <c r="F423" s="332"/>
    </row>
    <row r="424" spans="1:6" ht="19.5" customHeight="1">
      <c r="A424" s="325"/>
      <c r="B424" s="325"/>
      <c r="C424" s="325"/>
      <c r="D424" s="326"/>
      <c r="E424" s="331"/>
      <c r="F424" s="332"/>
    </row>
    <row r="425" spans="1:6" ht="19.5" customHeight="1">
      <c r="A425" s="325"/>
      <c r="B425" s="325"/>
      <c r="C425" s="325"/>
      <c r="D425" s="326"/>
      <c r="E425" s="331"/>
      <c r="F425" s="332"/>
    </row>
    <row r="426" spans="1:6" ht="19.5" customHeight="1">
      <c r="A426" s="325"/>
      <c r="B426" s="325"/>
      <c r="C426" s="325"/>
      <c r="D426" s="326"/>
      <c r="E426" s="331"/>
      <c r="F426" s="332"/>
    </row>
    <row r="427" spans="1:6" ht="19.5" customHeight="1">
      <c r="A427" s="325"/>
      <c r="B427" s="325"/>
      <c r="C427" s="325"/>
      <c r="D427" s="326"/>
      <c r="E427" s="331"/>
      <c r="F427" s="332"/>
    </row>
    <row r="428" spans="1:6" ht="19.5" customHeight="1">
      <c r="A428" s="325"/>
      <c r="B428" s="325"/>
      <c r="C428" s="325"/>
      <c r="D428" s="326"/>
      <c r="E428" s="331"/>
      <c r="F428" s="332"/>
    </row>
    <row r="429" spans="1:6" ht="19.5" customHeight="1">
      <c r="A429" s="325"/>
      <c r="B429" s="325"/>
      <c r="C429" s="325"/>
      <c r="D429" s="326"/>
      <c r="E429" s="331"/>
      <c r="F429" s="332"/>
    </row>
    <row r="430" spans="1:6" ht="19.5" customHeight="1">
      <c r="A430" s="325"/>
      <c r="B430" s="325"/>
      <c r="C430" s="325"/>
      <c r="D430" s="326"/>
      <c r="E430" s="331"/>
      <c r="F430" s="332"/>
    </row>
    <row r="431" spans="1:6" ht="19.5" customHeight="1">
      <c r="A431" s="325"/>
      <c r="B431" s="325"/>
      <c r="C431" s="325"/>
      <c r="D431" s="326"/>
      <c r="E431" s="331"/>
      <c r="F431" s="332"/>
    </row>
    <row r="432" spans="1:6" ht="19.5" customHeight="1">
      <c r="A432" s="325"/>
      <c r="B432" s="325"/>
      <c r="C432" s="325"/>
      <c r="D432" s="326"/>
      <c r="E432" s="331"/>
      <c r="F432" s="332"/>
    </row>
    <row r="433" spans="1:6" ht="19.5" customHeight="1">
      <c r="A433" s="325"/>
      <c r="B433" s="325"/>
      <c r="C433" s="325"/>
      <c r="D433" s="326"/>
      <c r="E433" s="331"/>
      <c r="F433" s="332"/>
    </row>
    <row r="434" spans="1:6" ht="19.5" customHeight="1">
      <c r="A434" s="325"/>
      <c r="B434" s="325"/>
      <c r="C434" s="325"/>
      <c r="D434" s="326"/>
      <c r="E434" s="331"/>
      <c r="F434" s="332"/>
    </row>
    <row r="435" spans="1:6" ht="19.5" customHeight="1">
      <c r="A435" s="325"/>
      <c r="B435" s="325"/>
      <c r="C435" s="325"/>
      <c r="D435" s="326"/>
      <c r="E435" s="331"/>
      <c r="F435" s="332"/>
    </row>
    <row r="436" spans="1:6" ht="19.5" customHeight="1">
      <c r="A436" s="325"/>
      <c r="B436" s="325"/>
      <c r="C436" s="325"/>
      <c r="D436" s="326"/>
      <c r="E436" s="331"/>
      <c r="F436" s="332"/>
    </row>
    <row r="437" spans="1:6" ht="19.5" customHeight="1">
      <c r="A437" s="325"/>
      <c r="B437" s="325"/>
      <c r="C437" s="325"/>
      <c r="D437" s="326"/>
      <c r="E437" s="331"/>
      <c r="F437" s="332"/>
    </row>
    <row r="438" spans="1:6" ht="19.5" customHeight="1">
      <c r="A438" s="325"/>
      <c r="B438" s="325"/>
      <c r="C438" s="325"/>
      <c r="D438" s="326"/>
      <c r="E438" s="331"/>
      <c r="F438" s="332"/>
    </row>
    <row r="439" spans="1:6" ht="19.5" customHeight="1">
      <c r="A439" s="325"/>
      <c r="B439" s="325"/>
      <c r="C439" s="325"/>
      <c r="D439" s="326"/>
      <c r="E439" s="331"/>
      <c r="F439" s="332"/>
    </row>
    <row r="440" spans="1:6" ht="19.5" customHeight="1">
      <c r="A440" s="325"/>
      <c r="B440" s="325"/>
      <c r="C440" s="325"/>
      <c r="D440" s="326"/>
      <c r="E440" s="331"/>
      <c r="F440" s="332"/>
    </row>
    <row r="441" spans="1:6" ht="19.5" customHeight="1">
      <c r="A441" s="325"/>
      <c r="B441" s="325"/>
      <c r="C441" s="325"/>
      <c r="D441" s="326"/>
      <c r="E441" s="331"/>
      <c r="F441" s="332"/>
    </row>
    <row r="442" spans="1:6" ht="19.5" customHeight="1">
      <c r="A442" s="325"/>
      <c r="B442" s="325"/>
      <c r="C442" s="325"/>
      <c r="D442" s="326"/>
      <c r="E442" s="331"/>
      <c r="F442" s="332"/>
    </row>
    <row r="443" spans="1:6" ht="19.5" customHeight="1">
      <c r="A443" s="325"/>
      <c r="B443" s="325"/>
      <c r="C443" s="325"/>
      <c r="D443" s="326"/>
      <c r="E443" s="331"/>
      <c r="F443" s="332"/>
    </row>
    <row r="444" spans="1:6" ht="19.5" customHeight="1">
      <c r="A444" s="325"/>
      <c r="B444" s="325"/>
      <c r="C444" s="325"/>
      <c r="D444" s="326"/>
      <c r="E444" s="331"/>
      <c r="F444" s="332"/>
    </row>
    <row r="445" spans="1:6" ht="19.5" customHeight="1">
      <c r="A445" s="325"/>
      <c r="B445" s="325"/>
      <c r="C445" s="325"/>
      <c r="D445" s="326"/>
      <c r="E445" s="331"/>
      <c r="F445" s="332"/>
    </row>
    <row r="446" spans="1:6" ht="19.5" customHeight="1">
      <c r="A446" s="325"/>
      <c r="B446" s="325"/>
      <c r="C446" s="325"/>
      <c r="D446" s="326"/>
      <c r="E446" s="331"/>
      <c r="F446" s="332"/>
    </row>
    <row r="447" spans="1:6" ht="19.5" customHeight="1">
      <c r="A447" s="325"/>
      <c r="B447" s="325"/>
      <c r="C447" s="325"/>
      <c r="D447" s="326"/>
      <c r="E447" s="331"/>
      <c r="F447" s="332"/>
    </row>
    <row r="448" spans="1:6" ht="19.5" customHeight="1">
      <c r="A448" s="325"/>
      <c r="B448" s="325"/>
      <c r="C448" s="325"/>
      <c r="D448" s="326"/>
      <c r="E448" s="331"/>
      <c r="F448" s="332"/>
    </row>
    <row r="449" spans="1:6" ht="19.5" customHeight="1">
      <c r="A449" s="325"/>
      <c r="B449" s="325"/>
      <c r="C449" s="325"/>
      <c r="D449" s="326"/>
      <c r="E449" s="331"/>
      <c r="F449" s="332"/>
    </row>
    <row r="450" spans="1:6" ht="19.5" customHeight="1">
      <c r="A450" s="325"/>
      <c r="B450" s="325"/>
      <c r="C450" s="325"/>
      <c r="D450" s="326"/>
      <c r="E450" s="331"/>
      <c r="F450" s="332"/>
    </row>
    <row r="451" spans="1:6" ht="19.5" customHeight="1">
      <c r="A451" s="325"/>
      <c r="B451" s="325"/>
      <c r="C451" s="325"/>
      <c r="D451" s="326"/>
      <c r="E451" s="331"/>
      <c r="F451" s="332"/>
    </row>
    <row r="452" spans="1:6" ht="19.5" customHeight="1">
      <c r="A452" s="325"/>
      <c r="B452" s="325"/>
      <c r="C452" s="325"/>
      <c r="D452" s="326"/>
      <c r="E452" s="331"/>
      <c r="F452" s="332"/>
    </row>
    <row r="453" spans="1:6" ht="19.5" customHeight="1">
      <c r="A453" s="325"/>
      <c r="B453" s="325"/>
      <c r="C453" s="325"/>
      <c r="D453" s="326"/>
      <c r="E453" s="331"/>
      <c r="F453" s="332"/>
    </row>
    <row r="454" spans="1:6" ht="19.5" customHeight="1">
      <c r="A454" s="325"/>
      <c r="B454" s="325"/>
      <c r="C454" s="325"/>
      <c r="D454" s="326"/>
      <c r="E454" s="331"/>
      <c r="F454" s="332"/>
    </row>
    <row r="455" spans="1:6" ht="19.5" customHeight="1">
      <c r="A455" s="325"/>
      <c r="B455" s="325"/>
      <c r="C455" s="325"/>
      <c r="D455" s="326"/>
      <c r="E455" s="331"/>
      <c r="F455" s="332"/>
    </row>
    <row r="456" spans="1:6" ht="19.5" customHeight="1">
      <c r="A456" s="325"/>
      <c r="B456" s="325"/>
      <c r="C456" s="325"/>
      <c r="D456" s="326"/>
      <c r="E456" s="331"/>
      <c r="F456" s="332"/>
    </row>
    <row r="457" spans="1:6" ht="19.5" customHeight="1">
      <c r="A457" s="325"/>
      <c r="B457" s="325"/>
      <c r="C457" s="325"/>
      <c r="D457" s="326"/>
      <c r="E457" s="331"/>
      <c r="F457" s="332"/>
    </row>
    <row r="458" spans="1:6" ht="19.5" customHeight="1">
      <c r="A458" s="325"/>
      <c r="B458" s="325"/>
      <c r="C458" s="325"/>
      <c r="D458" s="326"/>
      <c r="E458" s="331"/>
      <c r="F458" s="332"/>
    </row>
    <row r="459" spans="1:6" ht="19.5" customHeight="1">
      <c r="A459" s="325"/>
      <c r="B459" s="325"/>
      <c r="C459" s="325"/>
      <c r="D459" s="326"/>
      <c r="E459" s="331"/>
      <c r="F459" s="332"/>
    </row>
    <row r="460" spans="1:6" ht="19.5" customHeight="1">
      <c r="A460" s="325"/>
      <c r="B460" s="325"/>
      <c r="C460" s="325"/>
      <c r="D460" s="326"/>
      <c r="E460" s="331"/>
      <c r="F460" s="332"/>
    </row>
    <row r="461" spans="1:6" ht="19.5" customHeight="1">
      <c r="A461" s="325"/>
      <c r="B461" s="325"/>
      <c r="C461" s="325"/>
      <c r="D461" s="326"/>
      <c r="E461" s="331"/>
      <c r="F461" s="332"/>
    </row>
    <row r="462" spans="1:6" ht="19.5" customHeight="1">
      <c r="A462" s="325"/>
      <c r="B462" s="325"/>
      <c r="C462" s="325"/>
      <c r="D462" s="326"/>
      <c r="E462" s="331"/>
      <c r="F462" s="332"/>
    </row>
    <row r="463" spans="1:6" ht="19.5" customHeight="1">
      <c r="A463" s="325"/>
      <c r="B463" s="325"/>
      <c r="C463" s="325"/>
      <c r="D463" s="326"/>
      <c r="E463" s="331"/>
      <c r="F463" s="332"/>
    </row>
    <row r="464" spans="1:6" ht="19.5" customHeight="1">
      <c r="A464" s="325"/>
      <c r="B464" s="325"/>
      <c r="C464" s="325"/>
      <c r="D464" s="326"/>
      <c r="E464" s="331"/>
      <c r="F464" s="332"/>
    </row>
    <row r="465" spans="1:6" ht="19.5" customHeight="1">
      <c r="A465" s="325"/>
      <c r="B465" s="325"/>
      <c r="C465" s="325"/>
      <c r="D465" s="326"/>
      <c r="E465" s="331"/>
      <c r="F465" s="332"/>
    </row>
    <row r="466" spans="1:6" ht="19.5" customHeight="1">
      <c r="A466" s="325"/>
      <c r="B466" s="325"/>
      <c r="C466" s="325"/>
      <c r="D466" s="326"/>
      <c r="E466" s="195"/>
      <c r="F466" s="332"/>
    </row>
    <row r="467" spans="1:6" ht="19.5" customHeight="1">
      <c r="A467" s="325"/>
      <c r="B467" s="325"/>
      <c r="C467" s="325"/>
      <c r="D467" s="326"/>
      <c r="E467" s="195"/>
      <c r="F467" s="332"/>
    </row>
    <row r="468" spans="1:6" ht="19.5" customHeight="1">
      <c r="A468" s="325"/>
      <c r="B468" s="325"/>
      <c r="C468" s="325"/>
      <c r="D468" s="326"/>
      <c r="E468" s="195"/>
      <c r="F468" s="332"/>
    </row>
    <row r="469" spans="1:6" ht="19.5" customHeight="1">
      <c r="A469" s="325"/>
      <c r="B469" s="325"/>
      <c r="C469" s="325"/>
      <c r="D469" s="326"/>
      <c r="E469" s="195"/>
      <c r="F469" s="332"/>
    </row>
    <row r="470" spans="1:6" ht="19.5" customHeight="1">
      <c r="A470" s="325"/>
      <c r="B470" s="325"/>
      <c r="C470" s="325"/>
      <c r="D470" s="326"/>
      <c r="E470" s="195"/>
      <c r="F470" s="332"/>
    </row>
    <row r="471" spans="1:6" ht="19.5" customHeight="1">
      <c r="A471" s="325"/>
      <c r="B471" s="325"/>
      <c r="C471" s="325"/>
      <c r="D471" s="326"/>
      <c r="E471" s="195"/>
      <c r="F471" s="332"/>
    </row>
    <row r="472" spans="1:6" ht="19.5" customHeight="1">
      <c r="A472" s="325"/>
      <c r="B472" s="325"/>
      <c r="C472" s="325"/>
      <c r="D472" s="326"/>
      <c r="E472" s="195"/>
      <c r="F472" s="332"/>
    </row>
    <row r="473" spans="1:6" ht="19.5" customHeight="1">
      <c r="A473" s="325"/>
      <c r="B473" s="325"/>
      <c r="C473" s="325"/>
      <c r="D473" s="326"/>
      <c r="E473" s="195"/>
      <c r="F473" s="332"/>
    </row>
    <row r="474" spans="1:6" ht="19.5" customHeight="1">
      <c r="A474" s="325"/>
      <c r="B474" s="325"/>
      <c r="C474" s="325"/>
      <c r="D474" s="326"/>
      <c r="E474" s="195"/>
      <c r="F474" s="332"/>
    </row>
    <row r="475" spans="1:6" ht="19.5" customHeight="1">
      <c r="A475" s="325"/>
      <c r="B475" s="325"/>
      <c r="C475" s="325"/>
      <c r="D475" s="326"/>
      <c r="E475" s="195"/>
      <c r="F475" s="332"/>
    </row>
    <row r="476" spans="1:6" ht="19.5" customHeight="1">
      <c r="A476" s="325"/>
      <c r="B476" s="325"/>
      <c r="C476" s="325"/>
      <c r="D476" s="326"/>
      <c r="E476" s="195"/>
      <c r="F476" s="332"/>
    </row>
    <row r="477" spans="1:6" ht="19.5" customHeight="1">
      <c r="A477" s="325"/>
      <c r="B477" s="325"/>
      <c r="C477" s="325"/>
      <c r="D477" s="326"/>
      <c r="E477" s="195"/>
      <c r="F477" s="332"/>
    </row>
    <row r="478" spans="1:6" ht="19.5" customHeight="1">
      <c r="A478" s="325"/>
      <c r="B478" s="325"/>
      <c r="C478" s="325"/>
      <c r="D478" s="326"/>
      <c r="E478" s="195"/>
      <c r="F478" s="332"/>
    </row>
    <row r="479" spans="1:6" ht="19.5" customHeight="1">
      <c r="A479" s="325"/>
      <c r="B479" s="325"/>
      <c r="C479" s="325"/>
      <c r="D479" s="326"/>
      <c r="E479" s="195"/>
      <c r="F479" s="332"/>
    </row>
    <row r="480" spans="1:6" ht="19.5" customHeight="1">
      <c r="A480" s="325"/>
      <c r="B480" s="325"/>
      <c r="C480" s="325"/>
      <c r="D480" s="326"/>
      <c r="E480" s="195"/>
      <c r="F480" s="332"/>
    </row>
    <row r="481" spans="1:6" ht="19.5" customHeight="1">
      <c r="A481" s="325"/>
      <c r="B481" s="325"/>
      <c r="C481" s="325"/>
      <c r="D481" s="326"/>
      <c r="E481" s="195"/>
      <c r="F481" s="332"/>
    </row>
    <row r="482" spans="1:6" ht="19.5" customHeight="1">
      <c r="A482" s="325"/>
      <c r="B482" s="325"/>
      <c r="C482" s="325"/>
      <c r="D482" s="326"/>
      <c r="E482" s="195"/>
      <c r="F482" s="332"/>
    </row>
    <row r="483" spans="1:6" ht="19.5" customHeight="1">
      <c r="A483" s="325"/>
      <c r="B483" s="325"/>
      <c r="C483" s="325"/>
      <c r="D483" s="326"/>
      <c r="E483" s="195"/>
      <c r="F483" s="332"/>
    </row>
    <row r="484" spans="1:6" ht="19.5" customHeight="1">
      <c r="A484" s="325"/>
      <c r="B484" s="325"/>
      <c r="C484" s="325"/>
      <c r="D484" s="326"/>
      <c r="E484" s="195"/>
      <c r="F484" s="332"/>
    </row>
    <row r="485" spans="1:6" ht="19.5" customHeight="1">
      <c r="A485" s="325"/>
      <c r="B485" s="325"/>
      <c r="C485" s="325"/>
      <c r="D485" s="326"/>
      <c r="E485" s="195"/>
      <c r="F485" s="332"/>
    </row>
    <row r="486" spans="1:6" ht="19.5" customHeight="1">
      <c r="A486" s="325"/>
      <c r="B486" s="325"/>
      <c r="C486" s="325"/>
      <c r="D486" s="326"/>
      <c r="E486" s="195"/>
      <c r="F486" s="332"/>
    </row>
    <row r="487" spans="1:6" ht="19.5" customHeight="1">
      <c r="A487" s="325"/>
      <c r="B487" s="325"/>
      <c r="C487" s="325"/>
      <c r="D487" s="326"/>
      <c r="E487" s="195"/>
      <c r="F487" s="332"/>
    </row>
    <row r="488" spans="1:6" ht="19.5" customHeight="1">
      <c r="A488" s="325"/>
      <c r="B488" s="325"/>
      <c r="C488" s="325"/>
      <c r="D488" s="326"/>
      <c r="E488" s="195"/>
      <c r="F488" s="332"/>
    </row>
    <row r="489" spans="1:6" ht="19.5" customHeight="1">
      <c r="A489" s="325"/>
      <c r="B489" s="325"/>
      <c r="C489" s="325"/>
      <c r="D489" s="326"/>
      <c r="E489" s="195"/>
      <c r="F489" s="332"/>
    </row>
    <row r="490" spans="1:6" ht="19.5" customHeight="1">
      <c r="A490" s="325"/>
      <c r="B490" s="325"/>
      <c r="C490" s="325"/>
      <c r="D490" s="326"/>
      <c r="E490" s="195"/>
      <c r="F490" s="332"/>
    </row>
    <row r="491" spans="1:6" ht="19.5" customHeight="1">
      <c r="A491" s="325"/>
      <c r="B491" s="325"/>
      <c r="C491" s="325"/>
      <c r="D491" s="326"/>
      <c r="E491" s="195"/>
      <c r="F491" s="332"/>
    </row>
    <row r="492" spans="1:6" ht="19.5" customHeight="1">
      <c r="A492" s="325"/>
      <c r="B492" s="325"/>
      <c r="C492" s="325"/>
      <c r="D492" s="326"/>
      <c r="E492" s="195"/>
      <c r="F492" s="332"/>
    </row>
    <row r="493" spans="1:6" ht="19.5" customHeight="1">
      <c r="A493" s="325"/>
      <c r="B493" s="325"/>
      <c r="C493" s="325"/>
      <c r="D493" s="326"/>
      <c r="E493" s="195"/>
      <c r="F493" s="332"/>
    </row>
    <row r="494" spans="1:6" ht="19.5" customHeight="1">
      <c r="A494" s="325"/>
      <c r="B494" s="325"/>
      <c r="C494" s="325"/>
      <c r="D494" s="326"/>
      <c r="E494" s="195"/>
      <c r="F494" s="332"/>
    </row>
    <row r="495" spans="1:5" ht="19.5" customHeight="1">
      <c r="A495" s="325"/>
      <c r="B495" s="325"/>
      <c r="C495" s="325"/>
      <c r="D495" s="326"/>
      <c r="E495" s="195"/>
    </row>
    <row r="496" spans="1:5" ht="19.5" customHeight="1">
      <c r="A496" s="325"/>
      <c r="B496" s="325"/>
      <c r="C496" s="325"/>
      <c r="D496" s="326"/>
      <c r="E496" s="195"/>
    </row>
    <row r="497" spans="1:5" ht="19.5" customHeight="1">
      <c r="A497" s="325"/>
      <c r="B497" s="325"/>
      <c r="C497" s="325"/>
      <c r="D497" s="326"/>
      <c r="E497" s="195"/>
    </row>
    <row r="498" spans="1:5" ht="19.5" customHeight="1">
      <c r="A498" s="325"/>
      <c r="B498" s="325"/>
      <c r="C498" s="325"/>
      <c r="D498" s="326"/>
      <c r="E498" s="195"/>
    </row>
    <row r="499" spans="1:5" ht="19.5" customHeight="1">
      <c r="A499" s="325"/>
      <c r="B499" s="325"/>
      <c r="C499" s="325"/>
      <c r="D499" s="326"/>
      <c r="E499" s="195"/>
    </row>
    <row r="500" spans="1:5" ht="19.5" customHeight="1">
      <c r="A500" s="325"/>
      <c r="B500" s="325"/>
      <c r="C500" s="325"/>
      <c r="D500" s="326"/>
      <c r="E500" s="195"/>
    </row>
    <row r="501" spans="1:5" ht="19.5" customHeight="1">
      <c r="A501" s="325"/>
      <c r="B501" s="325"/>
      <c r="C501" s="325"/>
      <c r="D501" s="326"/>
      <c r="E501" s="195"/>
    </row>
    <row r="502" spans="1:5" ht="19.5" customHeight="1">
      <c r="A502" s="325"/>
      <c r="B502" s="325"/>
      <c r="C502" s="325"/>
      <c r="D502" s="326"/>
      <c r="E502" s="195"/>
    </row>
    <row r="503" spans="1:5" ht="19.5" customHeight="1">
      <c r="A503" s="325"/>
      <c r="B503" s="325"/>
      <c r="C503" s="325"/>
      <c r="D503" s="326"/>
      <c r="E503" s="195"/>
    </row>
    <row r="504" spans="1:5" ht="19.5" customHeight="1">
      <c r="A504" s="325"/>
      <c r="B504" s="325"/>
      <c r="C504" s="325"/>
      <c r="D504" s="326"/>
      <c r="E504" s="195"/>
    </row>
    <row r="505" spans="1:5" ht="19.5" customHeight="1">
      <c r="A505" s="325"/>
      <c r="B505" s="325"/>
      <c r="C505" s="325"/>
      <c r="D505" s="326"/>
      <c r="E505" s="195"/>
    </row>
    <row r="506" spans="1:5" ht="19.5" customHeight="1">
      <c r="A506" s="325"/>
      <c r="B506" s="325"/>
      <c r="C506" s="325"/>
      <c r="D506" s="326"/>
      <c r="E506" s="195"/>
    </row>
    <row r="507" spans="1:5" ht="19.5" customHeight="1">
      <c r="A507" s="325"/>
      <c r="B507" s="325"/>
      <c r="C507" s="325"/>
      <c r="D507" s="326"/>
      <c r="E507" s="195"/>
    </row>
    <row r="508" spans="1:5" ht="19.5" customHeight="1">
      <c r="A508" s="325"/>
      <c r="B508" s="325"/>
      <c r="C508" s="325"/>
      <c r="D508" s="326"/>
      <c r="E508" s="195"/>
    </row>
    <row r="509" spans="1:5" ht="19.5" customHeight="1">
      <c r="A509" s="325"/>
      <c r="B509" s="325"/>
      <c r="C509" s="325"/>
      <c r="D509" s="326"/>
      <c r="E509" s="195"/>
    </row>
    <row r="510" spans="1:5" ht="19.5" customHeight="1">
      <c r="A510" s="325"/>
      <c r="B510" s="325"/>
      <c r="C510" s="325"/>
      <c r="D510" s="326"/>
      <c r="E510" s="195"/>
    </row>
    <row r="511" spans="1:5" ht="19.5" customHeight="1">
      <c r="A511" s="325"/>
      <c r="B511" s="325"/>
      <c r="C511" s="325"/>
      <c r="D511" s="326"/>
      <c r="E511" s="195"/>
    </row>
    <row r="512" spans="1:5" ht="19.5" customHeight="1">
      <c r="A512" s="325"/>
      <c r="B512" s="325"/>
      <c r="C512" s="325"/>
      <c r="D512" s="326"/>
      <c r="E512" s="195"/>
    </row>
    <row r="513" spans="1:5" ht="19.5" customHeight="1">
      <c r="A513" s="325"/>
      <c r="B513" s="325"/>
      <c r="C513" s="325"/>
      <c r="D513" s="326"/>
      <c r="E513" s="195"/>
    </row>
    <row r="514" spans="1:5" ht="19.5" customHeight="1">
      <c r="A514" s="325"/>
      <c r="B514" s="325"/>
      <c r="C514" s="325"/>
      <c r="D514" s="326"/>
      <c r="E514" s="195"/>
    </row>
    <row r="515" spans="1:5" ht="19.5" customHeight="1">
      <c r="A515" s="325"/>
      <c r="B515" s="325"/>
      <c r="C515" s="325"/>
      <c r="D515" s="326"/>
      <c r="E515" s="195"/>
    </row>
    <row r="516" spans="1:5" ht="19.5" customHeight="1">
      <c r="A516" s="325"/>
      <c r="B516" s="325"/>
      <c r="C516" s="325"/>
      <c r="D516" s="326"/>
      <c r="E516" s="195"/>
    </row>
    <row r="517" spans="1:5" ht="19.5" customHeight="1">
      <c r="A517" s="325"/>
      <c r="B517" s="325"/>
      <c r="C517" s="325"/>
      <c r="D517" s="326"/>
      <c r="E517" s="195"/>
    </row>
    <row r="518" spans="1:5" ht="19.5" customHeight="1">
      <c r="A518" s="325"/>
      <c r="B518" s="325"/>
      <c r="C518" s="325"/>
      <c r="D518" s="326"/>
      <c r="E518" s="195"/>
    </row>
    <row r="519" spans="1:5" ht="19.5" customHeight="1">
      <c r="A519" s="325"/>
      <c r="B519" s="325"/>
      <c r="C519" s="325"/>
      <c r="D519" s="326"/>
      <c r="E519" s="195"/>
    </row>
    <row r="520" spans="1:5" ht="19.5" customHeight="1">
      <c r="A520" s="325"/>
      <c r="B520" s="325"/>
      <c r="C520" s="325"/>
      <c r="D520" s="326"/>
      <c r="E520" s="195"/>
    </row>
    <row r="521" spans="1:5" ht="19.5" customHeight="1">
      <c r="A521" s="325"/>
      <c r="B521" s="325"/>
      <c r="C521" s="325"/>
      <c r="D521" s="326"/>
      <c r="E521" s="195"/>
    </row>
    <row r="522" spans="1:5" ht="19.5" customHeight="1">
      <c r="A522" s="325"/>
      <c r="B522" s="325"/>
      <c r="C522" s="325"/>
      <c r="D522" s="326"/>
      <c r="E522" s="195"/>
    </row>
    <row r="523" spans="1:5" ht="19.5" customHeight="1">
      <c r="A523" s="325"/>
      <c r="B523" s="325"/>
      <c r="C523" s="325"/>
      <c r="D523" s="326"/>
      <c r="E523" s="195"/>
    </row>
    <row r="524" spans="1:5" ht="19.5" customHeight="1">
      <c r="A524" s="325"/>
      <c r="B524" s="325"/>
      <c r="C524" s="325"/>
      <c r="D524" s="326"/>
      <c r="E524" s="195"/>
    </row>
    <row r="525" spans="1:5" ht="19.5" customHeight="1">
      <c r="A525" s="325"/>
      <c r="B525" s="325"/>
      <c r="C525" s="325"/>
      <c r="D525" s="326"/>
      <c r="E525" s="195"/>
    </row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</sheetData>
  <sheetProtection password="CF93" sheet="1" objects="1" scenarios="1" selectLockedCells="1" selectUnlockedCells="1"/>
  <mergeCells count="11">
    <mergeCell ref="G90:G91"/>
    <mergeCell ref="F1:G1"/>
    <mergeCell ref="A3:G3"/>
    <mergeCell ref="A7:D7"/>
    <mergeCell ref="A376:D376"/>
    <mergeCell ref="E42:E43"/>
    <mergeCell ref="F42:F43"/>
    <mergeCell ref="G42:G43"/>
    <mergeCell ref="A266:D266"/>
    <mergeCell ref="E90:E91"/>
    <mergeCell ref="F90:F91"/>
  </mergeCells>
  <printOptions horizontalCentered="1"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indexed="42"/>
  </sheetPr>
  <dimension ref="A1:J221"/>
  <sheetViews>
    <sheetView view="pageBreakPreview" zoomScaleSheetLayoutView="100" workbookViewId="0" topLeftCell="A1">
      <selection activeCell="I82" sqref="I82"/>
    </sheetView>
  </sheetViews>
  <sheetFormatPr defaultColWidth="9.00390625" defaultRowHeight="12.75"/>
  <cols>
    <col min="1" max="1" width="5.625" style="333" customWidth="1"/>
    <col min="2" max="2" width="6.875" style="333" customWidth="1"/>
    <col min="3" max="3" width="5.125" style="333" customWidth="1"/>
    <col min="4" max="4" width="40.25390625" style="334" customWidth="1"/>
    <col min="5" max="5" width="13.00390625" style="131" customWidth="1"/>
    <col min="6" max="6" width="13.125" style="131" customWidth="1"/>
    <col min="7" max="7" width="5.625" style="329" customWidth="1"/>
    <col min="8" max="8" width="4.25390625" style="131" customWidth="1"/>
    <col min="9" max="10" width="13.25390625" style="131" customWidth="1"/>
    <col min="11" max="16384" width="9.125" style="131" customWidth="1"/>
  </cols>
  <sheetData>
    <row r="1" spans="1:7" s="98" customFormat="1" ht="12.75">
      <c r="A1" s="209"/>
      <c r="B1" s="209"/>
      <c r="C1" s="209"/>
      <c r="D1" s="210"/>
      <c r="E1" s="210"/>
      <c r="F1" s="1326" t="s">
        <v>448</v>
      </c>
      <c r="G1" s="1326"/>
    </row>
    <row r="2" spans="1:7" s="98" customFormat="1" ht="21.75" customHeight="1">
      <c r="A2" s="209"/>
      <c r="B2" s="209"/>
      <c r="C2" s="209"/>
      <c r="E2" s="210"/>
      <c r="G2" s="211"/>
    </row>
    <row r="3" spans="1:7" s="212" customFormat="1" ht="30.75" customHeight="1">
      <c r="A3" s="1391" t="s">
        <v>815</v>
      </c>
      <c r="B3" s="1391"/>
      <c r="C3" s="1391"/>
      <c r="D3" s="1391"/>
      <c r="E3" s="1391"/>
      <c r="F3" s="1391"/>
      <c r="G3" s="1391"/>
    </row>
    <row r="4" spans="1:7" s="98" customFormat="1" ht="13.5" customHeight="1" thickBot="1">
      <c r="A4" s="209"/>
      <c r="B4" s="209"/>
      <c r="C4" s="209"/>
      <c r="D4" s="210"/>
      <c r="G4" s="211" t="s">
        <v>1035</v>
      </c>
    </row>
    <row r="5" spans="1:7" s="177" customFormat="1" ht="18" customHeight="1">
      <c r="A5" s="213" t="s">
        <v>1215</v>
      </c>
      <c r="B5" s="214" t="s">
        <v>1036</v>
      </c>
      <c r="C5" s="214" t="s">
        <v>1221</v>
      </c>
      <c r="D5" s="214" t="s">
        <v>1037</v>
      </c>
      <c r="E5" s="215" t="s">
        <v>1038</v>
      </c>
      <c r="F5" s="216" t="s">
        <v>1039</v>
      </c>
      <c r="G5" s="217" t="s">
        <v>1040</v>
      </c>
    </row>
    <row r="6" spans="1:7" s="223" customFormat="1" ht="15" customHeight="1" thickBot="1">
      <c r="A6" s="218">
        <v>1</v>
      </c>
      <c r="B6" s="219">
        <v>2</v>
      </c>
      <c r="C6" s="219">
        <v>3</v>
      </c>
      <c r="D6" s="219">
        <v>4</v>
      </c>
      <c r="E6" s="220">
        <v>5</v>
      </c>
      <c r="F6" s="221">
        <v>6</v>
      </c>
      <c r="G6" s="222">
        <v>7</v>
      </c>
    </row>
    <row r="7" spans="1:7" s="226" customFormat="1" ht="22.5" customHeight="1">
      <c r="A7" s="1386" t="s">
        <v>812</v>
      </c>
      <c r="B7" s="1387"/>
      <c r="C7" s="1387"/>
      <c r="D7" s="1388"/>
      <c r="E7" s="296">
        <f>SUM(E8,E11,E19,E22,E26,E29,E32,E40)</f>
        <v>30221065</v>
      </c>
      <c r="F7" s="296">
        <f>SUM(F8,F11,F19,F22,F26,F29,F32,F40)</f>
        <v>10438369.700000001</v>
      </c>
      <c r="G7" s="228">
        <f>F7/E7*100</f>
        <v>34.54004582565175</v>
      </c>
    </row>
    <row r="8" spans="1:7" s="127" customFormat="1" ht="18" customHeight="1">
      <c r="A8" s="106" t="s">
        <v>1043</v>
      </c>
      <c r="B8" s="124"/>
      <c r="C8" s="124"/>
      <c r="D8" s="125" t="s">
        <v>1222</v>
      </c>
      <c r="E8" s="126">
        <f>SUM(E9)</f>
        <v>50000</v>
      </c>
      <c r="F8" s="126">
        <f>SUM(F9)</f>
        <v>31674.82</v>
      </c>
      <c r="G8" s="110">
        <f>F8/E8*100</f>
        <v>63.349639999999994</v>
      </c>
    </row>
    <row r="9" spans="1:7" ht="21" customHeight="1">
      <c r="A9" s="112"/>
      <c r="B9" s="128" t="s">
        <v>1044</v>
      </c>
      <c r="C9" s="128"/>
      <c r="D9" s="129" t="s">
        <v>1042</v>
      </c>
      <c r="E9" s="130">
        <f>SUM(E10)</f>
        <v>50000</v>
      </c>
      <c r="F9" s="130">
        <f>SUM(F10)</f>
        <v>31674.82</v>
      </c>
      <c r="G9" s="116">
        <f>F9/E9*100</f>
        <v>63.349639999999994</v>
      </c>
    </row>
    <row r="10" spans="1:7" s="135" customFormat="1" ht="20.25" customHeight="1">
      <c r="A10" s="118"/>
      <c r="B10" s="132"/>
      <c r="C10" s="132" t="s">
        <v>153</v>
      </c>
      <c r="D10" s="136" t="s">
        <v>152</v>
      </c>
      <c r="E10" s="134">
        <f>SUM(6D!E14)</f>
        <v>50000</v>
      </c>
      <c r="F10" s="134">
        <f>SUM(6D!F14)</f>
        <v>31674.82</v>
      </c>
      <c r="G10" s="122">
        <f>F10/E10*100</f>
        <v>63.349639999999994</v>
      </c>
    </row>
    <row r="11" spans="1:7" ht="19.5" customHeight="1">
      <c r="A11" s="106" t="s">
        <v>1046</v>
      </c>
      <c r="B11" s="124"/>
      <c r="C11" s="124"/>
      <c r="D11" s="140" t="s">
        <v>1047</v>
      </c>
      <c r="E11" s="141">
        <f>SUM(E12,E14)</f>
        <v>9333154</v>
      </c>
      <c r="F11" s="142">
        <f>SUM(F12,F14)</f>
        <v>9127537</v>
      </c>
      <c r="G11" s="122">
        <f>F11/E11*100</f>
        <v>97.79691838364609</v>
      </c>
    </row>
    <row r="12" spans="1:7" ht="19.5" customHeight="1" hidden="1">
      <c r="A12" s="106"/>
      <c r="B12" s="128" t="s">
        <v>1049</v>
      </c>
      <c r="C12" s="128"/>
      <c r="D12" s="114" t="s">
        <v>1050</v>
      </c>
      <c r="E12" s="297">
        <f>SUM(E13)</f>
        <v>0</v>
      </c>
      <c r="F12" s="192">
        <f>SUM(F13)</f>
        <v>0</v>
      </c>
      <c r="G12" s="17" t="s">
        <v>1274</v>
      </c>
    </row>
    <row r="13" spans="1:7" ht="19.5" customHeight="1" hidden="1">
      <c r="A13" s="106"/>
      <c r="B13" s="234"/>
      <c r="C13" s="132" t="s">
        <v>153</v>
      </c>
      <c r="D13" s="136" t="s">
        <v>152</v>
      </c>
      <c r="E13" s="298">
        <f>SUM(6D!E25)</f>
        <v>0</v>
      </c>
      <c r="F13" s="168">
        <f>SUM(6D!F25)</f>
        <v>0</v>
      </c>
      <c r="G13" s="17" t="s">
        <v>1274</v>
      </c>
    </row>
    <row r="14" spans="1:7" ht="18" customHeight="1">
      <c r="A14" s="112"/>
      <c r="B14" s="143" t="s">
        <v>76</v>
      </c>
      <c r="C14" s="128"/>
      <c r="D14" s="114" t="s">
        <v>77</v>
      </c>
      <c r="E14" s="299">
        <f>SUM(E15,E17)</f>
        <v>9333154</v>
      </c>
      <c r="F14" s="299">
        <f>SUM(F15,F17)</f>
        <v>9127537</v>
      </c>
      <c r="G14" s="139">
        <f>F14/E14*100</f>
        <v>97.79691838364609</v>
      </c>
    </row>
    <row r="15" spans="1:7" s="135" customFormat="1" ht="54.75" customHeight="1">
      <c r="A15" s="118"/>
      <c r="B15" s="144"/>
      <c r="C15" s="132" t="s">
        <v>920</v>
      </c>
      <c r="D15" s="136" t="s">
        <v>296</v>
      </c>
      <c r="E15" s="300">
        <f>SUM(6D!E33)</f>
        <v>3971550</v>
      </c>
      <c r="F15" s="300">
        <f>SUM(6D!F33)</f>
        <v>3765933</v>
      </c>
      <c r="G15" s="17">
        <f>F15/E15*100</f>
        <v>94.82275182233637</v>
      </c>
    </row>
    <row r="16" spans="1:7" s="135" customFormat="1" ht="66.75" customHeight="1">
      <c r="A16" s="118"/>
      <c r="B16" s="144"/>
      <c r="C16" s="132"/>
      <c r="D16" s="121" t="s">
        <v>711</v>
      </c>
      <c r="E16" s="16"/>
      <c r="F16" s="16"/>
      <c r="G16" s="17"/>
    </row>
    <row r="17" spans="1:7" s="135" customFormat="1" ht="54" customHeight="1">
      <c r="A17" s="118"/>
      <c r="B17" s="144"/>
      <c r="C17" s="132" t="s">
        <v>832</v>
      </c>
      <c r="D17" s="136" t="s">
        <v>296</v>
      </c>
      <c r="E17" s="16">
        <f>6D!E35</f>
        <v>5361604</v>
      </c>
      <c r="F17" s="16">
        <f>6D!F35</f>
        <v>5361604</v>
      </c>
      <c r="G17" s="17">
        <f>F17/E17*100</f>
        <v>100</v>
      </c>
    </row>
    <row r="18" spans="1:7" s="135" customFormat="1" ht="78" customHeight="1">
      <c r="A18" s="118"/>
      <c r="B18" s="144"/>
      <c r="C18" s="132"/>
      <c r="D18" s="121" t="s">
        <v>392</v>
      </c>
      <c r="E18" s="16"/>
      <c r="F18" s="16"/>
      <c r="G18" s="122"/>
    </row>
    <row r="19" spans="1:7" s="127" customFormat="1" ht="19.5" customHeight="1">
      <c r="A19" s="106" t="s">
        <v>1051</v>
      </c>
      <c r="B19" s="124"/>
      <c r="C19" s="124"/>
      <c r="D19" s="140" t="s">
        <v>1052</v>
      </c>
      <c r="E19" s="126">
        <f>SUM(E20)</f>
        <v>0</v>
      </c>
      <c r="F19" s="126">
        <f>SUM(F20)</f>
        <v>70.5</v>
      </c>
      <c r="G19" s="110" t="s">
        <v>1274</v>
      </c>
    </row>
    <row r="20" spans="1:7" ht="22.5" customHeight="1">
      <c r="A20" s="112"/>
      <c r="B20" s="128" t="s">
        <v>56</v>
      </c>
      <c r="C20" s="128"/>
      <c r="D20" s="114" t="s">
        <v>57</v>
      </c>
      <c r="E20" s="130">
        <f>SUM(E21)</f>
        <v>0</v>
      </c>
      <c r="F20" s="130">
        <f>SUM(F21)</f>
        <v>70.5</v>
      </c>
      <c r="G20" s="116" t="s">
        <v>1274</v>
      </c>
    </row>
    <row r="21" spans="1:7" ht="21" customHeight="1">
      <c r="A21" s="118"/>
      <c r="B21" s="132"/>
      <c r="C21" s="132" t="s">
        <v>153</v>
      </c>
      <c r="D21" s="136" t="s">
        <v>152</v>
      </c>
      <c r="E21" s="134">
        <f>SUM(6D!E39)</f>
        <v>0</v>
      </c>
      <c r="F21" s="134">
        <f>SUM(6D!F39)</f>
        <v>70.5</v>
      </c>
      <c r="G21" s="122" t="s">
        <v>1274</v>
      </c>
    </row>
    <row r="22" spans="1:7" s="127" customFormat="1" ht="21" customHeight="1">
      <c r="A22" s="106" t="s">
        <v>1053</v>
      </c>
      <c r="B22" s="124"/>
      <c r="C22" s="124"/>
      <c r="D22" s="125" t="s">
        <v>1054</v>
      </c>
      <c r="E22" s="126">
        <f>SUM(E23)</f>
        <v>15872294</v>
      </c>
      <c r="F22" s="126">
        <f>SUM(F23)</f>
        <v>855903.38</v>
      </c>
      <c r="G22" s="110">
        <f aca="true" t="shared" si="0" ref="G22:G34">F22/E22*100</f>
        <v>5.392436531228567</v>
      </c>
    </row>
    <row r="23" spans="1:7" ht="21" customHeight="1">
      <c r="A23" s="118"/>
      <c r="B23" s="128" t="s">
        <v>1055</v>
      </c>
      <c r="C23" s="128"/>
      <c r="D23" s="129" t="s">
        <v>1056</v>
      </c>
      <c r="E23" s="130">
        <f>SUM(E24,E25)</f>
        <v>15872294</v>
      </c>
      <c r="F23" s="130">
        <f>SUM(F24,F25)</f>
        <v>855903.38</v>
      </c>
      <c r="G23" s="116">
        <f t="shared" si="0"/>
        <v>5.392436531228567</v>
      </c>
    </row>
    <row r="24" spans="1:7" s="135" customFormat="1" ht="43.5" customHeight="1">
      <c r="A24" s="118"/>
      <c r="B24" s="132"/>
      <c r="C24" s="132" t="s">
        <v>189</v>
      </c>
      <c r="D24" s="136" t="s">
        <v>1237</v>
      </c>
      <c r="E24" s="134">
        <f>SUM(6D!E56)</f>
        <v>150000</v>
      </c>
      <c r="F24" s="134">
        <f>SUM(6D!F56)</f>
        <v>159920.58</v>
      </c>
      <c r="G24" s="122">
        <f t="shared" si="0"/>
        <v>106.61372</v>
      </c>
    </row>
    <row r="25" spans="1:7" s="147" customFormat="1" ht="48" customHeight="1">
      <c r="A25" s="118"/>
      <c r="B25" s="132"/>
      <c r="C25" s="132" t="s">
        <v>190</v>
      </c>
      <c r="D25" s="136" t="s">
        <v>297</v>
      </c>
      <c r="E25" s="134">
        <f>SUM(6D!E57)</f>
        <v>15722294</v>
      </c>
      <c r="F25" s="134">
        <f>SUM(6D!F57)</f>
        <v>695982.8</v>
      </c>
      <c r="G25" s="122">
        <f t="shared" si="0"/>
        <v>4.426725514737226</v>
      </c>
    </row>
    <row r="26" spans="1:7" s="147" customFormat="1" ht="23.25" customHeight="1" hidden="1">
      <c r="A26" s="152" t="s">
        <v>1090</v>
      </c>
      <c r="B26" s="153"/>
      <c r="C26" s="153"/>
      <c r="D26" s="155" t="s">
        <v>1091</v>
      </c>
      <c r="E26" s="126">
        <f>SUM(E27)</f>
        <v>0</v>
      </c>
      <c r="F26" s="126">
        <f>SUM(F27)</f>
        <v>0</v>
      </c>
      <c r="G26" s="110" t="s">
        <v>1274</v>
      </c>
    </row>
    <row r="27" spans="1:7" s="147" customFormat="1" ht="20.25" customHeight="1" hidden="1">
      <c r="A27" s="118"/>
      <c r="B27" s="157" t="s">
        <v>1282</v>
      </c>
      <c r="C27" s="157"/>
      <c r="D27" s="158" t="s">
        <v>1283</v>
      </c>
      <c r="E27" s="130">
        <f>SUM(E28)</f>
        <v>0</v>
      </c>
      <c r="F27" s="130">
        <f>SUM(F28)</f>
        <v>0</v>
      </c>
      <c r="G27" s="116" t="s">
        <v>1274</v>
      </c>
    </row>
    <row r="28" spans="1:7" s="147" customFormat="1" ht="21" customHeight="1" hidden="1">
      <c r="A28" s="118"/>
      <c r="B28" s="132"/>
      <c r="C28" s="151" t="s">
        <v>153</v>
      </c>
      <c r="D28" s="136" t="s">
        <v>152</v>
      </c>
      <c r="E28" s="134">
        <f>SUM(6D!E148)</f>
        <v>0</v>
      </c>
      <c r="F28" s="134">
        <f>SUM(6D!F148)</f>
        <v>0</v>
      </c>
      <c r="G28" s="122" t="s">
        <v>1274</v>
      </c>
    </row>
    <row r="29" spans="1:7" s="127" customFormat="1" ht="21.75" customHeight="1">
      <c r="A29" s="152" t="s">
        <v>264</v>
      </c>
      <c r="B29" s="153"/>
      <c r="C29" s="171"/>
      <c r="D29" s="140" t="s">
        <v>275</v>
      </c>
      <c r="E29" s="142">
        <f>SUM(E30)</f>
        <v>1400000</v>
      </c>
      <c r="F29" s="142">
        <f>SUM(F30)</f>
        <v>0</v>
      </c>
      <c r="G29" s="110">
        <f>F29/E29*100</f>
        <v>0</v>
      </c>
    </row>
    <row r="30" spans="1:7" ht="18" customHeight="1">
      <c r="A30" s="156"/>
      <c r="B30" s="157" t="s">
        <v>274</v>
      </c>
      <c r="C30" s="169"/>
      <c r="D30" s="114" t="s">
        <v>1042</v>
      </c>
      <c r="E30" s="159">
        <f>SUM(E31)</f>
        <v>1400000</v>
      </c>
      <c r="F30" s="159">
        <f>SUM(F31)</f>
        <v>0</v>
      </c>
      <c r="G30" s="116">
        <f>F30/E30*100</f>
        <v>0</v>
      </c>
    </row>
    <row r="31" spans="1:7" ht="54.75" customHeight="1">
      <c r="A31" s="150"/>
      <c r="B31" s="151"/>
      <c r="C31" s="132" t="s">
        <v>260</v>
      </c>
      <c r="D31" s="136" t="s">
        <v>296</v>
      </c>
      <c r="E31" s="149">
        <f>6D!E217</f>
        <v>1400000</v>
      </c>
      <c r="F31" s="149">
        <f>6D!F217</f>
        <v>0</v>
      </c>
      <c r="G31" s="116">
        <f>F31/E31*100</f>
        <v>0</v>
      </c>
    </row>
    <row r="32" spans="1:7" s="135" customFormat="1" ht="29.25" customHeight="1">
      <c r="A32" s="152" t="s">
        <v>1177</v>
      </c>
      <c r="B32" s="153"/>
      <c r="C32" s="153"/>
      <c r="D32" s="172" t="s">
        <v>1287</v>
      </c>
      <c r="E32" s="142">
        <f>SUM(E33,E35,E38)</f>
        <v>2899617</v>
      </c>
      <c r="F32" s="142">
        <f>SUM(F33,F35,F38)</f>
        <v>423184</v>
      </c>
      <c r="G32" s="110">
        <f t="shared" si="0"/>
        <v>14.594479201908388</v>
      </c>
    </row>
    <row r="33" spans="1:7" ht="21.75" customHeight="1" hidden="1">
      <c r="A33" s="156"/>
      <c r="B33" s="157" t="s">
        <v>277</v>
      </c>
      <c r="C33" s="169"/>
      <c r="D33" s="160" t="s">
        <v>278</v>
      </c>
      <c r="E33" s="159">
        <f>SUM(E34)</f>
        <v>0</v>
      </c>
      <c r="F33" s="159">
        <f>SUM(F34)</f>
        <v>0</v>
      </c>
      <c r="G33" s="116" t="e">
        <f t="shared" si="0"/>
        <v>#DIV/0!</v>
      </c>
    </row>
    <row r="34" spans="1:7" s="135" customFormat="1" ht="21.75" customHeight="1" hidden="1">
      <c r="A34" s="150"/>
      <c r="B34" s="151"/>
      <c r="C34" s="148" t="s">
        <v>153</v>
      </c>
      <c r="D34" s="121" t="s">
        <v>152</v>
      </c>
      <c r="E34" s="149">
        <f>SUM(6D!E231)</f>
        <v>0</v>
      </c>
      <c r="F34" s="149">
        <f>SUM(6D!F231)</f>
        <v>0</v>
      </c>
      <c r="G34" s="122" t="e">
        <f t="shared" si="0"/>
        <v>#DIV/0!</v>
      </c>
    </row>
    <row r="35" spans="1:7" ht="18" customHeight="1">
      <c r="A35" s="156"/>
      <c r="B35" s="157" t="s">
        <v>630</v>
      </c>
      <c r="C35" s="169"/>
      <c r="D35" s="160" t="s">
        <v>631</v>
      </c>
      <c r="E35" s="159">
        <f>SUM(E36)</f>
        <v>2899617</v>
      </c>
      <c r="F35" s="159">
        <f>SUM(F36)</f>
        <v>422741.27</v>
      </c>
      <c r="G35" s="116">
        <f>F35/E35*100</f>
        <v>14.579210633680242</v>
      </c>
    </row>
    <row r="36" spans="1:7" ht="53.25" customHeight="1">
      <c r="A36" s="150"/>
      <c r="B36" s="151"/>
      <c r="C36" s="148" t="s">
        <v>920</v>
      </c>
      <c r="D36" s="136" t="s">
        <v>296</v>
      </c>
      <c r="E36" s="149">
        <f>SUM(6D!E236)</f>
        <v>2899617</v>
      </c>
      <c r="F36" s="149">
        <f>SUM(6D!F236)</f>
        <v>422741.27</v>
      </c>
      <c r="G36" s="122">
        <f>F36/E36*100</f>
        <v>14.579210633680242</v>
      </c>
    </row>
    <row r="37" spans="1:7" ht="64.5" customHeight="1">
      <c r="A37" s="150"/>
      <c r="B37" s="151"/>
      <c r="C37" s="148"/>
      <c r="D37" s="121" t="s">
        <v>385</v>
      </c>
      <c r="E37" s="149"/>
      <c r="F37" s="149"/>
      <c r="G37" s="122"/>
    </row>
    <row r="38" spans="1:7" ht="20.25" customHeight="1">
      <c r="A38" s="156"/>
      <c r="B38" s="157" t="s">
        <v>1181</v>
      </c>
      <c r="C38" s="157"/>
      <c r="D38" s="158" t="s">
        <v>1042</v>
      </c>
      <c r="E38" s="159">
        <f>SUM(E39)</f>
        <v>0</v>
      </c>
      <c r="F38" s="159">
        <f>SUM(F39)</f>
        <v>442.73</v>
      </c>
      <c r="G38" s="116" t="s">
        <v>1274</v>
      </c>
    </row>
    <row r="39" spans="1:7" s="135" customFormat="1" ht="21.75" customHeight="1">
      <c r="A39" s="150"/>
      <c r="B39" s="151"/>
      <c r="C39" s="148" t="s">
        <v>153</v>
      </c>
      <c r="D39" s="121" t="s">
        <v>152</v>
      </c>
      <c r="E39" s="149">
        <f>SUM(6D!E244)</f>
        <v>0</v>
      </c>
      <c r="F39" s="149">
        <f>SUM(6D!F244)</f>
        <v>442.73</v>
      </c>
      <c r="G39" s="122" t="s">
        <v>1274</v>
      </c>
    </row>
    <row r="40" spans="1:7" s="127" customFormat="1" ht="21.75" customHeight="1">
      <c r="A40" s="152" t="s">
        <v>1206</v>
      </c>
      <c r="B40" s="301"/>
      <c r="C40" s="302"/>
      <c r="D40" s="303" t="s">
        <v>1207</v>
      </c>
      <c r="E40" s="304">
        <f>SUM(E41)</f>
        <v>666000</v>
      </c>
      <c r="F40" s="304">
        <f>SUM(F41)</f>
        <v>0</v>
      </c>
      <c r="G40" s="305">
        <f aca="true" t="shared" si="1" ref="G40:G48">F40/E40*100</f>
        <v>0</v>
      </c>
    </row>
    <row r="41" spans="1:7" ht="21.75" customHeight="1">
      <c r="A41" s="156"/>
      <c r="B41" s="189" t="s">
        <v>1211</v>
      </c>
      <c r="C41" s="201"/>
      <c r="D41" s="202" t="s">
        <v>1212</v>
      </c>
      <c r="E41" s="192">
        <f>SUM(E42,E43,E44)</f>
        <v>666000</v>
      </c>
      <c r="F41" s="192">
        <f>SUM(F42,F43,F44)</f>
        <v>0</v>
      </c>
      <c r="G41" s="139">
        <f t="shared" si="1"/>
        <v>0</v>
      </c>
    </row>
    <row r="42" spans="1:7" s="135" customFormat="1" ht="55.5" customHeight="1" hidden="1">
      <c r="A42" s="150"/>
      <c r="B42" s="166"/>
      <c r="C42" s="151" t="s">
        <v>621</v>
      </c>
      <c r="D42" s="121" t="s">
        <v>625</v>
      </c>
      <c r="E42" s="149">
        <f>SUM(6D!E258)</f>
        <v>0</v>
      </c>
      <c r="F42" s="149">
        <f>SUM(6D!F258)</f>
        <v>0</v>
      </c>
      <c r="G42" s="122" t="e">
        <f t="shared" si="1"/>
        <v>#DIV/0!</v>
      </c>
    </row>
    <row r="43" spans="1:7" s="135" customFormat="1" ht="54.75" customHeight="1">
      <c r="A43" s="150"/>
      <c r="B43" s="166"/>
      <c r="C43" s="151" t="s">
        <v>622</v>
      </c>
      <c r="D43" s="121" t="s">
        <v>626</v>
      </c>
      <c r="E43" s="149">
        <f>SUM(6D!E259)</f>
        <v>333000</v>
      </c>
      <c r="F43" s="149">
        <f>SUM(6D!F259)</f>
        <v>0</v>
      </c>
      <c r="G43" s="122">
        <f t="shared" si="1"/>
        <v>0</v>
      </c>
    </row>
    <row r="44" spans="1:7" s="135" customFormat="1" ht="42" customHeight="1">
      <c r="A44" s="203"/>
      <c r="B44" s="204"/>
      <c r="C44" s="306" t="s">
        <v>255</v>
      </c>
      <c r="D44" s="307" t="s">
        <v>69</v>
      </c>
      <c r="E44" s="308">
        <f>SUM(6D!E260)</f>
        <v>333000</v>
      </c>
      <c r="F44" s="308">
        <f>SUM(6D!F260)</f>
        <v>0</v>
      </c>
      <c r="G44" s="309">
        <f t="shared" si="1"/>
        <v>0</v>
      </c>
    </row>
    <row r="45" spans="1:7" s="229" customFormat="1" ht="22.5" customHeight="1">
      <c r="A45" s="1386" t="s">
        <v>810</v>
      </c>
      <c r="B45" s="1387"/>
      <c r="C45" s="1387"/>
      <c r="D45" s="1388"/>
      <c r="E45" s="227">
        <f>SUM(E46,E55,E58,E61,E64)</f>
        <v>1813000</v>
      </c>
      <c r="F45" s="227">
        <f>SUM(F46,F55,F58,F61,F64)</f>
        <v>0</v>
      </c>
      <c r="G45" s="228">
        <f t="shared" si="1"/>
        <v>0</v>
      </c>
    </row>
    <row r="46" spans="1:7" s="233" customFormat="1" ht="21.75" customHeight="1">
      <c r="A46" s="106" t="s">
        <v>1046</v>
      </c>
      <c r="B46" s="124"/>
      <c r="C46" s="124"/>
      <c r="D46" s="140" t="s">
        <v>1047</v>
      </c>
      <c r="E46" s="126">
        <f>SUM(E47,E50)</f>
        <v>1813000</v>
      </c>
      <c r="F46" s="126">
        <f>SUM(F47,F50)</f>
        <v>0</v>
      </c>
      <c r="G46" s="110">
        <f t="shared" si="1"/>
        <v>0</v>
      </c>
    </row>
    <row r="47" spans="1:7" s="232" customFormat="1" ht="21.75" customHeight="1" hidden="1">
      <c r="A47" s="112"/>
      <c r="B47" s="128" t="s">
        <v>1076</v>
      </c>
      <c r="C47" s="128"/>
      <c r="D47" s="114" t="s">
        <v>921</v>
      </c>
      <c r="E47" s="130">
        <f>SUM(E48)</f>
        <v>0</v>
      </c>
      <c r="F47" s="130">
        <f>SUM(F48)</f>
        <v>0</v>
      </c>
      <c r="G47" s="116" t="e">
        <f t="shared" si="1"/>
        <v>#DIV/0!</v>
      </c>
    </row>
    <row r="48" spans="1:7" s="147" customFormat="1" ht="54" customHeight="1" hidden="1">
      <c r="A48" s="118"/>
      <c r="B48" s="132"/>
      <c r="C48" s="132" t="s">
        <v>920</v>
      </c>
      <c r="D48" s="136" t="s">
        <v>1075</v>
      </c>
      <c r="E48" s="134">
        <f>SUM(6D!E273)</f>
        <v>0</v>
      </c>
      <c r="F48" s="134">
        <f>SUM(6D!F273)</f>
        <v>0</v>
      </c>
      <c r="G48" s="122" t="e">
        <f t="shared" si="1"/>
        <v>#DIV/0!</v>
      </c>
    </row>
    <row r="49" spans="1:7" s="147" customFormat="1" ht="67.5" customHeight="1" hidden="1">
      <c r="A49" s="118"/>
      <c r="B49" s="132"/>
      <c r="C49" s="132"/>
      <c r="D49" s="136" t="s">
        <v>385</v>
      </c>
      <c r="E49" s="134"/>
      <c r="F49" s="134"/>
      <c r="G49" s="116"/>
    </row>
    <row r="50" spans="1:7" s="232" customFormat="1" ht="42" customHeight="1">
      <c r="A50" s="112"/>
      <c r="B50" s="128" t="s">
        <v>1048</v>
      </c>
      <c r="C50" s="128"/>
      <c r="D50" s="114" t="s">
        <v>245</v>
      </c>
      <c r="E50" s="130">
        <f>SUM(E51,E52,E54)</f>
        <v>1813000</v>
      </c>
      <c r="F50" s="130">
        <f>SUM(F51,F52,F54)</f>
        <v>0</v>
      </c>
      <c r="G50" s="116">
        <f>F50/E50*100</f>
        <v>0</v>
      </c>
    </row>
    <row r="51" spans="1:7" s="147" customFormat="1" ht="57" customHeight="1">
      <c r="A51" s="118"/>
      <c r="B51" s="132"/>
      <c r="C51" s="132" t="s">
        <v>260</v>
      </c>
      <c r="D51" s="136" t="s">
        <v>296</v>
      </c>
      <c r="E51" s="16">
        <f>SUM(6D!E279)</f>
        <v>1813000</v>
      </c>
      <c r="F51" s="16">
        <f>SUM(6D!F279)</f>
        <v>0</v>
      </c>
      <c r="G51" s="17">
        <f>F51/E51*100</f>
        <v>0</v>
      </c>
    </row>
    <row r="52" spans="1:7" s="147" customFormat="1" ht="57" customHeight="1" hidden="1">
      <c r="A52" s="118"/>
      <c r="B52" s="144"/>
      <c r="C52" s="132" t="s">
        <v>831</v>
      </c>
      <c r="D52" s="136" t="s">
        <v>473</v>
      </c>
      <c r="E52" s="16">
        <f>SUM(6D!E280)</f>
        <v>0</v>
      </c>
      <c r="F52" s="16">
        <f>SUM(6D!F280)</f>
        <v>0</v>
      </c>
      <c r="G52" s="17" t="e">
        <f>F52/E52*100</f>
        <v>#DIV/0!</v>
      </c>
    </row>
    <row r="53" spans="1:7" s="147" customFormat="1" ht="30" customHeight="1" hidden="1">
      <c r="A53" s="118"/>
      <c r="B53" s="144"/>
      <c r="C53" s="132"/>
      <c r="D53" s="136" t="s">
        <v>474</v>
      </c>
      <c r="E53" s="16"/>
      <c r="F53" s="16"/>
      <c r="G53" s="122"/>
    </row>
    <row r="54" spans="1:7" s="147" customFormat="1" ht="45.75" customHeight="1" hidden="1">
      <c r="A54" s="118"/>
      <c r="B54" s="144"/>
      <c r="C54" s="132" t="s">
        <v>1197</v>
      </c>
      <c r="D54" s="136" t="s">
        <v>1199</v>
      </c>
      <c r="E54" s="16">
        <f>SUM(6D!E282)</f>
        <v>0</v>
      </c>
      <c r="F54" s="16">
        <f>SUM(6D!F282)</f>
        <v>0</v>
      </c>
      <c r="G54" s="122" t="e">
        <f aca="true" t="shared" si="2" ref="G54:G67">F54/E54*100</f>
        <v>#DIV/0!</v>
      </c>
    </row>
    <row r="55" spans="1:7" s="233" customFormat="1" ht="20.25" customHeight="1" hidden="1">
      <c r="A55" s="106" t="s">
        <v>1053</v>
      </c>
      <c r="B55" s="234"/>
      <c r="C55" s="124"/>
      <c r="D55" s="140" t="s">
        <v>1054</v>
      </c>
      <c r="E55" s="109">
        <f>SUM(E56)</f>
        <v>0</v>
      </c>
      <c r="F55" s="109">
        <f>SUM(F56)</f>
        <v>0</v>
      </c>
      <c r="G55" s="110" t="e">
        <f t="shared" si="2"/>
        <v>#DIV/0!</v>
      </c>
    </row>
    <row r="56" spans="1:7" s="232" customFormat="1" ht="18.75" customHeight="1" hidden="1">
      <c r="A56" s="112"/>
      <c r="B56" s="143" t="s">
        <v>1055</v>
      </c>
      <c r="C56" s="128"/>
      <c r="D56" s="114" t="s">
        <v>1056</v>
      </c>
      <c r="E56" s="115">
        <f>SUM(E57)</f>
        <v>0</v>
      </c>
      <c r="F56" s="115">
        <f>SUM(F57)</f>
        <v>0</v>
      </c>
      <c r="G56" s="122" t="e">
        <f t="shared" si="2"/>
        <v>#DIV/0!</v>
      </c>
    </row>
    <row r="57" spans="1:7" s="147" customFormat="1" ht="53.25" customHeight="1" hidden="1">
      <c r="A57" s="118"/>
      <c r="B57" s="144"/>
      <c r="C57" s="132" t="s">
        <v>1219</v>
      </c>
      <c r="D57" s="136" t="s">
        <v>938</v>
      </c>
      <c r="E57" s="16">
        <f>SUM(6D!E286)</f>
        <v>0</v>
      </c>
      <c r="F57" s="16">
        <f>SUM(6D!F286)</f>
        <v>0</v>
      </c>
      <c r="G57" s="122" t="e">
        <f t="shared" si="2"/>
        <v>#DIV/0!</v>
      </c>
    </row>
    <row r="58" spans="1:7" s="233" customFormat="1" ht="27.75" customHeight="1" hidden="1">
      <c r="A58" s="106" t="s">
        <v>1085</v>
      </c>
      <c r="B58" s="234"/>
      <c r="C58" s="124"/>
      <c r="D58" s="140" t="s">
        <v>1172</v>
      </c>
      <c r="E58" s="109">
        <f>SUM(E59)</f>
        <v>0</v>
      </c>
      <c r="F58" s="109">
        <f>SUM(F59)</f>
        <v>0</v>
      </c>
      <c r="G58" s="110" t="e">
        <f t="shared" si="2"/>
        <v>#DIV/0!</v>
      </c>
    </row>
    <row r="59" spans="1:7" s="232" customFormat="1" ht="18.75" customHeight="1" hidden="1">
      <c r="A59" s="112"/>
      <c r="B59" s="143" t="s">
        <v>1086</v>
      </c>
      <c r="C59" s="128"/>
      <c r="D59" s="114" t="s">
        <v>44</v>
      </c>
      <c r="E59" s="115">
        <f>SUM(E60)</f>
        <v>0</v>
      </c>
      <c r="F59" s="115">
        <f>SUM(F60)</f>
        <v>0</v>
      </c>
      <c r="G59" s="122" t="e">
        <f t="shared" si="2"/>
        <v>#DIV/0!</v>
      </c>
    </row>
    <row r="60" spans="1:7" s="147" customFormat="1" ht="53.25" customHeight="1" hidden="1">
      <c r="A60" s="118"/>
      <c r="B60" s="144"/>
      <c r="C60" s="132" t="s">
        <v>1219</v>
      </c>
      <c r="D60" s="136" t="s">
        <v>938</v>
      </c>
      <c r="E60" s="16">
        <f>SUM(6D!E309)</f>
        <v>0</v>
      </c>
      <c r="F60" s="16">
        <f>SUM(6D!F309)</f>
        <v>0</v>
      </c>
      <c r="G60" s="122" t="e">
        <f t="shared" si="2"/>
        <v>#DIV/0!</v>
      </c>
    </row>
    <row r="61" spans="1:7" s="233" customFormat="1" ht="19.5" customHeight="1" hidden="1">
      <c r="A61" s="106" t="s">
        <v>1090</v>
      </c>
      <c r="B61" s="124"/>
      <c r="C61" s="124"/>
      <c r="D61" s="125" t="s">
        <v>1091</v>
      </c>
      <c r="E61" s="126">
        <f>SUM(E62)</f>
        <v>0</v>
      </c>
      <c r="F61" s="126">
        <f>SUM(F62)</f>
        <v>0</v>
      </c>
      <c r="G61" s="110" t="e">
        <f t="shared" si="2"/>
        <v>#DIV/0!</v>
      </c>
    </row>
    <row r="62" spans="1:7" s="232" customFormat="1" ht="30" customHeight="1" hidden="1">
      <c r="A62" s="112"/>
      <c r="B62" s="128" t="s">
        <v>1281</v>
      </c>
      <c r="C62" s="128"/>
      <c r="D62" s="114" t="s">
        <v>486</v>
      </c>
      <c r="E62" s="130">
        <f>SUM(E63)</f>
        <v>0</v>
      </c>
      <c r="F62" s="130">
        <f>SUM(F63)</f>
        <v>0</v>
      </c>
      <c r="G62" s="116" t="e">
        <f t="shared" si="2"/>
        <v>#DIV/0!</v>
      </c>
    </row>
    <row r="63" spans="1:7" s="147" customFormat="1" ht="56.25" customHeight="1" hidden="1">
      <c r="A63" s="118"/>
      <c r="B63" s="132"/>
      <c r="C63" s="132" t="s">
        <v>435</v>
      </c>
      <c r="D63" s="136" t="s">
        <v>393</v>
      </c>
      <c r="E63" s="134">
        <f>SUM(6D!E321)</f>
        <v>0</v>
      </c>
      <c r="F63" s="134">
        <f>SUM(6D!F321)</f>
        <v>0</v>
      </c>
      <c r="G63" s="122" t="e">
        <f t="shared" si="2"/>
        <v>#DIV/0!</v>
      </c>
    </row>
    <row r="64" spans="1:7" s="233" customFormat="1" ht="21.75" customHeight="1" hidden="1">
      <c r="A64" s="106" t="s">
        <v>1117</v>
      </c>
      <c r="B64" s="234"/>
      <c r="C64" s="124"/>
      <c r="D64" s="140" t="s">
        <v>1121</v>
      </c>
      <c r="E64" s="109">
        <f>SUM(E65)</f>
        <v>0</v>
      </c>
      <c r="F64" s="109">
        <f>SUM(F65)</f>
        <v>0</v>
      </c>
      <c r="G64" s="110" t="e">
        <f t="shared" si="2"/>
        <v>#DIV/0!</v>
      </c>
    </row>
    <row r="65" spans="1:7" s="232" customFormat="1" ht="18.75" customHeight="1" hidden="1">
      <c r="A65" s="112"/>
      <c r="B65" s="143" t="s">
        <v>618</v>
      </c>
      <c r="C65" s="128"/>
      <c r="D65" s="114" t="s">
        <v>1042</v>
      </c>
      <c r="E65" s="115">
        <f>SUM(E66)</f>
        <v>0</v>
      </c>
      <c r="F65" s="115">
        <f>SUM(F66)</f>
        <v>0</v>
      </c>
      <c r="G65" s="122" t="e">
        <f t="shared" si="2"/>
        <v>#DIV/0!</v>
      </c>
    </row>
    <row r="66" spans="1:7" s="147" customFormat="1" ht="38.25" customHeight="1" hidden="1">
      <c r="A66" s="118"/>
      <c r="B66" s="144"/>
      <c r="C66" s="132" t="s">
        <v>1197</v>
      </c>
      <c r="D66" s="136" t="s">
        <v>1199</v>
      </c>
      <c r="E66" s="16">
        <f>SUM(6D!E372)</f>
        <v>0</v>
      </c>
      <c r="F66" s="16">
        <f>SUM(6D!F372)</f>
        <v>0</v>
      </c>
      <c r="G66" s="122" t="e">
        <f t="shared" si="2"/>
        <v>#DIV/0!</v>
      </c>
    </row>
    <row r="67" spans="1:7" s="258" customFormat="1" ht="21" customHeight="1">
      <c r="A67" s="1389" t="s">
        <v>813</v>
      </c>
      <c r="B67" s="1390"/>
      <c r="C67" s="1390"/>
      <c r="D67" s="1390"/>
      <c r="E67" s="310">
        <f>SUM(E7,E45)</f>
        <v>32034065</v>
      </c>
      <c r="F67" s="311">
        <f>SUM(F7,F45)</f>
        <v>10438369.700000001</v>
      </c>
      <c r="G67" s="312">
        <f t="shared" si="2"/>
        <v>32.58521733036379</v>
      </c>
    </row>
    <row r="68" spans="1:7" s="317" customFormat="1" ht="19.5" customHeight="1">
      <c r="A68" s="313"/>
      <c r="B68" s="1392" t="s">
        <v>5</v>
      </c>
      <c r="C68" s="1392"/>
      <c r="D68" s="1392"/>
      <c r="E68" s="314"/>
      <c r="F68" s="315"/>
      <c r="G68" s="316"/>
    </row>
    <row r="69" spans="1:7" s="317" customFormat="1" ht="21" customHeight="1">
      <c r="A69" s="318"/>
      <c r="B69" s="1393" t="s">
        <v>817</v>
      </c>
      <c r="C69" s="1393"/>
      <c r="D69" s="1393"/>
      <c r="E69" s="319">
        <f>SUM(E10,E13,E21,E24,E25,E28,E34,E39)</f>
        <v>15922294</v>
      </c>
      <c r="F69" s="319">
        <f>SUM(F10,F13,F21,F24,F25,F28,F34,F39)</f>
        <v>888091.43</v>
      </c>
      <c r="G69" s="320">
        <f>F69/E69*100</f>
        <v>5.577660040695141</v>
      </c>
    </row>
    <row r="70" spans="1:7" s="317" customFormat="1" ht="21" customHeight="1">
      <c r="A70" s="318"/>
      <c r="B70" s="1393" t="s">
        <v>1146</v>
      </c>
      <c r="C70" s="1393"/>
      <c r="D70" s="1393"/>
      <c r="E70" s="319">
        <f>SUM(E44,E52,E54,E57,E60,E66)</f>
        <v>333000</v>
      </c>
      <c r="F70" s="319">
        <f>SUM(F44,F52,F54,F57,F60,F66)</f>
        <v>0</v>
      </c>
      <c r="G70" s="320">
        <f>F70/E70*100</f>
        <v>0</v>
      </c>
    </row>
    <row r="71" spans="1:7" s="317" customFormat="1" ht="21" customHeight="1" hidden="1">
      <c r="A71" s="318"/>
      <c r="B71" s="1393" t="s">
        <v>816</v>
      </c>
      <c r="C71" s="1393"/>
      <c r="D71" s="1393"/>
      <c r="E71" s="319">
        <f>SUM(E63)</f>
        <v>0</v>
      </c>
      <c r="F71" s="319">
        <f>SUM(F63)</f>
        <v>0</v>
      </c>
      <c r="G71" s="320" t="e">
        <f>F71/E71*100</f>
        <v>#DIV/0!</v>
      </c>
    </row>
    <row r="72" spans="1:10" s="317" customFormat="1" ht="21" customHeight="1" thickBot="1">
      <c r="A72" s="321"/>
      <c r="B72" s="1394" t="s">
        <v>551</v>
      </c>
      <c r="C72" s="1394"/>
      <c r="D72" s="1394"/>
      <c r="E72" s="322">
        <f>SUM(E15,E17,E31,E36,E42,E43,E48,E51)</f>
        <v>15778771</v>
      </c>
      <c r="F72" s="322">
        <f>SUM(F15,F17,F31,F36,F42,F43,F48,F51)</f>
        <v>9550278.27</v>
      </c>
      <c r="G72" s="323">
        <f>F72/E72*100</f>
        <v>60.526122535145475</v>
      </c>
      <c r="I72" s="324"/>
      <c r="J72" s="324"/>
    </row>
    <row r="73" spans="1:6" ht="19.5" customHeight="1" hidden="1">
      <c r="A73" s="325"/>
      <c r="B73" s="325"/>
      <c r="C73" s="325" t="s">
        <v>811</v>
      </c>
      <c r="D73" s="326"/>
      <c r="E73" s="327">
        <v>32034065</v>
      </c>
      <c r="F73" s="328">
        <v>10438369.7</v>
      </c>
    </row>
    <row r="74" spans="1:6" ht="19.5" customHeight="1" hidden="1">
      <c r="A74" s="325"/>
      <c r="B74" s="325"/>
      <c r="C74" s="325"/>
      <c r="D74" s="326" t="s">
        <v>1126</v>
      </c>
      <c r="E74" s="327">
        <f>E73-E67</f>
        <v>0</v>
      </c>
      <c r="F74" s="327">
        <f>F73-F67</f>
        <v>0</v>
      </c>
    </row>
    <row r="75" spans="1:7" ht="19.5" customHeight="1" hidden="1">
      <c r="A75" s="325"/>
      <c r="B75" s="325"/>
      <c r="C75" s="325"/>
      <c r="D75" s="330" t="s">
        <v>692</v>
      </c>
      <c r="E75" s="297">
        <f>SUM(6D!E376)</f>
        <v>185076316.75</v>
      </c>
      <c r="F75" s="297">
        <v>91613082.68</v>
      </c>
      <c r="G75" s="329">
        <f>F75/E75*100</f>
        <v>49.50016527708968</v>
      </c>
    </row>
    <row r="76" spans="1:7" ht="19.5" customHeight="1" hidden="1">
      <c r="A76" s="325"/>
      <c r="B76" s="325"/>
      <c r="C76" s="325"/>
      <c r="D76" s="330" t="s">
        <v>693</v>
      </c>
      <c r="E76" s="297">
        <f>E75-E67</f>
        <v>153042251.75</v>
      </c>
      <c r="F76" s="297">
        <f>F75-F67</f>
        <v>81174712.98</v>
      </c>
      <c r="G76" s="329">
        <f>F76/E76*100</f>
        <v>53.04072048848432</v>
      </c>
    </row>
    <row r="77" spans="1:6" ht="19.5" customHeight="1">
      <c r="A77" s="325"/>
      <c r="B77" s="325"/>
      <c r="C77" s="325"/>
      <c r="D77" s="326"/>
      <c r="E77" s="331"/>
      <c r="F77" s="332"/>
    </row>
    <row r="78" spans="1:6" ht="19.5" customHeight="1">
      <c r="A78" s="325"/>
      <c r="B78" s="325"/>
      <c r="C78" s="325"/>
      <c r="D78" s="326"/>
      <c r="E78" s="331"/>
      <c r="F78" s="332"/>
    </row>
    <row r="79" spans="1:6" ht="19.5" customHeight="1">
      <c r="A79" s="325"/>
      <c r="B79" s="325"/>
      <c r="C79" s="325"/>
      <c r="D79" s="326"/>
      <c r="E79" s="331"/>
      <c r="F79" s="332"/>
    </row>
    <row r="80" spans="1:6" ht="19.5" customHeight="1">
      <c r="A80" s="325"/>
      <c r="B80" s="325"/>
      <c r="C80" s="325"/>
      <c r="D80" s="326"/>
      <c r="E80" s="331"/>
      <c r="F80" s="332"/>
    </row>
    <row r="81" spans="1:6" ht="19.5" customHeight="1">
      <c r="A81" s="325"/>
      <c r="B81" s="325"/>
      <c r="C81" s="325"/>
      <c r="D81" s="326"/>
      <c r="E81" s="331"/>
      <c r="F81" s="332"/>
    </row>
    <row r="82" spans="1:6" ht="19.5" customHeight="1">
      <c r="A82" s="325"/>
      <c r="B82" s="325"/>
      <c r="C82" s="325"/>
      <c r="D82" s="326"/>
      <c r="E82" s="331"/>
      <c r="F82" s="332"/>
    </row>
    <row r="83" spans="1:6" ht="19.5" customHeight="1">
      <c r="A83" s="325"/>
      <c r="B83" s="325"/>
      <c r="C83" s="325"/>
      <c r="D83" s="326"/>
      <c r="E83" s="331"/>
      <c r="F83" s="332"/>
    </row>
    <row r="84" spans="1:6" ht="19.5" customHeight="1">
      <c r="A84" s="325"/>
      <c r="B84" s="325"/>
      <c r="C84" s="325"/>
      <c r="D84" s="326"/>
      <c r="E84" s="331"/>
      <c r="F84" s="332"/>
    </row>
    <row r="85" spans="1:6" ht="19.5" customHeight="1">
      <c r="A85" s="325"/>
      <c r="B85" s="325"/>
      <c r="C85" s="325"/>
      <c r="D85" s="326"/>
      <c r="E85" s="331"/>
      <c r="F85" s="332"/>
    </row>
    <row r="86" spans="1:6" ht="19.5" customHeight="1">
      <c r="A86" s="325"/>
      <c r="B86" s="325"/>
      <c r="C86" s="325"/>
      <c r="D86" s="326"/>
      <c r="E86" s="331"/>
      <c r="F86" s="332"/>
    </row>
    <row r="87" spans="1:6" ht="19.5" customHeight="1">
      <c r="A87" s="325"/>
      <c r="B87" s="325"/>
      <c r="C87" s="325"/>
      <c r="D87" s="326"/>
      <c r="E87" s="331"/>
      <c r="F87" s="332"/>
    </row>
    <row r="88" spans="1:6" ht="19.5" customHeight="1">
      <c r="A88" s="325"/>
      <c r="B88" s="325"/>
      <c r="C88" s="325"/>
      <c r="D88" s="326"/>
      <c r="E88" s="331"/>
      <c r="F88" s="332"/>
    </row>
    <row r="89" spans="1:6" ht="19.5" customHeight="1">
      <c r="A89" s="325"/>
      <c r="B89" s="325"/>
      <c r="C89" s="325"/>
      <c r="D89" s="326"/>
      <c r="E89" s="331"/>
      <c r="F89" s="332"/>
    </row>
    <row r="90" spans="1:6" ht="19.5" customHeight="1">
      <c r="A90" s="325"/>
      <c r="B90" s="325"/>
      <c r="C90" s="325"/>
      <c r="D90" s="326"/>
      <c r="E90" s="331"/>
      <c r="F90" s="332"/>
    </row>
    <row r="91" spans="1:6" ht="19.5" customHeight="1">
      <c r="A91" s="325"/>
      <c r="B91" s="325"/>
      <c r="C91" s="325"/>
      <c r="D91" s="326"/>
      <c r="E91" s="331"/>
      <c r="F91" s="332"/>
    </row>
    <row r="92" spans="1:6" ht="19.5" customHeight="1">
      <c r="A92" s="325"/>
      <c r="B92" s="325"/>
      <c r="C92" s="325"/>
      <c r="D92" s="326"/>
      <c r="E92" s="331"/>
      <c r="F92" s="332"/>
    </row>
    <row r="93" spans="1:6" ht="19.5" customHeight="1">
      <c r="A93" s="325"/>
      <c r="B93" s="325"/>
      <c r="C93" s="325"/>
      <c r="D93" s="326"/>
      <c r="E93" s="331"/>
      <c r="F93" s="332"/>
    </row>
    <row r="94" spans="1:6" ht="19.5" customHeight="1">
      <c r="A94" s="325"/>
      <c r="B94" s="325"/>
      <c r="C94" s="325"/>
      <c r="D94" s="326"/>
      <c r="E94" s="331"/>
      <c r="F94" s="332"/>
    </row>
    <row r="95" spans="1:6" ht="19.5" customHeight="1">
      <c r="A95" s="325"/>
      <c r="B95" s="325"/>
      <c r="C95" s="325"/>
      <c r="D95" s="326"/>
      <c r="E95" s="331"/>
      <c r="F95" s="332"/>
    </row>
    <row r="96" spans="1:6" ht="19.5" customHeight="1">
      <c r="A96" s="325"/>
      <c r="B96" s="325"/>
      <c r="C96" s="325"/>
      <c r="D96" s="326"/>
      <c r="E96" s="331"/>
      <c r="F96" s="332"/>
    </row>
    <row r="97" spans="1:6" ht="19.5" customHeight="1">
      <c r="A97" s="325"/>
      <c r="B97" s="325"/>
      <c r="C97" s="325"/>
      <c r="D97" s="326"/>
      <c r="E97" s="331"/>
      <c r="F97" s="332"/>
    </row>
    <row r="98" spans="1:6" ht="19.5" customHeight="1">
      <c r="A98" s="325"/>
      <c r="B98" s="325"/>
      <c r="C98" s="325"/>
      <c r="D98" s="326"/>
      <c r="E98" s="331"/>
      <c r="F98" s="332"/>
    </row>
    <row r="99" spans="1:6" ht="19.5" customHeight="1">
      <c r="A99" s="325"/>
      <c r="B99" s="325"/>
      <c r="C99" s="325"/>
      <c r="D99" s="326"/>
      <c r="E99" s="331"/>
      <c r="F99" s="332"/>
    </row>
    <row r="100" spans="1:6" ht="19.5" customHeight="1">
      <c r="A100" s="325"/>
      <c r="B100" s="325"/>
      <c r="C100" s="325"/>
      <c r="D100" s="326"/>
      <c r="E100" s="331"/>
      <c r="F100" s="332"/>
    </row>
    <row r="101" spans="1:6" ht="19.5" customHeight="1">
      <c r="A101" s="325"/>
      <c r="B101" s="325"/>
      <c r="C101" s="325"/>
      <c r="D101" s="326"/>
      <c r="E101" s="331"/>
      <c r="F101" s="332"/>
    </row>
    <row r="102" spans="1:6" ht="19.5" customHeight="1">
      <c r="A102" s="325"/>
      <c r="B102" s="325"/>
      <c r="C102" s="325"/>
      <c r="D102" s="326"/>
      <c r="E102" s="331"/>
      <c r="F102" s="332"/>
    </row>
    <row r="103" spans="1:6" ht="19.5" customHeight="1">
      <c r="A103" s="325"/>
      <c r="B103" s="325"/>
      <c r="C103" s="325"/>
      <c r="D103" s="326"/>
      <c r="E103" s="331"/>
      <c r="F103" s="332"/>
    </row>
    <row r="104" spans="1:6" ht="19.5" customHeight="1">
      <c r="A104" s="325"/>
      <c r="B104" s="325"/>
      <c r="C104" s="325"/>
      <c r="D104" s="326"/>
      <c r="E104" s="331"/>
      <c r="F104" s="332"/>
    </row>
    <row r="105" spans="1:6" ht="19.5" customHeight="1">
      <c r="A105" s="325"/>
      <c r="B105" s="325"/>
      <c r="C105" s="325"/>
      <c r="D105" s="326"/>
      <c r="E105" s="331"/>
      <c r="F105" s="332"/>
    </row>
    <row r="106" spans="1:6" ht="19.5" customHeight="1">
      <c r="A106" s="325"/>
      <c r="B106" s="325"/>
      <c r="C106" s="325"/>
      <c r="D106" s="326"/>
      <c r="E106" s="331"/>
      <c r="F106" s="332"/>
    </row>
    <row r="107" spans="1:6" ht="19.5" customHeight="1">
      <c r="A107" s="325"/>
      <c r="B107" s="325"/>
      <c r="C107" s="325"/>
      <c r="D107" s="326"/>
      <c r="E107" s="331"/>
      <c r="F107" s="332"/>
    </row>
    <row r="108" spans="1:6" ht="19.5" customHeight="1">
      <c r="A108" s="325"/>
      <c r="B108" s="325"/>
      <c r="C108" s="325"/>
      <c r="D108" s="326"/>
      <c r="E108" s="331"/>
      <c r="F108" s="332"/>
    </row>
    <row r="109" spans="1:6" ht="19.5" customHeight="1">
      <c r="A109" s="325"/>
      <c r="B109" s="325"/>
      <c r="C109" s="325"/>
      <c r="D109" s="326"/>
      <c r="E109" s="331"/>
      <c r="F109" s="332"/>
    </row>
    <row r="110" spans="1:6" ht="19.5" customHeight="1">
      <c r="A110" s="325"/>
      <c r="B110" s="325"/>
      <c r="C110" s="325"/>
      <c r="D110" s="326"/>
      <c r="E110" s="331"/>
      <c r="F110" s="332"/>
    </row>
    <row r="111" spans="1:6" ht="19.5" customHeight="1">
      <c r="A111" s="325"/>
      <c r="B111" s="325"/>
      <c r="C111" s="325"/>
      <c r="D111" s="326"/>
      <c r="E111" s="331"/>
      <c r="F111" s="332"/>
    </row>
    <row r="112" spans="1:6" ht="19.5" customHeight="1">
      <c r="A112" s="325"/>
      <c r="B112" s="325"/>
      <c r="C112" s="325"/>
      <c r="D112" s="326"/>
      <c r="E112" s="331"/>
      <c r="F112" s="332"/>
    </row>
    <row r="113" spans="1:6" ht="19.5" customHeight="1">
      <c r="A113" s="325"/>
      <c r="B113" s="325"/>
      <c r="C113" s="325"/>
      <c r="D113" s="326"/>
      <c r="E113" s="331"/>
      <c r="F113" s="332"/>
    </row>
    <row r="114" spans="1:6" ht="19.5" customHeight="1">
      <c r="A114" s="325"/>
      <c r="B114" s="325"/>
      <c r="C114" s="325"/>
      <c r="D114" s="326"/>
      <c r="E114" s="331"/>
      <c r="F114" s="332"/>
    </row>
    <row r="115" spans="1:6" ht="19.5" customHeight="1">
      <c r="A115" s="325"/>
      <c r="B115" s="325"/>
      <c r="C115" s="325"/>
      <c r="D115" s="326"/>
      <c r="E115" s="331"/>
      <c r="F115" s="332"/>
    </row>
    <row r="116" spans="1:6" ht="19.5" customHeight="1">
      <c r="A116" s="325"/>
      <c r="B116" s="325"/>
      <c r="C116" s="325"/>
      <c r="D116" s="326"/>
      <c r="E116" s="331"/>
      <c r="F116" s="332"/>
    </row>
    <row r="117" spans="1:6" ht="19.5" customHeight="1">
      <c r="A117" s="325"/>
      <c r="B117" s="325"/>
      <c r="C117" s="325"/>
      <c r="D117" s="326"/>
      <c r="E117" s="331"/>
      <c r="F117" s="332"/>
    </row>
    <row r="118" spans="1:6" ht="19.5" customHeight="1">
      <c r="A118" s="325"/>
      <c r="B118" s="325"/>
      <c r="C118" s="325"/>
      <c r="D118" s="326"/>
      <c r="E118" s="331"/>
      <c r="F118" s="332"/>
    </row>
    <row r="119" spans="1:6" ht="19.5" customHeight="1">
      <c r="A119" s="325"/>
      <c r="B119" s="325"/>
      <c r="C119" s="325"/>
      <c r="D119" s="326"/>
      <c r="E119" s="331"/>
      <c r="F119" s="332"/>
    </row>
    <row r="120" spans="1:6" ht="19.5" customHeight="1">
      <c r="A120" s="325"/>
      <c r="B120" s="325"/>
      <c r="C120" s="325"/>
      <c r="D120" s="326"/>
      <c r="E120" s="331"/>
      <c r="F120" s="332"/>
    </row>
    <row r="121" spans="1:6" ht="19.5" customHeight="1">
      <c r="A121" s="325"/>
      <c r="B121" s="325"/>
      <c r="C121" s="325"/>
      <c r="D121" s="326"/>
      <c r="E121" s="331"/>
      <c r="F121" s="332"/>
    </row>
    <row r="122" spans="1:6" ht="19.5" customHeight="1">
      <c r="A122" s="325"/>
      <c r="B122" s="325"/>
      <c r="C122" s="325"/>
      <c r="D122" s="326"/>
      <c r="E122" s="331"/>
      <c r="F122" s="332"/>
    </row>
    <row r="123" spans="1:6" ht="19.5" customHeight="1">
      <c r="A123" s="325"/>
      <c r="B123" s="325"/>
      <c r="C123" s="325"/>
      <c r="D123" s="326"/>
      <c r="E123" s="331"/>
      <c r="F123" s="332"/>
    </row>
    <row r="124" spans="1:6" ht="19.5" customHeight="1">
      <c r="A124" s="325"/>
      <c r="B124" s="325"/>
      <c r="C124" s="325"/>
      <c r="D124" s="326"/>
      <c r="E124" s="331"/>
      <c r="F124" s="332"/>
    </row>
    <row r="125" spans="1:6" ht="19.5" customHeight="1">
      <c r="A125" s="325"/>
      <c r="B125" s="325"/>
      <c r="C125" s="325"/>
      <c r="D125" s="326"/>
      <c r="E125" s="331"/>
      <c r="F125" s="332"/>
    </row>
    <row r="126" spans="1:6" ht="19.5" customHeight="1">
      <c r="A126" s="325"/>
      <c r="B126" s="325"/>
      <c r="C126" s="325"/>
      <c r="D126" s="326"/>
      <c r="E126" s="331"/>
      <c r="F126" s="332"/>
    </row>
    <row r="127" spans="1:6" ht="19.5" customHeight="1">
      <c r="A127" s="325"/>
      <c r="B127" s="325"/>
      <c r="C127" s="325"/>
      <c r="D127" s="326"/>
      <c r="E127" s="331"/>
      <c r="F127" s="332"/>
    </row>
    <row r="128" spans="1:6" ht="19.5" customHeight="1">
      <c r="A128" s="325"/>
      <c r="B128" s="325"/>
      <c r="C128" s="325"/>
      <c r="D128" s="326"/>
      <c r="E128" s="331"/>
      <c r="F128" s="332"/>
    </row>
    <row r="129" spans="1:6" ht="19.5" customHeight="1">
      <c r="A129" s="325"/>
      <c r="B129" s="325"/>
      <c r="C129" s="325"/>
      <c r="D129" s="326"/>
      <c r="E129" s="331"/>
      <c r="F129" s="332"/>
    </row>
    <row r="130" spans="1:6" ht="19.5" customHeight="1">
      <c r="A130" s="325"/>
      <c r="B130" s="325"/>
      <c r="C130" s="325"/>
      <c r="D130" s="326"/>
      <c r="E130" s="331"/>
      <c r="F130" s="332"/>
    </row>
    <row r="131" spans="1:6" ht="19.5" customHeight="1">
      <c r="A131" s="325"/>
      <c r="B131" s="325"/>
      <c r="C131" s="325"/>
      <c r="D131" s="326"/>
      <c r="E131" s="331"/>
      <c r="F131" s="332"/>
    </row>
    <row r="132" spans="1:6" ht="19.5" customHeight="1">
      <c r="A132" s="325"/>
      <c r="B132" s="325"/>
      <c r="C132" s="325"/>
      <c r="D132" s="326"/>
      <c r="E132" s="331"/>
      <c r="F132" s="332"/>
    </row>
    <row r="133" spans="1:6" ht="19.5" customHeight="1">
      <c r="A133" s="325"/>
      <c r="B133" s="325"/>
      <c r="C133" s="325"/>
      <c r="D133" s="326"/>
      <c r="E133" s="331"/>
      <c r="F133" s="332"/>
    </row>
    <row r="134" spans="1:6" ht="19.5" customHeight="1">
      <c r="A134" s="325"/>
      <c r="B134" s="325"/>
      <c r="C134" s="325"/>
      <c r="D134" s="326"/>
      <c r="E134" s="331"/>
      <c r="F134" s="332"/>
    </row>
    <row r="135" spans="1:6" ht="19.5" customHeight="1">
      <c r="A135" s="325"/>
      <c r="B135" s="325"/>
      <c r="C135" s="325"/>
      <c r="D135" s="326"/>
      <c r="E135" s="331"/>
      <c r="F135" s="332"/>
    </row>
    <row r="136" spans="1:6" ht="19.5" customHeight="1">
      <c r="A136" s="325"/>
      <c r="B136" s="325"/>
      <c r="C136" s="325"/>
      <c r="D136" s="326"/>
      <c r="E136" s="331"/>
      <c r="F136" s="332"/>
    </row>
    <row r="137" spans="1:6" ht="19.5" customHeight="1">
      <c r="A137" s="325"/>
      <c r="B137" s="325"/>
      <c r="C137" s="325"/>
      <c r="D137" s="326"/>
      <c r="E137" s="331"/>
      <c r="F137" s="332"/>
    </row>
    <row r="138" spans="1:6" ht="19.5" customHeight="1">
      <c r="A138" s="325"/>
      <c r="B138" s="325"/>
      <c r="C138" s="325"/>
      <c r="D138" s="326"/>
      <c r="E138" s="331"/>
      <c r="F138" s="332"/>
    </row>
    <row r="139" spans="1:6" ht="19.5" customHeight="1">
      <c r="A139" s="325"/>
      <c r="B139" s="325"/>
      <c r="C139" s="325"/>
      <c r="D139" s="326"/>
      <c r="E139" s="331"/>
      <c r="F139" s="332"/>
    </row>
    <row r="140" spans="1:6" ht="19.5" customHeight="1">
      <c r="A140" s="325"/>
      <c r="B140" s="325"/>
      <c r="C140" s="325"/>
      <c r="D140" s="326"/>
      <c r="E140" s="331"/>
      <c r="F140" s="332"/>
    </row>
    <row r="141" spans="1:6" ht="19.5" customHeight="1">
      <c r="A141" s="325"/>
      <c r="B141" s="325"/>
      <c r="C141" s="325"/>
      <c r="D141" s="326"/>
      <c r="E141" s="331"/>
      <c r="F141" s="332"/>
    </row>
    <row r="142" spans="1:6" ht="19.5" customHeight="1">
      <c r="A142" s="325"/>
      <c r="B142" s="325"/>
      <c r="C142" s="325"/>
      <c r="D142" s="326"/>
      <c r="E142" s="331"/>
      <c r="F142" s="332"/>
    </row>
    <row r="143" spans="1:6" ht="19.5" customHeight="1">
      <c r="A143" s="325"/>
      <c r="B143" s="325"/>
      <c r="C143" s="325"/>
      <c r="D143" s="326"/>
      <c r="E143" s="331"/>
      <c r="F143" s="332"/>
    </row>
    <row r="144" spans="1:6" ht="19.5" customHeight="1">
      <c r="A144" s="325"/>
      <c r="B144" s="325"/>
      <c r="C144" s="325"/>
      <c r="D144" s="326"/>
      <c r="E144" s="331"/>
      <c r="F144" s="332"/>
    </row>
    <row r="145" spans="1:6" ht="19.5" customHeight="1">
      <c r="A145" s="325"/>
      <c r="B145" s="325"/>
      <c r="C145" s="325"/>
      <c r="D145" s="326"/>
      <c r="E145" s="331"/>
      <c r="F145" s="332"/>
    </row>
    <row r="146" spans="1:6" ht="19.5" customHeight="1">
      <c r="A146" s="325"/>
      <c r="B146" s="325"/>
      <c r="C146" s="325"/>
      <c r="D146" s="326"/>
      <c r="E146" s="331"/>
      <c r="F146" s="332"/>
    </row>
    <row r="147" spans="1:6" ht="19.5" customHeight="1">
      <c r="A147" s="325"/>
      <c r="B147" s="325"/>
      <c r="C147" s="325"/>
      <c r="D147" s="326"/>
      <c r="E147" s="331"/>
      <c r="F147" s="332"/>
    </row>
    <row r="148" spans="1:6" ht="19.5" customHeight="1">
      <c r="A148" s="325"/>
      <c r="B148" s="325"/>
      <c r="C148" s="325"/>
      <c r="D148" s="326"/>
      <c r="E148" s="331"/>
      <c r="F148" s="332"/>
    </row>
    <row r="149" spans="1:6" ht="19.5" customHeight="1">
      <c r="A149" s="325"/>
      <c r="B149" s="325"/>
      <c r="C149" s="325"/>
      <c r="D149" s="326"/>
      <c r="E149" s="331"/>
      <c r="F149" s="332"/>
    </row>
    <row r="150" spans="1:6" ht="19.5" customHeight="1">
      <c r="A150" s="325"/>
      <c r="B150" s="325"/>
      <c r="C150" s="325"/>
      <c r="D150" s="326"/>
      <c r="E150" s="331"/>
      <c r="F150" s="332"/>
    </row>
    <row r="151" spans="1:6" ht="19.5" customHeight="1">
      <c r="A151" s="325"/>
      <c r="B151" s="325"/>
      <c r="C151" s="325"/>
      <c r="D151" s="326"/>
      <c r="E151" s="331"/>
      <c r="F151" s="332"/>
    </row>
    <row r="152" spans="1:6" ht="19.5" customHeight="1">
      <c r="A152" s="325"/>
      <c r="B152" s="325"/>
      <c r="C152" s="325"/>
      <c r="D152" s="326"/>
      <c r="E152" s="331"/>
      <c r="F152" s="332"/>
    </row>
    <row r="153" spans="1:6" ht="19.5" customHeight="1">
      <c r="A153" s="325"/>
      <c r="B153" s="325"/>
      <c r="C153" s="325"/>
      <c r="D153" s="326"/>
      <c r="E153" s="331"/>
      <c r="F153" s="332"/>
    </row>
    <row r="154" spans="1:6" ht="19.5" customHeight="1">
      <c r="A154" s="325"/>
      <c r="B154" s="325"/>
      <c r="C154" s="325"/>
      <c r="D154" s="326"/>
      <c r="E154" s="331"/>
      <c r="F154" s="332"/>
    </row>
    <row r="155" spans="1:6" ht="19.5" customHeight="1">
      <c r="A155" s="325"/>
      <c r="B155" s="325"/>
      <c r="C155" s="325"/>
      <c r="D155" s="326"/>
      <c r="E155" s="331"/>
      <c r="F155" s="332"/>
    </row>
    <row r="156" spans="1:6" ht="19.5" customHeight="1">
      <c r="A156" s="325"/>
      <c r="B156" s="325"/>
      <c r="C156" s="325"/>
      <c r="D156" s="326"/>
      <c r="E156" s="331"/>
      <c r="F156" s="332"/>
    </row>
    <row r="157" spans="1:6" ht="19.5" customHeight="1">
      <c r="A157" s="325"/>
      <c r="B157" s="325"/>
      <c r="C157" s="325"/>
      <c r="D157" s="326"/>
      <c r="E157" s="331"/>
      <c r="F157" s="332"/>
    </row>
    <row r="158" spans="1:6" ht="19.5" customHeight="1">
      <c r="A158" s="325"/>
      <c r="B158" s="325"/>
      <c r="C158" s="325"/>
      <c r="D158" s="326"/>
      <c r="E158" s="331"/>
      <c r="F158" s="332"/>
    </row>
    <row r="159" spans="1:6" ht="19.5" customHeight="1">
      <c r="A159" s="325"/>
      <c r="B159" s="325"/>
      <c r="C159" s="325"/>
      <c r="D159" s="326"/>
      <c r="E159" s="331"/>
      <c r="F159" s="332"/>
    </row>
    <row r="160" spans="1:6" ht="19.5" customHeight="1">
      <c r="A160" s="325"/>
      <c r="B160" s="325"/>
      <c r="C160" s="325"/>
      <c r="D160" s="326"/>
      <c r="E160" s="331"/>
      <c r="F160" s="332"/>
    </row>
    <row r="161" spans="1:6" ht="19.5" customHeight="1">
      <c r="A161" s="325"/>
      <c r="B161" s="325"/>
      <c r="C161" s="325"/>
      <c r="D161" s="326"/>
      <c r="E161" s="331"/>
      <c r="F161" s="332"/>
    </row>
    <row r="162" spans="1:6" ht="19.5" customHeight="1">
      <c r="A162" s="325"/>
      <c r="B162" s="325"/>
      <c r="C162" s="325"/>
      <c r="D162" s="326"/>
      <c r="E162" s="195"/>
      <c r="F162" s="332"/>
    </row>
    <row r="163" spans="1:6" ht="19.5" customHeight="1">
      <c r="A163" s="325"/>
      <c r="B163" s="325"/>
      <c r="C163" s="325"/>
      <c r="D163" s="326"/>
      <c r="E163" s="195"/>
      <c r="F163" s="332"/>
    </row>
    <row r="164" spans="1:6" ht="19.5" customHeight="1">
      <c r="A164" s="325"/>
      <c r="B164" s="325"/>
      <c r="C164" s="325"/>
      <c r="D164" s="326"/>
      <c r="E164" s="195"/>
      <c r="F164" s="332"/>
    </row>
    <row r="165" spans="1:6" ht="19.5" customHeight="1">
      <c r="A165" s="325"/>
      <c r="B165" s="325"/>
      <c r="C165" s="325"/>
      <c r="D165" s="326"/>
      <c r="E165" s="195"/>
      <c r="F165" s="332"/>
    </row>
    <row r="166" spans="1:6" ht="19.5" customHeight="1">
      <c r="A166" s="325"/>
      <c r="B166" s="325"/>
      <c r="C166" s="325"/>
      <c r="D166" s="326"/>
      <c r="E166" s="195"/>
      <c r="F166" s="332"/>
    </row>
    <row r="167" spans="1:6" ht="19.5" customHeight="1">
      <c r="A167" s="325"/>
      <c r="B167" s="325"/>
      <c r="C167" s="325"/>
      <c r="D167" s="326"/>
      <c r="E167" s="195"/>
      <c r="F167" s="332"/>
    </row>
    <row r="168" spans="1:6" ht="19.5" customHeight="1">
      <c r="A168" s="325"/>
      <c r="B168" s="325"/>
      <c r="C168" s="325"/>
      <c r="D168" s="326"/>
      <c r="E168" s="195"/>
      <c r="F168" s="332"/>
    </row>
    <row r="169" spans="1:6" ht="19.5" customHeight="1">
      <c r="A169" s="325"/>
      <c r="B169" s="325"/>
      <c r="C169" s="325"/>
      <c r="D169" s="326"/>
      <c r="E169" s="195"/>
      <c r="F169" s="332"/>
    </row>
    <row r="170" spans="1:6" ht="19.5" customHeight="1">
      <c r="A170" s="325"/>
      <c r="B170" s="325"/>
      <c r="C170" s="325"/>
      <c r="D170" s="326"/>
      <c r="E170" s="195"/>
      <c r="F170" s="332"/>
    </row>
    <row r="171" spans="1:6" ht="19.5" customHeight="1">
      <c r="A171" s="325"/>
      <c r="B171" s="325"/>
      <c r="C171" s="325"/>
      <c r="D171" s="326"/>
      <c r="E171" s="195"/>
      <c r="F171" s="332"/>
    </row>
    <row r="172" spans="1:6" ht="19.5" customHeight="1">
      <c r="A172" s="325"/>
      <c r="B172" s="325"/>
      <c r="C172" s="325"/>
      <c r="D172" s="326"/>
      <c r="E172" s="195"/>
      <c r="F172" s="332"/>
    </row>
    <row r="173" spans="1:6" ht="19.5" customHeight="1">
      <c r="A173" s="325"/>
      <c r="B173" s="325"/>
      <c r="C173" s="325"/>
      <c r="D173" s="326"/>
      <c r="E173" s="195"/>
      <c r="F173" s="332"/>
    </row>
    <row r="174" spans="1:6" ht="19.5" customHeight="1">
      <c r="A174" s="325"/>
      <c r="B174" s="325"/>
      <c r="C174" s="325"/>
      <c r="D174" s="326"/>
      <c r="E174" s="195"/>
      <c r="F174" s="332"/>
    </row>
    <row r="175" spans="1:6" ht="19.5" customHeight="1">
      <c r="A175" s="325"/>
      <c r="B175" s="325"/>
      <c r="C175" s="325"/>
      <c r="D175" s="326"/>
      <c r="E175" s="195"/>
      <c r="F175" s="332"/>
    </row>
    <row r="176" spans="1:6" ht="19.5" customHeight="1">
      <c r="A176" s="325"/>
      <c r="B176" s="325"/>
      <c r="C176" s="325"/>
      <c r="D176" s="326"/>
      <c r="E176" s="195"/>
      <c r="F176" s="332"/>
    </row>
    <row r="177" spans="1:6" ht="19.5" customHeight="1">
      <c r="A177" s="325"/>
      <c r="B177" s="325"/>
      <c r="C177" s="325"/>
      <c r="D177" s="326"/>
      <c r="E177" s="195"/>
      <c r="F177" s="332"/>
    </row>
    <row r="178" spans="1:6" ht="19.5" customHeight="1">
      <c r="A178" s="325"/>
      <c r="B178" s="325"/>
      <c r="C178" s="325"/>
      <c r="D178" s="326"/>
      <c r="E178" s="195"/>
      <c r="F178" s="332"/>
    </row>
    <row r="179" spans="1:6" ht="19.5" customHeight="1">
      <c r="A179" s="325"/>
      <c r="B179" s="325"/>
      <c r="C179" s="325"/>
      <c r="D179" s="326"/>
      <c r="E179" s="195"/>
      <c r="F179" s="332"/>
    </row>
    <row r="180" spans="1:6" ht="19.5" customHeight="1">
      <c r="A180" s="325"/>
      <c r="B180" s="325"/>
      <c r="C180" s="325"/>
      <c r="D180" s="326"/>
      <c r="E180" s="195"/>
      <c r="F180" s="332"/>
    </row>
    <row r="181" spans="1:6" ht="19.5" customHeight="1">
      <c r="A181" s="325"/>
      <c r="B181" s="325"/>
      <c r="C181" s="325"/>
      <c r="D181" s="326"/>
      <c r="E181" s="195"/>
      <c r="F181" s="332"/>
    </row>
    <row r="182" spans="1:6" ht="19.5" customHeight="1">
      <c r="A182" s="325"/>
      <c r="B182" s="325"/>
      <c r="C182" s="325"/>
      <c r="D182" s="326"/>
      <c r="E182" s="195"/>
      <c r="F182" s="332"/>
    </row>
    <row r="183" spans="1:6" ht="19.5" customHeight="1">
      <c r="A183" s="325"/>
      <c r="B183" s="325"/>
      <c r="C183" s="325"/>
      <c r="D183" s="326"/>
      <c r="E183" s="195"/>
      <c r="F183" s="332"/>
    </row>
    <row r="184" spans="1:6" ht="19.5" customHeight="1">
      <c r="A184" s="325"/>
      <c r="B184" s="325"/>
      <c r="C184" s="325"/>
      <c r="D184" s="326"/>
      <c r="E184" s="195"/>
      <c r="F184" s="332"/>
    </row>
    <row r="185" spans="1:6" ht="19.5" customHeight="1">
      <c r="A185" s="325"/>
      <c r="B185" s="325"/>
      <c r="C185" s="325"/>
      <c r="D185" s="326"/>
      <c r="E185" s="195"/>
      <c r="F185" s="332"/>
    </row>
    <row r="186" spans="1:6" ht="19.5" customHeight="1">
      <c r="A186" s="325"/>
      <c r="B186" s="325"/>
      <c r="C186" s="325"/>
      <c r="D186" s="326"/>
      <c r="E186" s="195"/>
      <c r="F186" s="332"/>
    </row>
    <row r="187" spans="1:6" ht="19.5" customHeight="1">
      <c r="A187" s="325"/>
      <c r="B187" s="325"/>
      <c r="C187" s="325"/>
      <c r="D187" s="326"/>
      <c r="E187" s="195"/>
      <c r="F187" s="332"/>
    </row>
    <row r="188" spans="1:6" ht="19.5" customHeight="1">
      <c r="A188" s="325"/>
      <c r="B188" s="325"/>
      <c r="C188" s="325"/>
      <c r="D188" s="326"/>
      <c r="E188" s="195"/>
      <c r="F188" s="332"/>
    </row>
    <row r="189" spans="1:6" ht="19.5" customHeight="1">
      <c r="A189" s="325"/>
      <c r="B189" s="325"/>
      <c r="C189" s="325"/>
      <c r="D189" s="326"/>
      <c r="E189" s="195"/>
      <c r="F189" s="332"/>
    </row>
    <row r="190" spans="1:6" ht="19.5" customHeight="1">
      <c r="A190" s="325"/>
      <c r="B190" s="325"/>
      <c r="C190" s="325"/>
      <c r="D190" s="326"/>
      <c r="E190" s="195"/>
      <c r="F190" s="332"/>
    </row>
    <row r="191" spans="1:5" ht="19.5" customHeight="1">
      <c r="A191" s="325"/>
      <c r="B191" s="325"/>
      <c r="C191" s="325"/>
      <c r="D191" s="326"/>
      <c r="E191" s="195"/>
    </row>
    <row r="192" spans="1:5" ht="19.5" customHeight="1">
      <c r="A192" s="325"/>
      <c r="B192" s="325"/>
      <c r="C192" s="325"/>
      <c r="D192" s="326"/>
      <c r="E192" s="195"/>
    </row>
    <row r="193" spans="1:5" ht="19.5" customHeight="1">
      <c r="A193" s="325"/>
      <c r="B193" s="325"/>
      <c r="C193" s="325"/>
      <c r="D193" s="326"/>
      <c r="E193" s="195"/>
    </row>
    <row r="194" spans="1:5" ht="19.5" customHeight="1">
      <c r="A194" s="325"/>
      <c r="B194" s="325"/>
      <c r="C194" s="325"/>
      <c r="D194" s="326"/>
      <c r="E194" s="195"/>
    </row>
    <row r="195" spans="1:5" ht="19.5" customHeight="1">
      <c r="A195" s="325"/>
      <c r="B195" s="325"/>
      <c r="C195" s="325"/>
      <c r="D195" s="326"/>
      <c r="E195" s="195"/>
    </row>
    <row r="196" spans="1:5" ht="19.5" customHeight="1">
      <c r="A196" s="325"/>
      <c r="B196" s="325"/>
      <c r="C196" s="325"/>
      <c r="D196" s="326"/>
      <c r="E196" s="195"/>
    </row>
    <row r="197" spans="1:5" ht="19.5" customHeight="1">
      <c r="A197" s="325"/>
      <c r="B197" s="325"/>
      <c r="C197" s="325"/>
      <c r="D197" s="326"/>
      <c r="E197" s="195"/>
    </row>
    <row r="198" spans="1:5" ht="19.5" customHeight="1">
      <c r="A198" s="325"/>
      <c r="B198" s="325"/>
      <c r="C198" s="325"/>
      <c r="D198" s="326"/>
      <c r="E198" s="195"/>
    </row>
    <row r="199" spans="1:5" ht="19.5" customHeight="1">
      <c r="A199" s="325"/>
      <c r="B199" s="325"/>
      <c r="C199" s="325"/>
      <c r="D199" s="326"/>
      <c r="E199" s="195"/>
    </row>
    <row r="200" spans="1:5" ht="19.5" customHeight="1">
      <c r="A200" s="325"/>
      <c r="B200" s="325"/>
      <c r="C200" s="325"/>
      <c r="D200" s="326"/>
      <c r="E200" s="195"/>
    </row>
    <row r="201" spans="1:5" ht="19.5" customHeight="1">
      <c r="A201" s="325"/>
      <c r="B201" s="325"/>
      <c r="C201" s="325"/>
      <c r="D201" s="326"/>
      <c r="E201" s="195"/>
    </row>
    <row r="202" spans="1:5" ht="19.5" customHeight="1">
      <c r="A202" s="325"/>
      <c r="B202" s="325"/>
      <c r="C202" s="325"/>
      <c r="D202" s="326"/>
      <c r="E202" s="195"/>
    </row>
    <row r="203" spans="1:5" ht="19.5" customHeight="1">
      <c r="A203" s="325"/>
      <c r="B203" s="325"/>
      <c r="C203" s="325"/>
      <c r="D203" s="326"/>
      <c r="E203" s="195"/>
    </row>
    <row r="204" spans="1:5" ht="19.5" customHeight="1">
      <c r="A204" s="325"/>
      <c r="B204" s="325"/>
      <c r="C204" s="325"/>
      <c r="D204" s="326"/>
      <c r="E204" s="195"/>
    </row>
    <row r="205" spans="1:5" ht="19.5" customHeight="1">
      <c r="A205" s="325"/>
      <c r="B205" s="325"/>
      <c r="C205" s="325"/>
      <c r="D205" s="326"/>
      <c r="E205" s="195"/>
    </row>
    <row r="206" spans="1:5" ht="19.5" customHeight="1">
      <c r="A206" s="325"/>
      <c r="B206" s="325"/>
      <c r="C206" s="325"/>
      <c r="D206" s="326"/>
      <c r="E206" s="195"/>
    </row>
    <row r="207" spans="1:5" ht="19.5" customHeight="1">
      <c r="A207" s="325"/>
      <c r="B207" s="325"/>
      <c r="C207" s="325"/>
      <c r="D207" s="326"/>
      <c r="E207" s="195"/>
    </row>
    <row r="208" spans="1:5" ht="19.5" customHeight="1">
      <c r="A208" s="325"/>
      <c r="B208" s="325"/>
      <c r="C208" s="325"/>
      <c r="D208" s="326"/>
      <c r="E208" s="195"/>
    </row>
    <row r="209" spans="1:5" ht="19.5" customHeight="1">
      <c r="A209" s="325"/>
      <c r="B209" s="325"/>
      <c r="C209" s="325"/>
      <c r="D209" s="326"/>
      <c r="E209" s="195"/>
    </row>
    <row r="210" spans="1:5" ht="19.5" customHeight="1">
      <c r="A210" s="325"/>
      <c r="B210" s="325"/>
      <c r="C210" s="325"/>
      <c r="D210" s="326"/>
      <c r="E210" s="195"/>
    </row>
    <row r="211" spans="1:5" ht="19.5" customHeight="1">
      <c r="A211" s="325"/>
      <c r="B211" s="325"/>
      <c r="C211" s="325"/>
      <c r="D211" s="326"/>
      <c r="E211" s="195"/>
    </row>
    <row r="212" spans="1:5" ht="19.5" customHeight="1">
      <c r="A212" s="325"/>
      <c r="B212" s="325"/>
      <c r="C212" s="325"/>
      <c r="D212" s="326"/>
      <c r="E212" s="195"/>
    </row>
    <row r="213" spans="1:5" ht="19.5" customHeight="1">
      <c r="A213" s="325"/>
      <c r="B213" s="325"/>
      <c r="C213" s="325"/>
      <c r="D213" s="326"/>
      <c r="E213" s="195"/>
    </row>
    <row r="214" spans="1:5" ht="19.5" customHeight="1">
      <c r="A214" s="325"/>
      <c r="B214" s="325"/>
      <c r="C214" s="325"/>
      <c r="D214" s="326"/>
      <c r="E214" s="195"/>
    </row>
    <row r="215" spans="1:5" ht="19.5" customHeight="1">
      <c r="A215" s="325"/>
      <c r="B215" s="325"/>
      <c r="C215" s="325"/>
      <c r="D215" s="326"/>
      <c r="E215" s="195"/>
    </row>
    <row r="216" spans="1:5" ht="19.5" customHeight="1">
      <c r="A216" s="325"/>
      <c r="B216" s="325"/>
      <c r="C216" s="325"/>
      <c r="D216" s="326"/>
      <c r="E216" s="195"/>
    </row>
    <row r="217" spans="1:5" ht="19.5" customHeight="1">
      <c r="A217" s="325"/>
      <c r="B217" s="325"/>
      <c r="C217" s="325"/>
      <c r="D217" s="326"/>
      <c r="E217" s="195"/>
    </row>
    <row r="218" spans="1:5" ht="19.5" customHeight="1">
      <c r="A218" s="325"/>
      <c r="B218" s="325"/>
      <c r="C218" s="325"/>
      <c r="D218" s="326"/>
      <c r="E218" s="195"/>
    </row>
    <row r="219" spans="1:5" ht="19.5" customHeight="1">
      <c r="A219" s="325"/>
      <c r="B219" s="325"/>
      <c r="C219" s="325"/>
      <c r="D219" s="326"/>
      <c r="E219" s="195"/>
    </row>
    <row r="220" spans="1:5" ht="19.5" customHeight="1">
      <c r="A220" s="325"/>
      <c r="B220" s="325"/>
      <c r="C220" s="325"/>
      <c r="D220" s="326"/>
      <c r="E220" s="195"/>
    </row>
    <row r="221" spans="1:5" ht="19.5" customHeight="1">
      <c r="A221" s="325"/>
      <c r="B221" s="325"/>
      <c r="C221" s="325"/>
      <c r="D221" s="326"/>
      <c r="E221" s="195"/>
    </row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</sheetData>
  <sheetProtection password="CF93" sheet="1" objects="1" scenarios="1" selectLockedCells="1" selectUnlockedCells="1"/>
  <mergeCells count="10">
    <mergeCell ref="B68:D68"/>
    <mergeCell ref="B69:D69"/>
    <mergeCell ref="B70:D70"/>
    <mergeCell ref="B72:D72"/>
    <mergeCell ref="B71:D71"/>
    <mergeCell ref="A67:D67"/>
    <mergeCell ref="A45:D45"/>
    <mergeCell ref="F1:G1"/>
    <mergeCell ref="A3:G3"/>
    <mergeCell ref="A7:D7"/>
  </mergeCells>
  <printOptions horizontalCentered="1"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F83"/>
  <sheetViews>
    <sheetView view="pageBreakPreview" zoomScaleSheetLayoutView="100" workbookViewId="0" topLeftCell="A1">
      <selection activeCell="I70" sqref="I70"/>
    </sheetView>
  </sheetViews>
  <sheetFormatPr defaultColWidth="9.00390625" defaultRowHeight="12.75"/>
  <cols>
    <col min="1" max="1" width="45.125" style="355" customWidth="1"/>
    <col min="2" max="2" width="13.125" style="355" customWidth="1"/>
    <col min="3" max="3" width="13.00390625" style="355" customWidth="1"/>
    <col min="4" max="4" width="7.125" style="355" customWidth="1"/>
    <col min="5" max="5" width="8.25390625" style="355" customWidth="1"/>
    <col min="6" max="6" width="9.125" style="418" customWidth="1"/>
    <col min="7" max="16384" width="9.125" style="355" customWidth="1"/>
  </cols>
  <sheetData>
    <row r="1" spans="1:6" ht="12.75">
      <c r="A1" s="354"/>
      <c r="B1" s="354"/>
      <c r="D1" s="1395" t="s">
        <v>509</v>
      </c>
      <c r="E1" s="1395"/>
      <c r="F1" s="355"/>
    </row>
    <row r="2" spans="1:6" ht="13.5" customHeight="1">
      <c r="A2" s="354"/>
      <c r="B2" s="354"/>
      <c r="F2" s="355"/>
    </row>
    <row r="3" spans="1:5" s="356" customFormat="1" ht="12.75">
      <c r="A3" s="1396" t="s">
        <v>1256</v>
      </c>
      <c r="B3" s="1396"/>
      <c r="C3" s="1396"/>
      <c r="D3" s="1396"/>
      <c r="E3" s="1396"/>
    </row>
    <row r="4" spans="4:5" s="356" customFormat="1" ht="13.5" thickBot="1">
      <c r="D4" s="357"/>
      <c r="E4" s="357" t="s">
        <v>1035</v>
      </c>
    </row>
    <row r="5" spans="1:6" ht="26.25" customHeight="1">
      <c r="A5" s="358" t="s">
        <v>978</v>
      </c>
      <c r="B5" s="359" t="s">
        <v>1038</v>
      </c>
      <c r="C5" s="360" t="s">
        <v>1039</v>
      </c>
      <c r="D5" s="361" t="s">
        <v>851</v>
      </c>
      <c r="E5" s="362" t="s">
        <v>1210</v>
      </c>
      <c r="F5" s="355"/>
    </row>
    <row r="6" spans="1:5" s="368" customFormat="1" ht="12.75" customHeight="1" thickBot="1">
      <c r="A6" s="363">
        <v>1</v>
      </c>
      <c r="B6" s="364">
        <v>2</v>
      </c>
      <c r="C6" s="365">
        <v>3</v>
      </c>
      <c r="D6" s="366">
        <v>4</v>
      </c>
      <c r="E6" s="367">
        <v>5</v>
      </c>
    </row>
    <row r="7" spans="1:5" s="368" customFormat="1" ht="8.25" customHeight="1">
      <c r="A7" s="369"/>
      <c r="B7" s="370"/>
      <c r="C7" s="371"/>
      <c r="D7" s="371"/>
      <c r="E7" s="372"/>
    </row>
    <row r="8" spans="1:6" ht="12.75">
      <c r="A8" s="373" t="s">
        <v>648</v>
      </c>
      <c r="B8" s="374">
        <f>SUM(B10,B20,B32,B36,B38,B40,B42,B44)</f>
        <v>111031748</v>
      </c>
      <c r="C8" s="374">
        <f>SUM(C10,C20,C32,C36,C38,C40,C42,C44)</f>
        <v>51737833.129999995</v>
      </c>
      <c r="D8" s="375">
        <f>C8/B8*100</f>
        <v>46.59733280070489</v>
      </c>
      <c r="E8" s="376">
        <f>C8/$C$80*100</f>
        <v>56.47428469437899</v>
      </c>
      <c r="F8" s="355"/>
    </row>
    <row r="9" spans="1:6" ht="6.75" customHeight="1">
      <c r="A9" s="377"/>
      <c r="B9" s="378"/>
      <c r="C9" s="378"/>
      <c r="D9" s="379"/>
      <c r="E9" s="380"/>
      <c r="F9" s="355"/>
    </row>
    <row r="10" spans="1:6" ht="12.75">
      <c r="A10" s="377" t="s">
        <v>649</v>
      </c>
      <c r="B10" s="378">
        <f>SUM(B11:B18)</f>
        <v>24544800</v>
      </c>
      <c r="C10" s="378">
        <f>SUM(C11:C18)</f>
        <v>12639397.24</v>
      </c>
      <c r="D10" s="379">
        <f aca="true" t="shared" si="0" ref="D10:D17">C10/B10*100</f>
        <v>51.49521381310909</v>
      </c>
      <c r="E10" s="380">
        <f aca="true" t="shared" si="1" ref="E10:E17">C10/$C$80*100</f>
        <v>13.796498131329994</v>
      </c>
      <c r="F10" s="355"/>
    </row>
    <row r="11" spans="1:6" ht="12.75">
      <c r="A11" s="381" t="s">
        <v>987</v>
      </c>
      <c r="B11" s="382">
        <f>SUM(6D!E111+6D!E119)</f>
        <v>21200000</v>
      </c>
      <c r="C11" s="382">
        <f>SUM(6D!F111+6D!F119)</f>
        <v>11025003.18</v>
      </c>
      <c r="D11" s="383">
        <f t="shared" si="0"/>
        <v>52.00473198113207</v>
      </c>
      <c r="E11" s="384">
        <f t="shared" si="1"/>
        <v>12.0343108838612</v>
      </c>
      <c r="F11" s="355"/>
    </row>
    <row r="12" spans="1:6" ht="12.75">
      <c r="A12" s="381" t="s">
        <v>988</v>
      </c>
      <c r="B12" s="382">
        <f>SUM(6D!E112,6D!E120)</f>
        <v>47200</v>
      </c>
      <c r="C12" s="382">
        <f>SUM(6D!F112,6D!F120)</f>
        <v>47360.39</v>
      </c>
      <c r="D12" s="383">
        <f t="shared" si="0"/>
        <v>100.3398093220339</v>
      </c>
      <c r="E12" s="384">
        <f t="shared" si="1"/>
        <v>0.051696099088191935</v>
      </c>
      <c r="F12" s="355"/>
    </row>
    <row r="13" spans="1:6" ht="12.75">
      <c r="A13" s="381" t="s">
        <v>989</v>
      </c>
      <c r="B13" s="382">
        <f>SUM(6D!E113,6D!E121)</f>
        <v>58600</v>
      </c>
      <c r="C13" s="382">
        <f>SUM(6D!F113,6D!F121)</f>
        <v>31616.12</v>
      </c>
      <c r="D13" s="383">
        <f t="shared" si="0"/>
        <v>53.95242320819113</v>
      </c>
      <c r="E13" s="384">
        <f t="shared" si="1"/>
        <v>0.0345104859209176</v>
      </c>
      <c r="F13" s="355"/>
    </row>
    <row r="14" spans="1:6" ht="12.75">
      <c r="A14" s="381" t="s">
        <v>990</v>
      </c>
      <c r="B14" s="382">
        <f>SUM(6D!E114,6D!E122)</f>
        <v>239000</v>
      </c>
      <c r="C14" s="382">
        <f>SUM(6D!F114,6D!F122)</f>
        <v>155807.37</v>
      </c>
      <c r="D14" s="383">
        <f t="shared" si="0"/>
        <v>65.19136820083682</v>
      </c>
      <c r="E14" s="384">
        <f t="shared" si="1"/>
        <v>0.17007109185947547</v>
      </c>
      <c r="F14" s="355"/>
    </row>
    <row r="15" spans="1:6" ht="25.5" customHeight="1">
      <c r="A15" s="385" t="s">
        <v>101</v>
      </c>
      <c r="B15" s="386">
        <f>SUM(6D!E108)</f>
        <v>340000</v>
      </c>
      <c r="C15" s="386">
        <f>SUM(6D!F108)</f>
        <v>96805.17</v>
      </c>
      <c r="D15" s="383">
        <f t="shared" si="0"/>
        <v>28.472108823529414</v>
      </c>
      <c r="E15" s="384">
        <f t="shared" si="1"/>
        <v>0.1056674081562518</v>
      </c>
      <c r="F15" s="355"/>
    </row>
    <row r="16" spans="1:6" ht="12.75">
      <c r="A16" s="381" t="s">
        <v>991</v>
      </c>
      <c r="B16" s="382">
        <f>SUM(6D!E123)</f>
        <v>280000</v>
      </c>
      <c r="C16" s="382">
        <f>SUM(6D!F123)</f>
        <v>150024.9</v>
      </c>
      <c r="D16" s="383">
        <f t="shared" si="0"/>
        <v>53.58032142857143</v>
      </c>
      <c r="E16" s="384">
        <f t="shared" si="1"/>
        <v>0.16375925316696266</v>
      </c>
      <c r="F16" s="355"/>
    </row>
    <row r="17" spans="1:6" ht="12.75">
      <c r="A17" s="381" t="s">
        <v>992</v>
      </c>
      <c r="B17" s="382">
        <f>SUM(6D!E115,6D!E126)</f>
        <v>2380000</v>
      </c>
      <c r="C17" s="382">
        <f>SUM(6D!F115,6D!F126)</f>
        <v>1121344.4600000002</v>
      </c>
      <c r="D17" s="383">
        <f t="shared" si="0"/>
        <v>47.11531344537816</v>
      </c>
      <c r="E17" s="384">
        <f t="shared" si="1"/>
        <v>1.224000358023975</v>
      </c>
      <c r="F17" s="355"/>
    </row>
    <row r="18" spans="1:6" ht="12.75">
      <c r="A18" s="381" t="s">
        <v>295</v>
      </c>
      <c r="B18" s="382">
        <f>SUM(6D!E127)</f>
        <v>0</v>
      </c>
      <c r="C18" s="382">
        <f>SUM(6D!F127)</f>
        <v>11435.65</v>
      </c>
      <c r="D18" s="387" t="s">
        <v>1274</v>
      </c>
      <c r="E18" s="384">
        <f>C18/$C$80*100</f>
        <v>0.012482551253017175</v>
      </c>
      <c r="F18" s="355"/>
    </row>
    <row r="19" spans="1:6" ht="6" customHeight="1">
      <c r="A19" s="377"/>
      <c r="B19" s="378"/>
      <c r="C19" s="378"/>
      <c r="D19" s="379"/>
      <c r="E19" s="380"/>
      <c r="F19" s="355"/>
    </row>
    <row r="20" spans="1:6" ht="12.75">
      <c r="A20" s="377" t="s">
        <v>979</v>
      </c>
      <c r="B20" s="378">
        <f>SUM(B21:B30)</f>
        <v>6376980</v>
      </c>
      <c r="C20" s="378">
        <f>SUM(C21:C30)</f>
        <v>2950375.1100000003</v>
      </c>
      <c r="D20" s="379">
        <f aca="true" t="shared" si="2" ref="D20:D30">C20/B20*100</f>
        <v>46.26602419954274</v>
      </c>
      <c r="E20" s="380">
        <f aca="true" t="shared" si="3" ref="E20:E30">C20/$C$80*100</f>
        <v>3.220473565228141</v>
      </c>
      <c r="F20" s="355"/>
    </row>
    <row r="21" spans="1:6" ht="12.75">
      <c r="A21" s="381" t="s">
        <v>852</v>
      </c>
      <c r="B21" s="382">
        <f>SUM(6D!E241)</f>
        <v>12000</v>
      </c>
      <c r="C21" s="382">
        <f>SUM(6D!F241)</f>
        <v>7338.98</v>
      </c>
      <c r="D21" s="383">
        <f t="shared" si="2"/>
        <v>61.15816666666666</v>
      </c>
      <c r="E21" s="384">
        <f t="shared" si="3"/>
        <v>0.008010842758817206</v>
      </c>
      <c r="F21" s="355"/>
    </row>
    <row r="22" spans="1:6" ht="12.75">
      <c r="A22" s="381" t="s">
        <v>993</v>
      </c>
      <c r="B22" s="382">
        <f>SUM(6D!E131)</f>
        <v>500000</v>
      </c>
      <c r="C22" s="382">
        <f>SUM(6D!F131)</f>
        <v>236967.18</v>
      </c>
      <c r="D22" s="383">
        <f t="shared" si="2"/>
        <v>47.393436</v>
      </c>
      <c r="E22" s="384">
        <f t="shared" si="3"/>
        <v>0.2586608517778129</v>
      </c>
      <c r="F22" s="355"/>
    </row>
    <row r="23" spans="1:6" ht="12.75">
      <c r="A23" s="381" t="s">
        <v>994</v>
      </c>
      <c r="B23" s="382">
        <f>SUM(6D!E312)</f>
        <v>678740</v>
      </c>
      <c r="C23" s="382">
        <f>SUM(6D!F312)</f>
        <v>314629.5</v>
      </c>
      <c r="D23" s="383">
        <f t="shared" si="2"/>
        <v>46.35493708931255</v>
      </c>
      <c r="E23" s="384">
        <f t="shared" si="3"/>
        <v>0.3434329364278521</v>
      </c>
      <c r="F23" s="355"/>
    </row>
    <row r="24" spans="1:6" ht="12.75">
      <c r="A24" s="381" t="s">
        <v>971</v>
      </c>
      <c r="B24" s="382">
        <f>SUM(6D!E124)</f>
        <v>3400000</v>
      </c>
      <c r="C24" s="382">
        <f>SUM(6D!F124)</f>
        <v>1039466.84</v>
      </c>
      <c r="D24" s="383">
        <f t="shared" si="2"/>
        <v>30.572554117647062</v>
      </c>
      <c r="E24" s="384">
        <f t="shared" si="3"/>
        <v>1.1346270746404274</v>
      </c>
      <c r="F24" s="355"/>
    </row>
    <row r="25" spans="1:6" ht="12.75">
      <c r="A25" s="381" t="s">
        <v>477</v>
      </c>
      <c r="B25" s="382">
        <f>SUM(6D!E125)</f>
        <v>500000</v>
      </c>
      <c r="C25" s="382">
        <f>SUM(6D!F125)</f>
        <v>245078</v>
      </c>
      <c r="D25" s="383">
        <f t="shared" si="2"/>
        <v>49.0156</v>
      </c>
      <c r="E25" s="384">
        <f t="shared" si="3"/>
        <v>0.2675141942947662</v>
      </c>
      <c r="F25" s="355"/>
    </row>
    <row r="26" spans="1:6" ht="12.75">
      <c r="A26" s="381" t="s">
        <v>997</v>
      </c>
      <c r="B26" s="382">
        <f>SUM(6D!E132)</f>
        <v>5000</v>
      </c>
      <c r="C26" s="382">
        <f>SUM(6D!F132)</f>
        <v>3329.35</v>
      </c>
      <c r="D26" s="383">
        <f t="shared" si="2"/>
        <v>66.58699999999999</v>
      </c>
      <c r="E26" s="384">
        <f t="shared" si="3"/>
        <v>0.0036341425292163304</v>
      </c>
      <c r="F26" s="355"/>
    </row>
    <row r="27" spans="1:6" ht="12.75">
      <c r="A27" s="381" t="s">
        <v>999</v>
      </c>
      <c r="B27" s="382">
        <f>SUM(6D!E133)</f>
        <v>1100000</v>
      </c>
      <c r="C27" s="382">
        <f>SUM(6D!F133)</f>
        <v>1041823.06</v>
      </c>
      <c r="D27" s="383">
        <f t="shared" si="2"/>
        <v>94.71118727272729</v>
      </c>
      <c r="E27" s="384">
        <f t="shared" si="3"/>
        <v>1.1371989998841507</v>
      </c>
      <c r="F27" s="355"/>
    </row>
    <row r="28" spans="1:6" ht="12.75">
      <c r="A28" s="381" t="s">
        <v>1278</v>
      </c>
      <c r="B28" s="382">
        <f>SUM(6D!E134)</f>
        <v>74000</v>
      </c>
      <c r="C28" s="382">
        <f>SUM(6D!F134)</f>
        <v>30524.93</v>
      </c>
      <c r="D28" s="383">
        <f t="shared" si="2"/>
        <v>41.24990540540541</v>
      </c>
      <c r="E28" s="384">
        <f t="shared" si="3"/>
        <v>0.03331940057799614</v>
      </c>
      <c r="F28" s="355"/>
    </row>
    <row r="29" spans="1:6" ht="12.75">
      <c r="A29" s="381" t="s">
        <v>1000</v>
      </c>
      <c r="B29" s="382">
        <f>SUM(6D!E135)</f>
        <v>15000</v>
      </c>
      <c r="C29" s="382">
        <f>SUM(6D!F135)</f>
        <v>6810.2</v>
      </c>
      <c r="D29" s="383">
        <f t="shared" si="2"/>
        <v>45.40133333333333</v>
      </c>
      <c r="E29" s="384">
        <f t="shared" si="3"/>
        <v>0.007433654452811826</v>
      </c>
      <c r="F29" s="355"/>
    </row>
    <row r="30" spans="1:6" ht="25.5">
      <c r="A30" s="385" t="s">
        <v>1161</v>
      </c>
      <c r="B30" s="382">
        <f>SUM(6D!E13,6D!E30,6D!E136,6D!E147,6D!E159,6D!E163,6D!E299,6D!E77,6D!E117)</f>
        <v>92240</v>
      </c>
      <c r="C30" s="382">
        <f>SUM(6D!F13,6D!F30,6D!F136,6D!F147,6D!F159,6D!F163,6D!F299,6D!F77,6D!F117)</f>
        <v>24407.07</v>
      </c>
      <c r="D30" s="383">
        <f t="shared" si="2"/>
        <v>26.460396790980052</v>
      </c>
      <c r="E30" s="384">
        <f t="shared" si="3"/>
        <v>0.026641467884289734</v>
      </c>
      <c r="F30" s="355"/>
    </row>
    <row r="31" spans="1:6" ht="4.5" customHeight="1">
      <c r="A31" s="377"/>
      <c r="B31" s="378"/>
      <c r="C31" s="378"/>
      <c r="D31" s="379"/>
      <c r="E31" s="380"/>
      <c r="F31" s="355"/>
    </row>
    <row r="32" spans="1:6" ht="25.5">
      <c r="A32" s="388" t="s">
        <v>129</v>
      </c>
      <c r="B32" s="378">
        <f>B33+B34</f>
        <v>32420237</v>
      </c>
      <c r="C32" s="378">
        <f>C33+C34</f>
        <v>12969805.94</v>
      </c>
      <c r="D32" s="379">
        <f>C32/B32*100</f>
        <v>40.005277999664216</v>
      </c>
      <c r="E32" s="380">
        <f>C32/$C$80*100</f>
        <v>14.157154808667336</v>
      </c>
      <c r="F32" s="355"/>
    </row>
    <row r="33" spans="1:6" ht="12.75">
      <c r="A33" s="381" t="s">
        <v>1001</v>
      </c>
      <c r="B33" s="382">
        <f>SUM(6D!E140,6D!E314)</f>
        <v>30920237</v>
      </c>
      <c r="C33" s="382">
        <f>SUM(6D!F140,6D!F314)</f>
        <v>12475626</v>
      </c>
      <c r="D33" s="383">
        <f>C33/B33*100</f>
        <v>40.347769650019174</v>
      </c>
      <c r="E33" s="384">
        <f>C33/$C$80*100</f>
        <v>13.617734099808377</v>
      </c>
      <c r="F33" s="355"/>
    </row>
    <row r="34" spans="1:6" ht="12.75">
      <c r="A34" s="381" t="s">
        <v>1002</v>
      </c>
      <c r="B34" s="382">
        <f>SUM(6D!E141,6D!E315)</f>
        <v>1500000</v>
      </c>
      <c r="C34" s="382">
        <f>SUM(6D!F141,6D!F315)</f>
        <v>494179.94</v>
      </c>
      <c r="D34" s="383">
        <f>C34/B34*100</f>
        <v>32.94532933333333</v>
      </c>
      <c r="E34" s="384">
        <f>C34/$C$80*100</f>
        <v>0.5394207088589589</v>
      </c>
      <c r="F34" s="355"/>
    </row>
    <row r="35" spans="1:6" ht="3" customHeight="1">
      <c r="A35" s="377"/>
      <c r="B35" s="378"/>
      <c r="C35" s="378"/>
      <c r="D35" s="383"/>
      <c r="E35" s="380"/>
      <c r="F35" s="355"/>
    </row>
    <row r="36" spans="1:6" ht="25.5">
      <c r="A36" s="388" t="s">
        <v>360</v>
      </c>
      <c r="B36" s="389">
        <f>SUM(6D!E49,6D!E21,6D!E233)</f>
        <v>216045</v>
      </c>
      <c r="C36" s="389">
        <f>SUM(6D!F49,6D!F21,6D!F233)</f>
        <v>0</v>
      </c>
      <c r="D36" s="1309">
        <f>C36/B36*100</f>
        <v>0</v>
      </c>
      <c r="E36" s="380">
        <f>C36/$C$80*100</f>
        <v>0</v>
      </c>
      <c r="F36" s="355"/>
    </row>
    <row r="37" spans="1:6" ht="3" customHeight="1">
      <c r="A37" s="377"/>
      <c r="B37" s="378"/>
      <c r="C37" s="378"/>
      <c r="D37" s="379"/>
      <c r="E37" s="380"/>
      <c r="F37" s="355"/>
    </row>
    <row r="38" spans="1:6" ht="12.75">
      <c r="A38" s="377" t="s">
        <v>981</v>
      </c>
      <c r="B38" s="378">
        <f>SUM(6D!E14,6D!E25,6D!E31,6D!E39,6D!E52,6D!E55,6D!E56,6D!E57,6D!E78,6D!E80,6D!E148,6D!E231,6D!E243,6D!E244,6D!E300)</f>
        <v>18868320</v>
      </c>
      <c r="C38" s="378">
        <f>SUM(6D!F14,6D!F25,6D!F31,6D!F39,6D!F52,6D!F55,6D!F56,6D!F57,6D!F78,6D!F80,6D!F148,6D!F231,6D!F243,6D!F244,6D!F300)</f>
        <v>3318211.1299999994</v>
      </c>
      <c r="D38" s="379">
        <f>C38/B38*100</f>
        <v>17.58615038328796</v>
      </c>
      <c r="E38" s="380">
        <f>C38/$C$80*100</f>
        <v>3.621983927328751</v>
      </c>
      <c r="F38" s="355"/>
    </row>
    <row r="39" spans="1:6" ht="3" customHeight="1">
      <c r="A39" s="377"/>
      <c r="B39" s="378"/>
      <c r="C39" s="378"/>
      <c r="D39" s="379"/>
      <c r="E39" s="380"/>
      <c r="F39" s="355"/>
    </row>
    <row r="40" spans="1:6" ht="25.5" customHeight="1">
      <c r="A40" s="388" t="s">
        <v>1032</v>
      </c>
      <c r="B40" s="389">
        <f>SUM(6D!E149,6D!E221)</f>
        <v>600000</v>
      </c>
      <c r="C40" s="389">
        <f>SUM(6D!F149,6D!F221)</f>
        <v>84663.12</v>
      </c>
      <c r="D40" s="379">
        <f>C40/B40*100</f>
        <v>14.11052</v>
      </c>
      <c r="E40" s="380">
        <f>C40/$C$80*100</f>
        <v>0.09241378799109307</v>
      </c>
      <c r="F40" s="355"/>
    </row>
    <row r="41" spans="1:6" ht="1.5" customHeight="1">
      <c r="A41" s="377" t="s">
        <v>982</v>
      </c>
      <c r="B41" s="378"/>
      <c r="C41" s="378"/>
      <c r="D41" s="379"/>
      <c r="E41" s="380"/>
      <c r="F41" s="355"/>
    </row>
    <row r="42" spans="1:6" ht="25.5" customHeight="1">
      <c r="A42" s="388" t="s">
        <v>130</v>
      </c>
      <c r="B42" s="389">
        <f>SUM(6D!E15,6D!E26,6D!E32,6D!E40,6D!E58,6D!E81,6D!E109,6D!E116,6D!E128,6D!E129,6D!E137,6D!E138,6D!E206,6D!E211,6D!E245,6D!E301)</f>
        <v>250500</v>
      </c>
      <c r="C42" s="389">
        <f>SUM(6D!F15,6D!F26,6D!F32,6D!F40,6D!F58,6D!F81,6D!F109,6D!F116,6D!F128,6D!F129,6D!F137,6D!F138,6D!F206,6D!F211,6D!F245,6D!F301)</f>
        <v>133030.55</v>
      </c>
      <c r="D42" s="379">
        <f>C42/B42*100</f>
        <v>53.10600798403193</v>
      </c>
      <c r="E42" s="380">
        <f>C42/$C$80*100</f>
        <v>0.1452091187288929</v>
      </c>
      <c r="F42" s="355"/>
    </row>
    <row r="43" spans="1:6" ht="2.25" customHeight="1">
      <c r="A43" s="377"/>
      <c r="B43" s="378"/>
      <c r="C43" s="378"/>
      <c r="D43" s="379"/>
      <c r="E43" s="380"/>
      <c r="F43" s="355"/>
    </row>
    <row r="44" spans="1:6" ht="18" customHeight="1">
      <c r="A44" s="388" t="s">
        <v>985</v>
      </c>
      <c r="B44" s="389">
        <f>SUM(B45,B46,B47,B48,B49,B50,B51,B52,B53)</f>
        <v>27754866</v>
      </c>
      <c r="C44" s="389">
        <f>SUM(C45,C46,C47,C48,C49,C50,C51,C52,C53)</f>
        <v>19642350.04</v>
      </c>
      <c r="D44" s="379">
        <f aca="true" t="shared" si="4" ref="D44:D53">C44/B44*100</f>
        <v>70.77083362607479</v>
      </c>
      <c r="E44" s="380">
        <f aca="true" t="shared" si="5" ref="E44:E53">C44/$C$80*100</f>
        <v>21.440551355104777</v>
      </c>
      <c r="F44" s="355"/>
    </row>
    <row r="45" spans="1:6" ht="14.25" customHeight="1">
      <c r="A45" s="385" t="s">
        <v>167</v>
      </c>
      <c r="B45" s="386">
        <f>SUM(6D!E24,6D!E29,6D!E45,6D!E53,6D!E54,6D!E63,6D!E67,6D!E69,6D!E71,6D!E101,6D!E146,6D!E156,6D!E214,6D!E235,6D!E251,6D!E256,6D!E257,6D!E272,6D!E276,6D!E277,6D!E291)</f>
        <v>200000</v>
      </c>
      <c r="C45" s="386">
        <f>SUM(6D!F24,6D!F29,6D!F45,6D!F53,6D!F54,6D!F63,6D!F67,6D!F69,6D!F71,6D!F101,6D!F146,6D!F156,6D!F214,6D!F235,6D!F251,6D!F256,6D!F257,6D!F272,6D!F276,6D!F277,6D!F291)</f>
        <v>498938.61</v>
      </c>
      <c r="D45" s="383">
        <f t="shared" si="4"/>
        <v>249.469305</v>
      </c>
      <c r="E45" s="384">
        <f t="shared" si="5"/>
        <v>0.5446150215715021</v>
      </c>
      <c r="F45" s="355"/>
    </row>
    <row r="46" spans="1:6" ht="14.25" customHeight="1">
      <c r="A46" s="381" t="s">
        <v>1004</v>
      </c>
      <c r="B46" s="386">
        <f>SUM(6D!E72,6D!E79,6D!E210,6D!E188)</f>
        <v>275000</v>
      </c>
      <c r="C46" s="386">
        <f>SUM(6D!F72,6D!F79,6D!F210,6D!F188)</f>
        <v>148327.38999999998</v>
      </c>
      <c r="D46" s="383">
        <f t="shared" si="4"/>
        <v>53.93723272727272</v>
      </c>
      <c r="E46" s="384">
        <f t="shared" si="5"/>
        <v>0.16190634095143408</v>
      </c>
      <c r="F46" s="355"/>
    </row>
    <row r="47" spans="1:5" s="390" customFormat="1" ht="14.25" customHeight="1">
      <c r="A47" s="381" t="s">
        <v>1204</v>
      </c>
      <c r="B47" s="383">
        <f>SUM(6D!E83,6D!E302)</f>
        <v>663900</v>
      </c>
      <c r="C47" s="383">
        <f>SUM(6D!F83,6D!F302)</f>
        <v>793420.96</v>
      </c>
      <c r="D47" s="383">
        <f t="shared" si="4"/>
        <v>119.50910679319173</v>
      </c>
      <c r="E47" s="384">
        <f t="shared" si="5"/>
        <v>0.8660563936827456</v>
      </c>
    </row>
    <row r="48" spans="1:5" s="390" customFormat="1" ht="14.25" customHeight="1">
      <c r="A48" s="381" t="s">
        <v>1119</v>
      </c>
      <c r="B48" s="383">
        <f>SUM(6D!E351)</f>
        <v>110000</v>
      </c>
      <c r="C48" s="383">
        <f>SUM(6D!F351)</f>
        <v>54000</v>
      </c>
      <c r="D48" s="383">
        <f t="shared" si="4"/>
        <v>49.09090909090909</v>
      </c>
      <c r="E48" s="384">
        <f t="shared" si="5"/>
        <v>0.05894354651138566</v>
      </c>
    </row>
    <row r="49" spans="1:6" ht="13.5" customHeight="1">
      <c r="A49" s="381" t="s">
        <v>1006</v>
      </c>
      <c r="B49" s="382">
        <f>SUM(6D!E33,6D!E35,6D!E42,6D!E64,6D!E89,6D!E90,6D!E105,6D!E161,6D!E217,6D!E236,6D!E273,6D!E279)</f>
        <v>15779571</v>
      </c>
      <c r="C49" s="382">
        <f>SUM(6D!F33,6D!F35,6D!F42,6D!F64,6D!F89,6D!F90,6D!F105,6D!F161,6D!F217,6D!F236,6D!F273,6D!F279)</f>
        <v>9559778.27</v>
      </c>
      <c r="D49" s="383">
        <f t="shared" si="4"/>
        <v>60.58325837882411</v>
      </c>
      <c r="E49" s="384">
        <f t="shared" si="5"/>
        <v>10.43494879807924</v>
      </c>
      <c r="F49" s="355"/>
    </row>
    <row r="50" spans="1:6" ht="13.5" customHeight="1">
      <c r="A50" s="381" t="s">
        <v>818</v>
      </c>
      <c r="B50" s="391">
        <f>6D!E265+6D!E259</f>
        <v>333000</v>
      </c>
      <c r="C50" s="391">
        <f>6D!F265+6D!F259</f>
        <v>0</v>
      </c>
      <c r="D50" s="383">
        <f>C50/B50*100</f>
        <v>0</v>
      </c>
      <c r="E50" s="384">
        <f>C50/$C$80*100</f>
        <v>0</v>
      </c>
      <c r="F50" s="355"/>
    </row>
    <row r="51" spans="1:6" ht="13.5" customHeight="1" hidden="1">
      <c r="A51" s="381" t="s">
        <v>1220</v>
      </c>
      <c r="B51" s="382">
        <f>6D!E258</f>
        <v>0</v>
      </c>
      <c r="C51" s="382">
        <f>6D!F258</f>
        <v>0</v>
      </c>
      <c r="D51" s="383" t="e">
        <f>C51/B51*100</f>
        <v>#DIV/0!</v>
      </c>
      <c r="E51" s="384">
        <f>C51/$C$80*100</f>
        <v>0</v>
      </c>
      <c r="F51" s="355"/>
    </row>
    <row r="52" spans="1:6" ht="13.5" customHeight="1">
      <c r="A52" s="381" t="s">
        <v>907</v>
      </c>
      <c r="B52" s="382">
        <f>SUM(6D!E50,6D!E157,6D!E172,6D!E202,6D!E249,6D!E263)</f>
        <v>115000</v>
      </c>
      <c r="C52" s="382">
        <f>SUM(6D!F50,6D!F157,6D!F172,6D!F202,6D!F249,6D!F263)</f>
        <v>115060.19</v>
      </c>
      <c r="D52" s="383">
        <f t="shared" si="4"/>
        <v>100.05233913043479</v>
      </c>
      <c r="E52" s="384">
        <f t="shared" si="5"/>
        <v>0.12559362334951613</v>
      </c>
      <c r="F52" s="355"/>
    </row>
    <row r="53" spans="1:6" ht="13.5" customHeight="1">
      <c r="A53" s="381" t="s">
        <v>1120</v>
      </c>
      <c r="B53" s="382">
        <f>SUM(6D!E18,6D!E27,6D!E27,6D!E41,6D!E59,6D!E103,6D!E82,6D!E150,6D!E160,6D!E164,6D!E174,6D!E176,6D!E178,6D!E184,6D!E186,6D!E189,6D!E192,6D!E194,6D!E199,6D!E204,6D!E207,6D!E220,6D!E232,6D!E239,6D!E246,6D!E253,6D!E262,6D!E278)+6D!E335+6D!E339+6D!E349+6D!E375</f>
        <v>10278395</v>
      </c>
      <c r="C53" s="382">
        <f>SUM(6D!F18,6D!F27,6D!F27,6D!F41,6D!F59,6D!F103,6D!F82,6D!F150,6D!F160,6D!F164,6D!F174,6D!F176,6D!F178,6D!F184,6D!F186,6D!F189,6D!F192,6D!F194,6D!F199,6D!F204,6D!F207,6D!F220,6D!F232,6D!F239,6D!F246,6D!F253,6D!F262,6D!F278)+6D!F335+6D!F339+6D!F349+6D!F375</f>
        <v>8472824.620000001</v>
      </c>
      <c r="D53" s="383">
        <f t="shared" si="4"/>
        <v>82.43334314355502</v>
      </c>
      <c r="E53" s="384">
        <f t="shared" si="5"/>
        <v>9.248487630958955</v>
      </c>
      <c r="F53" s="355"/>
    </row>
    <row r="54" spans="1:5" s="394" customFormat="1" ht="10.5" customHeight="1">
      <c r="A54" s="392"/>
      <c r="B54" s="393"/>
      <c r="C54" s="393"/>
      <c r="D54" s="383"/>
      <c r="E54" s="384"/>
    </row>
    <row r="55" spans="1:5" s="356" customFormat="1" ht="12.75">
      <c r="A55" s="395" t="s">
        <v>986</v>
      </c>
      <c r="B55" s="374">
        <f>SUM(B56,B57,B60,B61)</f>
        <v>55345142</v>
      </c>
      <c r="C55" s="374">
        <f>SUM(C56,C57,C60,C61)</f>
        <v>31348445</v>
      </c>
      <c r="D55" s="375">
        <f aca="true" t="shared" si="6" ref="D55:D61">C55/B55*100</f>
        <v>56.641728374280795</v>
      </c>
      <c r="E55" s="376">
        <f aca="true" t="shared" si="7" ref="E55:E61">C55/$C$80*100</f>
        <v>34.21830603550214</v>
      </c>
    </row>
    <row r="56" spans="1:6" ht="12.75">
      <c r="A56" s="396" t="s">
        <v>1007</v>
      </c>
      <c r="B56" s="378">
        <f>SUM(6D!E144,6D!E318)</f>
        <v>29851786</v>
      </c>
      <c r="C56" s="378">
        <f>SUM(6D!F144,6D!F318)</f>
        <v>18601767</v>
      </c>
      <c r="D56" s="379">
        <f t="shared" si="6"/>
        <v>62.31374899980858</v>
      </c>
      <c r="E56" s="380">
        <f t="shared" si="7"/>
        <v>20.304705895527018</v>
      </c>
      <c r="F56" s="355"/>
    </row>
    <row r="57" spans="1:6" ht="12.75">
      <c r="A57" s="396" t="s">
        <v>1008</v>
      </c>
      <c r="B57" s="378">
        <f>SUM(B58,B59)</f>
        <v>22000000</v>
      </c>
      <c r="C57" s="378">
        <f>SUM(C58,C59)</f>
        <v>11000000</v>
      </c>
      <c r="D57" s="379">
        <f t="shared" si="6"/>
        <v>50</v>
      </c>
      <c r="E57" s="380">
        <f t="shared" si="7"/>
        <v>12.007018733800784</v>
      </c>
      <c r="F57" s="355"/>
    </row>
    <row r="58" spans="1:5" s="399" customFormat="1" ht="15" customHeight="1">
      <c r="A58" s="397" t="s">
        <v>807</v>
      </c>
      <c r="B58" s="398">
        <f>SUM(6D!E320)</f>
        <v>22000000</v>
      </c>
      <c r="C58" s="398">
        <f>SUM(6D!F320)</f>
        <v>11000000</v>
      </c>
      <c r="D58" s="383">
        <f t="shared" si="6"/>
        <v>50</v>
      </c>
      <c r="E58" s="384">
        <f t="shared" si="7"/>
        <v>12.007018733800784</v>
      </c>
    </row>
    <row r="59" spans="1:5" s="399" customFormat="1" ht="15" customHeight="1" hidden="1">
      <c r="A59" s="397" t="s">
        <v>808</v>
      </c>
      <c r="B59" s="398">
        <f>SUM(6D!E321)</f>
        <v>0</v>
      </c>
      <c r="C59" s="398">
        <f>SUM(6D!F321)</f>
        <v>0</v>
      </c>
      <c r="D59" s="383" t="e">
        <f t="shared" si="6"/>
        <v>#DIV/0!</v>
      </c>
      <c r="E59" s="384">
        <f t="shared" si="7"/>
        <v>0</v>
      </c>
    </row>
    <row r="60" spans="1:5" s="399" customFormat="1" ht="12.75">
      <c r="A60" s="400" t="s">
        <v>290</v>
      </c>
      <c r="B60" s="401">
        <f>SUM(6D!E324)</f>
        <v>3485999</v>
      </c>
      <c r="C60" s="401">
        <f>SUM(6D!F324)</f>
        <v>1743000</v>
      </c>
      <c r="D60" s="379">
        <f t="shared" si="6"/>
        <v>50.00001434309075</v>
      </c>
      <c r="E60" s="380">
        <f t="shared" si="7"/>
        <v>1.902566695728615</v>
      </c>
    </row>
    <row r="61" spans="1:5" s="399" customFormat="1" ht="12.75">
      <c r="A61" s="400" t="s">
        <v>806</v>
      </c>
      <c r="B61" s="402">
        <f>6D!E323</f>
        <v>7357</v>
      </c>
      <c r="C61" s="402">
        <f>6D!F323</f>
        <v>3678</v>
      </c>
      <c r="D61" s="379">
        <f t="shared" si="6"/>
        <v>49.99320375152916</v>
      </c>
      <c r="E61" s="380">
        <f t="shared" si="7"/>
        <v>0.004014710445719934</v>
      </c>
    </row>
    <row r="62" spans="1:5" s="399" customFormat="1" ht="12.75">
      <c r="A62" s="400"/>
      <c r="B62" s="401"/>
      <c r="C62" s="401"/>
      <c r="D62" s="379"/>
      <c r="E62" s="380"/>
    </row>
    <row r="63" spans="1:5" s="399" customFormat="1" ht="12.75">
      <c r="A63" s="403" t="s">
        <v>1118</v>
      </c>
      <c r="B63" s="404">
        <f>SUM(B64,B68,B72,B76)</f>
        <v>18699426.75</v>
      </c>
      <c r="C63" s="404">
        <f>SUM(C64,C68,C72,C76)</f>
        <v>8526804.55</v>
      </c>
      <c r="D63" s="375">
        <f>C63/B63*100</f>
        <v>45.59928314380012</v>
      </c>
      <c r="E63" s="376">
        <f>C63/$C$80*100</f>
        <v>9.307409270118889</v>
      </c>
    </row>
    <row r="64" spans="1:5" s="356" customFormat="1" ht="12.75">
      <c r="A64" s="405" t="s">
        <v>809</v>
      </c>
      <c r="B64" s="378">
        <f>B65+B66</f>
        <v>5708555</v>
      </c>
      <c r="C64" s="378">
        <f>C65+C66</f>
        <v>1711362.16</v>
      </c>
      <c r="D64" s="379">
        <f>C64/B64*100</f>
        <v>29.97890289223805</v>
      </c>
      <c r="E64" s="380">
        <f>C64/$C$80*100</f>
        <v>1.8680325014034338</v>
      </c>
    </row>
    <row r="65" spans="1:6" ht="12.75">
      <c r="A65" s="406" t="s">
        <v>1009</v>
      </c>
      <c r="B65" s="382">
        <f>SUM(6D!E282,6D!E328,6D!E329,6D!E342,6D!E344,6D!E355,6D!E357,6D!E361,6D!E362,6D!E365,6D!E371,6D!E372)</f>
        <v>1130839</v>
      </c>
      <c r="C65" s="382">
        <f>SUM(6D!F282,6D!F328,6D!F329,6D!F342,6D!F344,6D!F355,6D!F357,6D!F361,6D!F362,6D!F365,6D!F371,6D!F372)</f>
        <v>464345.95999999996</v>
      </c>
      <c r="D65" s="383">
        <f>C65/B65*100</f>
        <v>41.06207514951288</v>
      </c>
      <c r="E65" s="384">
        <f>C65/$C$80*100</f>
        <v>0.506855512789519</v>
      </c>
      <c r="F65" s="355"/>
    </row>
    <row r="66" spans="1:5" s="399" customFormat="1" ht="12.75">
      <c r="A66" s="397" t="s">
        <v>1010</v>
      </c>
      <c r="B66" s="398">
        <f>SUM(6D!E46,6D!E85,6D!E87,6D!E151,6D!E154,6D!E168,6D!E169,6D!E201,6D!E208,6D!E216,6D!E222,6D!E224,6D!E228,6D!E260)</f>
        <v>4577716</v>
      </c>
      <c r="C66" s="398">
        <f>SUM(6D!F46,6D!F85,6D!F87,6D!F151,6D!F154,6D!F168,6D!F169,6D!F201,6D!F208,6D!F216,6D!F222,6D!F224,6D!F228,6D!F260)</f>
        <v>1247016.2</v>
      </c>
      <c r="D66" s="383">
        <f>C66/B66*100</f>
        <v>27.2410127670655</v>
      </c>
      <c r="E66" s="384">
        <f>C66/$C$80*100</f>
        <v>1.361176988613915</v>
      </c>
    </row>
    <row r="67" spans="1:5" s="399" customFormat="1" ht="12.75">
      <c r="A67" s="400"/>
      <c r="B67" s="401"/>
      <c r="C67" s="401"/>
      <c r="D67" s="379"/>
      <c r="E67" s="380"/>
    </row>
    <row r="68" spans="1:5" s="407" customFormat="1" ht="15" customHeight="1">
      <c r="A68" s="405" t="s">
        <v>1014</v>
      </c>
      <c r="B68" s="401">
        <f>SUM(B69,B70)</f>
        <v>12688066.75</v>
      </c>
      <c r="C68" s="401">
        <f>SUM(C69,C70)</f>
        <v>6746423.75</v>
      </c>
      <c r="D68" s="379">
        <f>C68/B68*100</f>
        <v>53.17140808705156</v>
      </c>
      <c r="E68" s="380">
        <f>C68/$C$80*100</f>
        <v>7.3640396684007765</v>
      </c>
    </row>
    <row r="69" spans="1:6" ht="12.75">
      <c r="A69" s="406" t="s">
        <v>1012</v>
      </c>
      <c r="B69" s="382">
        <f>SUM(6D!E269,6D!E285,6D!E286,6D!E289,6D!E292,6D!E294,6D!E297,6D!E304,6D!E308,6D!E309,6D!E332,6D!E337,6D!E347,6D!E353)</f>
        <v>5431169</v>
      </c>
      <c r="C69" s="382">
        <f>SUM(6D!F269,6D!F285,6D!F286,6D!F289,6D!F292,6D!F294,6D!F297,6D!F304,6D!F308,6D!F309,6D!F332,6D!F337,6D!F347,6D!F353)</f>
        <v>3202117</v>
      </c>
      <c r="D69" s="383">
        <f>C69/B69*100</f>
        <v>58.95815431263509</v>
      </c>
      <c r="E69" s="384">
        <f>C69/$C$80*100</f>
        <v>3.4952617097110874</v>
      </c>
      <c r="F69" s="355"/>
    </row>
    <row r="70" spans="1:6" ht="12.75">
      <c r="A70" s="397" t="s">
        <v>1013</v>
      </c>
      <c r="B70" s="382">
        <f>SUM(6D!E10,6D!E60,6D!E75,6D!E94,6D!E96,6D!E99,6D!E166,6D!E180,6D!E190,6D!E195,6D!E197,6D!E200,6D!E212)</f>
        <v>7256897.75</v>
      </c>
      <c r="C70" s="382">
        <f>SUM(6D!F10,6D!F60,6D!F75,6D!F94,6D!F96,6D!F99,6D!F166,6D!F180,6D!F190,6D!F195,6D!F197,6D!F200,6D!F212)</f>
        <v>3544306.75</v>
      </c>
      <c r="D70" s="383">
        <f>C70/B70*100</f>
        <v>48.84052210877575</v>
      </c>
      <c r="E70" s="384">
        <f>C70/$C$80*100</f>
        <v>3.868777958689688</v>
      </c>
      <c r="F70" s="355"/>
    </row>
    <row r="71" spans="1:6" ht="12.75">
      <c r="A71" s="396"/>
      <c r="B71" s="378"/>
      <c r="C71" s="378"/>
      <c r="D71" s="379"/>
      <c r="E71" s="380"/>
      <c r="F71" s="355"/>
    </row>
    <row r="72" spans="1:5" s="356" customFormat="1" ht="25.5">
      <c r="A72" s="405" t="s">
        <v>132</v>
      </c>
      <c r="B72" s="378">
        <f>B73+B74</f>
        <v>30296</v>
      </c>
      <c r="C72" s="378">
        <f>C73+C74</f>
        <v>1790</v>
      </c>
      <c r="D72" s="379">
        <f>C72/B72*100</f>
        <v>5.908370742012147</v>
      </c>
      <c r="E72" s="380">
        <f>C72/$C$80*100</f>
        <v>0.001953869412136673</v>
      </c>
    </row>
    <row r="73" spans="1:6" ht="12.75">
      <c r="A73" s="406" t="s">
        <v>1012</v>
      </c>
      <c r="B73" s="382">
        <f>SUM(6D!E280,6D!E305)</f>
        <v>3000</v>
      </c>
      <c r="C73" s="382">
        <f>SUM(6D!F280,6D!F305)</f>
        <v>1790</v>
      </c>
      <c r="D73" s="383">
        <f>C73/B73*100</f>
        <v>59.66666666666667</v>
      </c>
      <c r="E73" s="384">
        <f>C73/$C$80*100</f>
        <v>0.001953869412136673</v>
      </c>
      <c r="F73" s="355"/>
    </row>
    <row r="74" spans="1:6" ht="12.75">
      <c r="A74" s="397" t="s">
        <v>1013</v>
      </c>
      <c r="B74" s="382">
        <f>SUM(6D!E61,6D!E167,6D!E181,6D!E215)</f>
        <v>27296</v>
      </c>
      <c r="C74" s="382">
        <f>SUM(6D!F61,6D!F167,6D!F181,6D!F215)</f>
        <v>0</v>
      </c>
      <c r="D74" s="383">
        <f>C74/B74*100</f>
        <v>0</v>
      </c>
      <c r="E74" s="384">
        <f>C74/$C$80*100</f>
        <v>0</v>
      </c>
      <c r="F74" s="355"/>
    </row>
    <row r="75" spans="1:6" ht="12.75">
      <c r="A75" s="397"/>
      <c r="B75" s="382"/>
      <c r="C75" s="382"/>
      <c r="D75" s="383"/>
      <c r="E75" s="384"/>
      <c r="F75" s="355"/>
    </row>
    <row r="76" spans="1:5" s="356" customFormat="1" ht="25.5">
      <c r="A76" s="405" t="s">
        <v>1170</v>
      </c>
      <c r="B76" s="378">
        <f>SUM(B77,B78)</f>
        <v>272509</v>
      </c>
      <c r="C76" s="378">
        <f>SUM(C77,C78)</f>
        <v>67228.64</v>
      </c>
      <c r="D76" s="379">
        <f>C76/B76*100</f>
        <v>24.670245753351267</v>
      </c>
      <c r="E76" s="380">
        <f>C76/$C$80*100</f>
        <v>0.07338323090254079</v>
      </c>
    </row>
    <row r="77" spans="1:6" ht="12.75">
      <c r="A77" s="406" t="s">
        <v>1012</v>
      </c>
      <c r="B77" s="382">
        <f>SUM(6D!E340,6D!E366,6D!E368)</f>
        <v>272509</v>
      </c>
      <c r="C77" s="382">
        <f>SUM(6D!F340,6D!F366,6D!F368)</f>
        <v>67228.64</v>
      </c>
      <c r="D77" s="383">
        <f>C77/B77*100</f>
        <v>24.670245753351267</v>
      </c>
      <c r="E77" s="384">
        <f>C77/$C$80*100</f>
        <v>0.07338323090254079</v>
      </c>
      <c r="F77" s="355"/>
    </row>
    <row r="78" spans="1:6" ht="12.75" hidden="1">
      <c r="A78" s="406" t="s">
        <v>1013</v>
      </c>
      <c r="B78" s="382">
        <f>SUM(6D!E104)</f>
        <v>0</v>
      </c>
      <c r="C78" s="382">
        <f>SUM(6D!F104)</f>
        <v>0</v>
      </c>
      <c r="D78" s="387" t="s">
        <v>1274</v>
      </c>
      <c r="E78" s="384">
        <f>C78/$C$80*100</f>
        <v>0</v>
      </c>
      <c r="F78" s="355"/>
    </row>
    <row r="79" spans="1:6" ht="13.5" thickBot="1">
      <c r="A79" s="377"/>
      <c r="B79" s="378"/>
      <c r="C79" s="378"/>
      <c r="D79" s="408"/>
      <c r="E79" s="380"/>
      <c r="F79" s="355"/>
    </row>
    <row r="80" spans="1:5" s="413" customFormat="1" ht="23.25" customHeight="1" thickBot="1">
      <c r="A80" s="409" t="s">
        <v>1005</v>
      </c>
      <c r="B80" s="410">
        <f>SUM(B8,B55,B63)</f>
        <v>185076316.75</v>
      </c>
      <c r="C80" s="410">
        <f>SUM(C8,C55,C63)</f>
        <v>91613082.67999999</v>
      </c>
      <c r="D80" s="411">
        <f>C80/B80*100</f>
        <v>49.50016527708967</v>
      </c>
      <c r="E80" s="412">
        <f>C80/$C$80*100</f>
        <v>100</v>
      </c>
    </row>
    <row r="81" spans="1:6" ht="12.75" hidden="1">
      <c r="A81" s="357" t="s">
        <v>1169</v>
      </c>
      <c r="B81" s="414">
        <v>185076316.75</v>
      </c>
      <c r="C81" s="414">
        <v>91613082.68</v>
      </c>
      <c r="F81" s="355"/>
    </row>
    <row r="82" spans="1:6" ht="12.75" hidden="1">
      <c r="A82" s="357" t="s">
        <v>1003</v>
      </c>
      <c r="B82" s="415">
        <f>B81-B80</f>
        <v>0</v>
      </c>
      <c r="C82" s="415">
        <f>C81-C80</f>
        <v>0</v>
      </c>
      <c r="F82" s="355"/>
    </row>
    <row r="83" spans="1:3" ht="12.75">
      <c r="A83" s="416"/>
      <c r="B83" s="416"/>
      <c r="C83" s="417"/>
    </row>
    <row r="125" s="368" customFormat="1" ht="12.75"/>
    <row r="126" s="368" customFormat="1" ht="12.75" customHeight="1"/>
    <row r="181" s="368" customFormat="1" ht="12.75"/>
    <row r="182" s="368" customFormat="1" ht="12.75" customHeight="1"/>
  </sheetData>
  <sheetProtection password="CF93" sheet="1" objects="1" scenarios="1" selectLockedCells="1" selectUnlockedCells="1"/>
  <mergeCells count="2">
    <mergeCell ref="D1:E1"/>
    <mergeCell ref="A3:E3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732"/>
  <sheetViews>
    <sheetView tabSelected="1" view="pageBreakPreview" zoomScaleSheetLayoutView="100" workbookViewId="0" topLeftCell="A138">
      <selection activeCell="A714" sqref="A714:IV734"/>
    </sheetView>
  </sheetViews>
  <sheetFormatPr defaultColWidth="9.00390625" defaultRowHeight="18.75" customHeight="1"/>
  <cols>
    <col min="1" max="1" width="5.25390625" style="520" customWidth="1"/>
    <col min="2" max="2" width="8.00390625" style="520" customWidth="1"/>
    <col min="3" max="3" width="40.75390625" style="521" customWidth="1"/>
    <col min="4" max="4" width="13.875" style="483" customWidth="1"/>
    <col min="5" max="5" width="13.375" style="483" customWidth="1"/>
    <col min="6" max="6" width="5.75390625" style="483" customWidth="1"/>
    <col min="7" max="7" width="13.00390625" style="177" customWidth="1"/>
    <col min="8" max="8" width="12.25390625" style="98" customWidth="1"/>
    <col min="9" max="16384" width="9.125" style="483" customWidth="1"/>
  </cols>
  <sheetData>
    <row r="1" spans="5:6" ht="18.75" customHeight="1">
      <c r="E1" s="1326" t="s">
        <v>449</v>
      </c>
      <c r="F1" s="1326"/>
    </row>
    <row r="2" ht="21.75" customHeight="1"/>
    <row r="3" spans="1:8" s="517" customFormat="1" ht="18.75" customHeight="1">
      <c r="A3" s="1319" t="s">
        <v>1257</v>
      </c>
      <c r="B3" s="1319"/>
      <c r="C3" s="1319"/>
      <c r="D3" s="1319"/>
      <c r="E3" s="1319"/>
      <c r="G3" s="177"/>
      <c r="H3" s="212"/>
    </row>
    <row r="4" spans="1:8" s="517" customFormat="1" ht="13.5" customHeight="1" thickBot="1">
      <c r="A4" s="522"/>
      <c r="B4" s="522"/>
      <c r="C4" s="467"/>
      <c r="D4" s="522"/>
      <c r="E4" s="522"/>
      <c r="F4" s="523" t="s">
        <v>1035</v>
      </c>
      <c r="G4" s="177"/>
      <c r="H4" s="212"/>
    </row>
    <row r="5" spans="1:8" s="517" customFormat="1" ht="18.75" customHeight="1">
      <c r="A5" s="524" t="s">
        <v>491</v>
      </c>
      <c r="B5" s="525" t="s">
        <v>1036</v>
      </c>
      <c r="C5" s="525" t="s">
        <v>1037</v>
      </c>
      <c r="D5" s="526" t="s">
        <v>1038</v>
      </c>
      <c r="E5" s="526" t="s">
        <v>1039</v>
      </c>
      <c r="F5" s="527" t="s">
        <v>1040</v>
      </c>
      <c r="G5" s="177"/>
      <c r="H5" s="212"/>
    </row>
    <row r="6" spans="1:8" s="223" customFormat="1" ht="11.25" customHeight="1" thickBot="1">
      <c r="A6" s="218">
        <v>1</v>
      </c>
      <c r="B6" s="219">
        <v>2</v>
      </c>
      <c r="C6" s="219">
        <v>3</v>
      </c>
      <c r="D6" s="221">
        <v>4</v>
      </c>
      <c r="E6" s="221">
        <v>5</v>
      </c>
      <c r="F6" s="276">
        <v>6</v>
      </c>
      <c r="G6" s="177"/>
      <c r="H6" s="177"/>
    </row>
    <row r="7" spans="1:6" s="177" customFormat="1" ht="19.5" customHeight="1">
      <c r="A7" s="1400" t="s">
        <v>1072</v>
      </c>
      <c r="B7" s="1401"/>
      <c r="C7" s="1401"/>
      <c r="D7" s="227">
        <f>SUM(D8,D22,D25,D28,D35,D53,D63,D76,D88,D118,D131,D150,D156,D161,D167,D219,D255,D305,D321,D345,D371,D407)</f>
        <v>134538667.75</v>
      </c>
      <c r="E7" s="227">
        <f>SUM(E8,E22,E25,E28,E35,E53,E63,E76,E88,E118,E131,E150,E156,E161,E167,E219,E255,E305,E321,E345,E371,E407)</f>
        <v>59660072.92999999</v>
      </c>
      <c r="F7" s="478">
        <f>E7/D7*100</f>
        <v>44.344182923574394</v>
      </c>
    </row>
    <row r="8" spans="1:7" s="212" customFormat="1" ht="18.75" customHeight="1">
      <c r="A8" s="469" t="s">
        <v>1041</v>
      </c>
      <c r="B8" s="449"/>
      <c r="C8" s="470" t="s">
        <v>492</v>
      </c>
      <c r="D8" s="95">
        <f>SUM(D9,D15,D17)</f>
        <v>85184.75</v>
      </c>
      <c r="E8" s="95">
        <f>SUM(E9,E15,E17)</f>
        <v>30360.67</v>
      </c>
      <c r="F8" s="471">
        <f>E8/D8*100</f>
        <v>35.64096860060046</v>
      </c>
      <c r="G8" s="177"/>
    </row>
    <row r="9" spans="1:7" s="98" customFormat="1" ht="18.75" customHeight="1">
      <c r="A9" s="472"/>
      <c r="B9" s="451" t="s">
        <v>493</v>
      </c>
      <c r="C9" s="473" t="s">
        <v>494</v>
      </c>
      <c r="D9" s="100">
        <f>D10</f>
        <v>65000</v>
      </c>
      <c r="E9" s="100">
        <f>E10</f>
        <v>13650</v>
      </c>
      <c r="F9" s="474">
        <f aca="true" t="shared" si="0" ref="F9:F27">E9/D9*100</f>
        <v>21</v>
      </c>
      <c r="G9" s="177"/>
    </row>
    <row r="10" spans="1:7" s="434" customFormat="1" ht="18.75" customHeight="1">
      <c r="A10" s="438"/>
      <c r="B10" s="439"/>
      <c r="C10" s="287" t="s">
        <v>495</v>
      </c>
      <c r="D10" s="288">
        <v>65000</v>
      </c>
      <c r="E10" s="288">
        <v>13650</v>
      </c>
      <c r="F10" s="475">
        <f t="shared" si="0"/>
        <v>21</v>
      </c>
      <c r="G10" s="426"/>
    </row>
    <row r="11" spans="1:7" s="434" customFormat="1" ht="12" customHeight="1">
      <c r="A11" s="438"/>
      <c r="B11" s="439"/>
      <c r="C11" s="476" t="s">
        <v>511</v>
      </c>
      <c r="D11" s="432"/>
      <c r="E11" s="432"/>
      <c r="F11" s="477"/>
      <c r="G11" s="426"/>
    </row>
    <row r="12" spans="1:7" s="427" customFormat="1" ht="18.75" customHeight="1">
      <c r="A12" s="436"/>
      <c r="B12" s="437"/>
      <c r="C12" s="423" t="s">
        <v>513</v>
      </c>
      <c r="D12" s="424">
        <f>SUM(D13,D14)</f>
        <v>32000</v>
      </c>
      <c r="E12" s="424">
        <f>SUM(E13,E14)</f>
        <v>13650</v>
      </c>
      <c r="F12" s="425">
        <f>E12/D12*100</f>
        <v>42.65625</v>
      </c>
      <c r="G12" s="426"/>
    </row>
    <row r="13" spans="1:7" s="434" customFormat="1" ht="18.75" customHeight="1">
      <c r="A13" s="438"/>
      <c r="B13" s="439"/>
      <c r="C13" s="431" t="s">
        <v>487</v>
      </c>
      <c r="D13" s="432">
        <v>32000</v>
      </c>
      <c r="E13" s="432">
        <v>13650</v>
      </c>
      <c r="F13" s="433">
        <f>E13/D13*100</f>
        <v>42.65625</v>
      </c>
      <c r="G13" s="426"/>
    </row>
    <row r="14" spans="1:7" s="434" customFormat="1" ht="18.75" customHeight="1" hidden="1">
      <c r="A14" s="438"/>
      <c r="B14" s="439"/>
      <c r="C14" s="431" t="s">
        <v>488</v>
      </c>
      <c r="D14" s="432">
        <v>0</v>
      </c>
      <c r="E14" s="432">
        <v>0</v>
      </c>
      <c r="F14" s="433" t="e">
        <f>E14/D14*100</f>
        <v>#DIV/0!</v>
      </c>
      <c r="G14" s="426"/>
    </row>
    <row r="15" spans="1:7" s="98" customFormat="1" ht="18.75" customHeight="1">
      <c r="A15" s="472"/>
      <c r="B15" s="451" t="s">
        <v>496</v>
      </c>
      <c r="C15" s="479" t="s">
        <v>497</v>
      </c>
      <c r="D15" s="100">
        <f>D16</f>
        <v>900</v>
      </c>
      <c r="E15" s="100">
        <f>E16</f>
        <v>411.52</v>
      </c>
      <c r="F15" s="474">
        <f t="shared" si="0"/>
        <v>45.72444444444444</v>
      </c>
      <c r="G15" s="177"/>
    </row>
    <row r="16" spans="1:7" s="434" customFormat="1" ht="18.75" customHeight="1">
      <c r="A16" s="438"/>
      <c r="B16" s="439"/>
      <c r="C16" s="287" t="s">
        <v>495</v>
      </c>
      <c r="D16" s="288">
        <v>900</v>
      </c>
      <c r="E16" s="288">
        <v>411.52</v>
      </c>
      <c r="F16" s="475">
        <f t="shared" si="0"/>
        <v>45.72444444444444</v>
      </c>
      <c r="G16" s="426"/>
    </row>
    <row r="17" spans="1:7" s="98" customFormat="1" ht="18.75" customHeight="1">
      <c r="A17" s="472"/>
      <c r="B17" s="451" t="s">
        <v>498</v>
      </c>
      <c r="C17" s="480" t="s">
        <v>1042</v>
      </c>
      <c r="D17" s="100">
        <f>D18</f>
        <v>19284.75</v>
      </c>
      <c r="E17" s="100">
        <f>E18</f>
        <v>16299.15</v>
      </c>
      <c r="F17" s="474">
        <f t="shared" si="0"/>
        <v>84.5183370279625</v>
      </c>
      <c r="G17" s="177"/>
    </row>
    <row r="18" spans="1:7" s="434" customFormat="1" ht="18.75" customHeight="1">
      <c r="A18" s="438"/>
      <c r="B18" s="439"/>
      <c r="C18" s="287" t="s">
        <v>495</v>
      </c>
      <c r="D18" s="288">
        <v>19284.75</v>
      </c>
      <c r="E18" s="288">
        <v>16299.15</v>
      </c>
      <c r="F18" s="475">
        <f t="shared" si="0"/>
        <v>84.5183370279625</v>
      </c>
      <c r="G18" s="426"/>
    </row>
    <row r="19" spans="1:7" s="434" customFormat="1" ht="10.5" customHeight="1" hidden="1">
      <c r="A19" s="438"/>
      <c r="B19" s="439"/>
      <c r="C19" s="476" t="s">
        <v>511</v>
      </c>
      <c r="D19" s="432"/>
      <c r="E19" s="432"/>
      <c r="F19" s="477"/>
      <c r="G19" s="426"/>
    </row>
    <row r="20" spans="1:7" s="427" customFormat="1" ht="18.75" customHeight="1" hidden="1">
      <c r="A20" s="436"/>
      <c r="B20" s="437"/>
      <c r="C20" s="423" t="s">
        <v>513</v>
      </c>
      <c r="D20" s="424">
        <f>SUM(D21)</f>
        <v>0</v>
      </c>
      <c r="E20" s="424">
        <f>SUM(E21)</f>
        <v>0</v>
      </c>
      <c r="F20" s="425" t="e">
        <f>E20/D20*100</f>
        <v>#DIV/0!</v>
      </c>
      <c r="G20" s="426"/>
    </row>
    <row r="21" spans="1:7" s="434" customFormat="1" ht="18.75" customHeight="1" hidden="1">
      <c r="A21" s="438"/>
      <c r="B21" s="439"/>
      <c r="C21" s="431" t="s">
        <v>487</v>
      </c>
      <c r="D21" s="432">
        <v>0</v>
      </c>
      <c r="E21" s="432">
        <v>0</v>
      </c>
      <c r="F21" s="433" t="e">
        <f>E21/D21*100</f>
        <v>#DIV/0!</v>
      </c>
      <c r="G21" s="426"/>
    </row>
    <row r="22" spans="1:7" s="212" customFormat="1" ht="18.75" customHeight="1">
      <c r="A22" s="469" t="s">
        <v>1043</v>
      </c>
      <c r="B22" s="449"/>
      <c r="C22" s="481" t="s">
        <v>499</v>
      </c>
      <c r="D22" s="95">
        <f>SUM(D23)</f>
        <v>56020</v>
      </c>
      <c r="E22" s="95">
        <f>SUM(E23)</f>
        <v>6827.13</v>
      </c>
      <c r="F22" s="471">
        <f t="shared" si="0"/>
        <v>12.186951088896823</v>
      </c>
      <c r="G22" s="177"/>
    </row>
    <row r="23" spans="1:7" s="98" customFormat="1" ht="18.75" customHeight="1">
      <c r="A23" s="472"/>
      <c r="B23" s="451" t="s">
        <v>1044</v>
      </c>
      <c r="C23" s="480" t="s">
        <v>1042</v>
      </c>
      <c r="D23" s="100">
        <f>D24</f>
        <v>56020</v>
      </c>
      <c r="E23" s="100">
        <f>E24</f>
        <v>6827.13</v>
      </c>
      <c r="F23" s="474">
        <f t="shared" si="0"/>
        <v>12.186951088896823</v>
      </c>
      <c r="G23" s="177"/>
    </row>
    <row r="24" spans="1:7" s="434" customFormat="1" ht="18.75" customHeight="1">
      <c r="A24" s="438"/>
      <c r="B24" s="439"/>
      <c r="C24" s="287" t="s">
        <v>495</v>
      </c>
      <c r="D24" s="288">
        <v>56020</v>
      </c>
      <c r="E24" s="288">
        <v>6827.13</v>
      </c>
      <c r="F24" s="475">
        <f t="shared" si="0"/>
        <v>12.186951088896823</v>
      </c>
      <c r="G24" s="426"/>
    </row>
    <row r="25" spans="1:7" s="212" customFormat="1" ht="29.25" customHeight="1">
      <c r="A25" s="482" t="s">
        <v>60</v>
      </c>
      <c r="B25" s="449"/>
      <c r="C25" s="470" t="s">
        <v>500</v>
      </c>
      <c r="D25" s="95">
        <f>D26</f>
        <v>4927000</v>
      </c>
      <c r="E25" s="95">
        <f>E26</f>
        <v>2309242.43</v>
      </c>
      <c r="F25" s="471">
        <f t="shared" si="0"/>
        <v>46.86913801501929</v>
      </c>
      <c r="G25" s="177"/>
    </row>
    <row r="26" spans="1:7" s="98" customFormat="1" ht="18.75" customHeight="1">
      <c r="A26" s="472"/>
      <c r="B26" s="451" t="s">
        <v>501</v>
      </c>
      <c r="C26" s="480" t="s">
        <v>502</v>
      </c>
      <c r="D26" s="100">
        <f>D27</f>
        <v>4927000</v>
      </c>
      <c r="E26" s="100">
        <f>E27</f>
        <v>2309242.43</v>
      </c>
      <c r="F26" s="474">
        <f t="shared" si="0"/>
        <v>46.86913801501929</v>
      </c>
      <c r="G26" s="177"/>
    </row>
    <row r="27" spans="1:7" s="434" customFormat="1" ht="18.75" customHeight="1">
      <c r="A27" s="438"/>
      <c r="B27" s="439"/>
      <c r="C27" s="287" t="s">
        <v>495</v>
      </c>
      <c r="D27" s="288">
        <v>4927000</v>
      </c>
      <c r="E27" s="288">
        <v>2309242.43</v>
      </c>
      <c r="F27" s="475">
        <f t="shared" si="0"/>
        <v>46.86913801501929</v>
      </c>
      <c r="G27" s="426"/>
    </row>
    <row r="28" spans="1:7" s="212" customFormat="1" ht="18.75" customHeight="1">
      <c r="A28" s="469" t="s">
        <v>1045</v>
      </c>
      <c r="B28" s="449"/>
      <c r="C28" s="481" t="s">
        <v>503</v>
      </c>
      <c r="D28" s="95">
        <f>SUM(D29)</f>
        <v>400000</v>
      </c>
      <c r="E28" s="95">
        <f>SUM(E29)</f>
        <v>182322.53</v>
      </c>
      <c r="F28" s="471">
        <f>E28/D28*100</f>
        <v>45.5806325</v>
      </c>
      <c r="G28" s="177"/>
    </row>
    <row r="29" spans="1:7" s="98" customFormat="1" ht="18.75" customHeight="1">
      <c r="A29" s="472"/>
      <c r="B29" s="451" t="s">
        <v>510</v>
      </c>
      <c r="C29" s="480" t="s">
        <v>1042</v>
      </c>
      <c r="D29" s="100">
        <f>SUM(D30)</f>
        <v>400000</v>
      </c>
      <c r="E29" s="100">
        <f>SUM(E30)</f>
        <v>182322.53</v>
      </c>
      <c r="F29" s="474">
        <f>E29/D29*100</f>
        <v>45.5806325</v>
      </c>
      <c r="G29" s="177"/>
    </row>
    <row r="30" spans="1:7" s="434" customFormat="1" ht="18.75" customHeight="1">
      <c r="A30" s="438"/>
      <c r="B30" s="439"/>
      <c r="C30" s="287" t="s">
        <v>495</v>
      </c>
      <c r="D30" s="288">
        <v>400000</v>
      </c>
      <c r="E30" s="288">
        <v>182322.53</v>
      </c>
      <c r="F30" s="475">
        <f>E30/D30*100</f>
        <v>45.5806325</v>
      </c>
      <c r="G30" s="426"/>
    </row>
    <row r="31" spans="1:8" s="435" customFormat="1" ht="12" customHeight="1">
      <c r="A31" s="429"/>
      <c r="B31" s="430"/>
      <c r="C31" s="476" t="s">
        <v>511</v>
      </c>
      <c r="D31" s="432"/>
      <c r="E31" s="432"/>
      <c r="F31" s="477"/>
      <c r="G31" s="426"/>
      <c r="H31" s="434"/>
    </row>
    <row r="32" spans="1:8" s="428" customFormat="1" ht="18.75" customHeight="1">
      <c r="A32" s="421"/>
      <c r="B32" s="422"/>
      <c r="C32" s="423" t="s">
        <v>513</v>
      </c>
      <c r="D32" s="424">
        <f>SUM(D33,D34)</f>
        <v>200488</v>
      </c>
      <c r="E32" s="424">
        <f>SUM(E33,E34)</f>
        <v>87797.2</v>
      </c>
      <c r="F32" s="425">
        <f aca="true" t="shared" si="1" ref="F32:F40">E32/D32*100</f>
        <v>43.791748134551696</v>
      </c>
      <c r="G32" s="426"/>
      <c r="H32" s="427"/>
    </row>
    <row r="33" spans="1:8" s="435" customFormat="1" ht="18.75" customHeight="1">
      <c r="A33" s="429"/>
      <c r="B33" s="430"/>
      <c r="C33" s="431" t="s">
        <v>487</v>
      </c>
      <c r="D33" s="432">
        <v>169455</v>
      </c>
      <c r="E33" s="432">
        <v>75079.67</v>
      </c>
      <c r="F33" s="433">
        <f t="shared" si="1"/>
        <v>44.30655336224956</v>
      </c>
      <c r="G33" s="426"/>
      <c r="H33" s="434"/>
    </row>
    <row r="34" spans="1:8" s="435" customFormat="1" ht="18.75" customHeight="1">
      <c r="A34" s="429"/>
      <c r="B34" s="430"/>
      <c r="C34" s="431" t="s">
        <v>488</v>
      </c>
      <c r="D34" s="432">
        <v>31033</v>
      </c>
      <c r="E34" s="432">
        <v>12717.53</v>
      </c>
      <c r="F34" s="433">
        <f t="shared" si="1"/>
        <v>40.98066574291883</v>
      </c>
      <c r="G34" s="426"/>
      <c r="H34" s="434"/>
    </row>
    <row r="35" spans="1:7" s="212" customFormat="1" ht="18.75" customHeight="1">
      <c r="A35" s="469" t="s">
        <v>1046</v>
      </c>
      <c r="B35" s="449"/>
      <c r="C35" s="481" t="s">
        <v>1047</v>
      </c>
      <c r="D35" s="95">
        <f>SUM(D36,D39,D46)</f>
        <v>14844223</v>
      </c>
      <c r="E35" s="95">
        <f>SUM(E36,E39,E46)</f>
        <v>5435603.470000001</v>
      </c>
      <c r="F35" s="471">
        <f t="shared" si="1"/>
        <v>36.617635493619304</v>
      </c>
      <c r="G35" s="177"/>
    </row>
    <row r="36" spans="1:7" s="98" customFormat="1" ht="18.75" customHeight="1">
      <c r="A36" s="472"/>
      <c r="B36" s="451" t="s">
        <v>1028</v>
      </c>
      <c r="C36" s="480" t="s">
        <v>1029</v>
      </c>
      <c r="D36" s="100">
        <f>SUM(D37,D38)</f>
        <v>3900000</v>
      </c>
      <c r="E36" s="100">
        <f>SUM(E37,E38)</f>
        <v>1660000</v>
      </c>
      <c r="F36" s="474">
        <f t="shared" si="1"/>
        <v>42.56410256410256</v>
      </c>
      <c r="G36" s="177"/>
    </row>
    <row r="37" spans="1:7" s="434" customFormat="1" ht="18.75" customHeight="1">
      <c r="A37" s="438"/>
      <c r="B37" s="439"/>
      <c r="C37" s="287" t="s">
        <v>495</v>
      </c>
      <c r="D37" s="288">
        <v>2900000</v>
      </c>
      <c r="E37" s="288">
        <v>1460000</v>
      </c>
      <c r="F37" s="475">
        <f t="shared" si="1"/>
        <v>50.3448275862069</v>
      </c>
      <c r="G37" s="426"/>
    </row>
    <row r="38" spans="1:7" s="434" customFormat="1" ht="18.75" customHeight="1">
      <c r="A38" s="438"/>
      <c r="B38" s="439"/>
      <c r="C38" s="287" t="s">
        <v>515</v>
      </c>
      <c r="D38" s="288">
        <v>1000000</v>
      </c>
      <c r="E38" s="288">
        <v>200000</v>
      </c>
      <c r="F38" s="475">
        <f t="shared" si="1"/>
        <v>20</v>
      </c>
      <c r="G38" s="426"/>
    </row>
    <row r="39" spans="1:7" s="98" customFormat="1" ht="18.75" customHeight="1">
      <c r="A39" s="472"/>
      <c r="B39" s="451" t="s">
        <v>1049</v>
      </c>
      <c r="C39" s="473" t="s">
        <v>1050</v>
      </c>
      <c r="D39" s="100">
        <f>D40+D45</f>
        <v>10404540</v>
      </c>
      <c r="E39" s="100">
        <f>E40+E45</f>
        <v>3519824.8000000003</v>
      </c>
      <c r="F39" s="474">
        <f t="shared" si="1"/>
        <v>33.829701265024696</v>
      </c>
      <c r="G39" s="177"/>
    </row>
    <row r="40" spans="1:7" s="434" customFormat="1" ht="18.75" customHeight="1">
      <c r="A40" s="438"/>
      <c r="B40" s="439"/>
      <c r="C40" s="287" t="s">
        <v>495</v>
      </c>
      <c r="D40" s="288">
        <v>3969540</v>
      </c>
      <c r="E40" s="288">
        <v>1389849.12</v>
      </c>
      <c r="F40" s="475">
        <f t="shared" si="1"/>
        <v>35.01285085929352</v>
      </c>
      <c r="G40" s="426"/>
    </row>
    <row r="41" spans="1:8" s="435" customFormat="1" ht="12" customHeight="1">
      <c r="A41" s="429"/>
      <c r="B41" s="430"/>
      <c r="C41" s="476" t="s">
        <v>511</v>
      </c>
      <c r="D41" s="432"/>
      <c r="E41" s="432"/>
      <c r="F41" s="477"/>
      <c r="G41" s="426"/>
      <c r="H41" s="434"/>
    </row>
    <row r="42" spans="1:8" s="428" customFormat="1" ht="18.75" customHeight="1">
      <c r="A42" s="421"/>
      <c r="B42" s="422"/>
      <c r="C42" s="423" t="s">
        <v>513</v>
      </c>
      <c r="D42" s="424">
        <f>SUM(D43,D44)</f>
        <v>29200</v>
      </c>
      <c r="E42" s="424">
        <f>SUM(E43,E44)</f>
        <v>16312.05</v>
      </c>
      <c r="F42" s="425">
        <f aca="true" t="shared" si="2" ref="F42:F47">E42/D42*100</f>
        <v>55.86318493150685</v>
      </c>
      <c r="G42" s="426"/>
      <c r="H42" s="427"/>
    </row>
    <row r="43" spans="1:8" s="435" customFormat="1" ht="17.25" customHeight="1">
      <c r="A43" s="429"/>
      <c r="B43" s="430"/>
      <c r="C43" s="431" t="s">
        <v>487</v>
      </c>
      <c r="D43" s="432">
        <v>24000</v>
      </c>
      <c r="E43" s="432">
        <v>13913.01</v>
      </c>
      <c r="F43" s="433">
        <f t="shared" si="2"/>
        <v>57.970875</v>
      </c>
      <c r="G43" s="426"/>
      <c r="H43" s="434"/>
    </row>
    <row r="44" spans="1:8" s="435" customFormat="1" ht="18.75" customHeight="1">
      <c r="A44" s="440"/>
      <c r="B44" s="430"/>
      <c r="C44" s="431" t="s">
        <v>488</v>
      </c>
      <c r="D44" s="432">
        <v>5200</v>
      </c>
      <c r="E44" s="432">
        <v>2399.04</v>
      </c>
      <c r="F44" s="433">
        <f t="shared" si="2"/>
        <v>46.135384615384616</v>
      </c>
      <c r="G44" s="426"/>
      <c r="H44" s="434"/>
    </row>
    <row r="45" spans="1:7" s="434" customFormat="1" ht="18.75" customHeight="1">
      <c r="A45" s="442"/>
      <c r="B45" s="439"/>
      <c r="C45" s="287" t="s">
        <v>515</v>
      </c>
      <c r="D45" s="288">
        <v>6435000</v>
      </c>
      <c r="E45" s="288">
        <v>2129975.68</v>
      </c>
      <c r="F45" s="475">
        <f t="shared" si="2"/>
        <v>33.09985516705517</v>
      </c>
      <c r="G45" s="426"/>
    </row>
    <row r="46" spans="1:7" s="434" customFormat="1" ht="18.75" customHeight="1">
      <c r="A46" s="450"/>
      <c r="B46" s="451" t="s">
        <v>76</v>
      </c>
      <c r="C46" s="480" t="s">
        <v>77</v>
      </c>
      <c r="D46" s="100">
        <f>SUM(D47,D52)</f>
        <v>539683</v>
      </c>
      <c r="E46" s="100">
        <f>SUM(E47,E52)</f>
        <v>255778.67</v>
      </c>
      <c r="F46" s="474">
        <f t="shared" si="2"/>
        <v>47.39424254608725</v>
      </c>
      <c r="G46" s="426"/>
    </row>
    <row r="47" spans="1:7" s="434" customFormat="1" ht="18.75" customHeight="1">
      <c r="A47" s="438"/>
      <c r="B47" s="439"/>
      <c r="C47" s="287" t="s">
        <v>495</v>
      </c>
      <c r="D47" s="288">
        <v>539683</v>
      </c>
      <c r="E47" s="288">
        <v>255778.67</v>
      </c>
      <c r="F47" s="475">
        <f t="shared" si="2"/>
        <v>47.39424254608725</v>
      </c>
      <c r="G47" s="426"/>
    </row>
    <row r="48" spans="1:8" s="435" customFormat="1" ht="12" customHeight="1">
      <c r="A48" s="429"/>
      <c r="B48" s="430"/>
      <c r="C48" s="476" t="s">
        <v>511</v>
      </c>
      <c r="D48" s="432"/>
      <c r="E48" s="432"/>
      <c r="F48" s="477"/>
      <c r="G48" s="426"/>
      <c r="H48" s="434"/>
    </row>
    <row r="49" spans="1:8" s="428" customFormat="1" ht="18.75" customHeight="1">
      <c r="A49" s="421"/>
      <c r="B49" s="422"/>
      <c r="C49" s="423" t="s">
        <v>513</v>
      </c>
      <c r="D49" s="424">
        <f>SUM(D50,D51)</f>
        <v>195518</v>
      </c>
      <c r="E49" s="424">
        <f>SUM(E50,E51)</f>
        <v>91448.01</v>
      </c>
      <c r="F49" s="425">
        <f aca="true" t="shared" si="3" ref="F49:F55">E49/D49*100</f>
        <v>46.77216931433423</v>
      </c>
      <c r="G49" s="426"/>
      <c r="H49" s="427"/>
    </row>
    <row r="50" spans="1:8" s="435" customFormat="1" ht="17.25" customHeight="1">
      <c r="A50" s="429"/>
      <c r="B50" s="430"/>
      <c r="C50" s="431" t="s">
        <v>487</v>
      </c>
      <c r="D50" s="432">
        <v>166200</v>
      </c>
      <c r="E50" s="432">
        <v>79663.31</v>
      </c>
      <c r="F50" s="433">
        <f t="shared" si="3"/>
        <v>47.93219614921781</v>
      </c>
      <c r="G50" s="426"/>
      <c r="H50" s="434"/>
    </row>
    <row r="51" spans="1:8" s="435" customFormat="1" ht="18.75" customHeight="1">
      <c r="A51" s="440"/>
      <c r="B51" s="430"/>
      <c r="C51" s="431" t="s">
        <v>488</v>
      </c>
      <c r="D51" s="432">
        <v>29318</v>
      </c>
      <c r="E51" s="432">
        <v>11784.7</v>
      </c>
      <c r="F51" s="433">
        <f t="shared" si="3"/>
        <v>40.19612524728836</v>
      </c>
      <c r="G51" s="426"/>
      <c r="H51" s="434"/>
    </row>
    <row r="52" spans="1:7" s="434" customFormat="1" ht="18.75" customHeight="1" hidden="1">
      <c r="A52" s="442"/>
      <c r="B52" s="439"/>
      <c r="C52" s="287" t="s">
        <v>515</v>
      </c>
      <c r="D52" s="288">
        <v>0</v>
      </c>
      <c r="E52" s="288">
        <v>0</v>
      </c>
      <c r="F52" s="475" t="e">
        <f t="shared" si="3"/>
        <v>#DIV/0!</v>
      </c>
      <c r="G52" s="426"/>
    </row>
    <row r="53" spans="1:7" s="212" customFormat="1" ht="18.75" customHeight="1">
      <c r="A53" s="448" t="s">
        <v>1051</v>
      </c>
      <c r="B53" s="449"/>
      <c r="C53" s="481" t="s">
        <v>1052</v>
      </c>
      <c r="D53" s="95">
        <f>D54+D60</f>
        <v>1366014</v>
      </c>
      <c r="E53" s="95">
        <f>E54+E60</f>
        <v>206581.96000000002</v>
      </c>
      <c r="F53" s="471">
        <f t="shared" si="3"/>
        <v>15.122975313576584</v>
      </c>
      <c r="G53" s="177"/>
    </row>
    <row r="54" spans="1:7" s="98" customFormat="1" ht="18.75" customHeight="1">
      <c r="A54" s="450"/>
      <c r="B54" s="451" t="s">
        <v>56</v>
      </c>
      <c r="C54" s="480" t="s">
        <v>57</v>
      </c>
      <c r="D54" s="100">
        <f>SUM(D55)</f>
        <v>638000</v>
      </c>
      <c r="E54" s="100">
        <f>SUM(E55)</f>
        <v>116755.26</v>
      </c>
      <c r="F54" s="474">
        <f t="shared" si="3"/>
        <v>18.300197492163008</v>
      </c>
      <c r="G54" s="177"/>
    </row>
    <row r="55" spans="1:7" s="434" customFormat="1" ht="18.75" customHeight="1">
      <c r="A55" s="442"/>
      <c r="B55" s="439"/>
      <c r="C55" s="287" t="s">
        <v>495</v>
      </c>
      <c r="D55" s="288">
        <v>638000</v>
      </c>
      <c r="E55" s="288">
        <v>116755.26</v>
      </c>
      <c r="F55" s="475">
        <f t="shared" si="3"/>
        <v>18.300197492163008</v>
      </c>
      <c r="G55" s="426"/>
    </row>
    <row r="56" spans="1:7" s="434" customFormat="1" ht="11.25" customHeight="1">
      <c r="A56" s="442"/>
      <c r="B56" s="439"/>
      <c r="C56" s="476" t="s">
        <v>511</v>
      </c>
      <c r="D56" s="432"/>
      <c r="E56" s="432"/>
      <c r="F56" s="477"/>
      <c r="G56" s="426"/>
    </row>
    <row r="57" spans="1:7" s="427" customFormat="1" ht="18.75" customHeight="1">
      <c r="A57" s="441"/>
      <c r="B57" s="437"/>
      <c r="C57" s="423" t="s">
        <v>513</v>
      </c>
      <c r="D57" s="424">
        <f>SUM(D58,D59)</f>
        <v>20000</v>
      </c>
      <c r="E57" s="424">
        <f>SUM(E58,E59)</f>
        <v>4942.59</v>
      </c>
      <c r="F57" s="425">
        <f>E57/D57*100</f>
        <v>24.71295</v>
      </c>
      <c r="G57" s="426"/>
    </row>
    <row r="58" spans="1:7" s="434" customFormat="1" ht="18.75" customHeight="1">
      <c r="A58" s="442"/>
      <c r="B58" s="439"/>
      <c r="C58" s="431" t="s">
        <v>487</v>
      </c>
      <c r="D58" s="432">
        <v>19000</v>
      </c>
      <c r="E58" s="432">
        <v>4942.59</v>
      </c>
      <c r="F58" s="433">
        <f>E58/D58*100</f>
        <v>26.013631578947372</v>
      </c>
      <c r="G58" s="426"/>
    </row>
    <row r="59" spans="1:7" s="434" customFormat="1" ht="18.75" customHeight="1">
      <c r="A59" s="442"/>
      <c r="B59" s="439"/>
      <c r="C59" s="431" t="s">
        <v>488</v>
      </c>
      <c r="D59" s="432">
        <v>1000</v>
      </c>
      <c r="E59" s="432">
        <v>0</v>
      </c>
      <c r="F59" s="433">
        <f>E59/D59*100</f>
        <v>0</v>
      </c>
      <c r="G59" s="426"/>
    </row>
    <row r="60" spans="1:7" s="98" customFormat="1" ht="18.75" customHeight="1">
      <c r="A60" s="450"/>
      <c r="B60" s="451" t="s">
        <v>516</v>
      </c>
      <c r="C60" s="480" t="s">
        <v>517</v>
      </c>
      <c r="D60" s="100">
        <f>SUM(D61,D62)</f>
        <v>728014</v>
      </c>
      <c r="E60" s="100">
        <f>SUM(E61,E62)</f>
        <v>89826.70000000001</v>
      </c>
      <c r="F60" s="474">
        <f aca="true" t="shared" si="4" ref="F60:F78">E60/D60*100</f>
        <v>12.33859513690671</v>
      </c>
      <c r="G60" s="177"/>
    </row>
    <row r="61" spans="1:7" s="434" customFormat="1" ht="18.75" customHeight="1">
      <c r="A61" s="442"/>
      <c r="B61" s="439"/>
      <c r="C61" s="287" t="s">
        <v>495</v>
      </c>
      <c r="D61" s="288">
        <v>22014</v>
      </c>
      <c r="E61" s="288">
        <v>22013.1</v>
      </c>
      <c r="F61" s="475">
        <f t="shared" si="4"/>
        <v>99.99591169255928</v>
      </c>
      <c r="G61" s="426"/>
    </row>
    <row r="62" spans="1:7" s="434" customFormat="1" ht="18.75" customHeight="1">
      <c r="A62" s="442"/>
      <c r="B62" s="439"/>
      <c r="C62" s="287" t="s">
        <v>515</v>
      </c>
      <c r="D62" s="288">
        <v>706000</v>
      </c>
      <c r="E62" s="288">
        <v>67813.6</v>
      </c>
      <c r="F62" s="475">
        <f t="shared" si="4"/>
        <v>9.605325779036827</v>
      </c>
      <c r="G62" s="426"/>
    </row>
    <row r="63" spans="1:7" s="212" customFormat="1" ht="18" customHeight="1">
      <c r="A63" s="448" t="s">
        <v>1053</v>
      </c>
      <c r="B63" s="449"/>
      <c r="C63" s="481" t="s">
        <v>1054</v>
      </c>
      <c r="D63" s="95">
        <f>D71+D74+D64</f>
        <v>5718765</v>
      </c>
      <c r="E63" s="95">
        <f>E71+E74+E64</f>
        <v>1483845.52</v>
      </c>
      <c r="F63" s="471">
        <f t="shared" si="4"/>
        <v>25.94695742874554</v>
      </c>
      <c r="G63" s="177"/>
    </row>
    <row r="64" spans="1:7" s="98" customFormat="1" ht="18.75" customHeight="1">
      <c r="A64" s="450"/>
      <c r="B64" s="451" t="s">
        <v>518</v>
      </c>
      <c r="C64" s="480" t="s">
        <v>521</v>
      </c>
      <c r="D64" s="100">
        <f>SUM(D65,D68)</f>
        <v>2002165</v>
      </c>
      <c r="E64" s="100">
        <f>SUM(E65,E68)</f>
        <v>562271</v>
      </c>
      <c r="F64" s="474">
        <f t="shared" si="4"/>
        <v>28.08314999013568</v>
      </c>
      <c r="G64" s="177"/>
    </row>
    <row r="65" spans="1:7" s="434" customFormat="1" ht="18" customHeight="1">
      <c r="A65" s="442"/>
      <c r="B65" s="439"/>
      <c r="C65" s="287" t="s">
        <v>495</v>
      </c>
      <c r="D65" s="288">
        <v>731045</v>
      </c>
      <c r="E65" s="288">
        <v>515000</v>
      </c>
      <c r="F65" s="475">
        <f t="shared" si="4"/>
        <v>70.44709969974488</v>
      </c>
      <c r="G65" s="426"/>
    </row>
    <row r="66" spans="1:8" s="435" customFormat="1" ht="11.25" customHeight="1">
      <c r="A66" s="440"/>
      <c r="B66" s="430"/>
      <c r="C66" s="476" t="s">
        <v>511</v>
      </c>
      <c r="D66" s="432"/>
      <c r="E66" s="432"/>
      <c r="F66" s="477"/>
      <c r="G66" s="426"/>
      <c r="H66" s="434"/>
    </row>
    <row r="67" spans="1:8" s="428" customFormat="1" ht="15.75" customHeight="1">
      <c r="A67" s="443"/>
      <c r="B67" s="422"/>
      <c r="C67" s="423" t="s">
        <v>514</v>
      </c>
      <c r="D67" s="424">
        <v>731045</v>
      </c>
      <c r="E67" s="424">
        <v>515000</v>
      </c>
      <c r="F67" s="425">
        <f t="shared" si="4"/>
        <v>70.44709969974488</v>
      </c>
      <c r="G67" s="426"/>
      <c r="H67" s="427"/>
    </row>
    <row r="68" spans="1:8" s="435" customFormat="1" ht="15.75" customHeight="1">
      <c r="A68" s="442"/>
      <c r="B68" s="439"/>
      <c r="C68" s="287" t="s">
        <v>515</v>
      </c>
      <c r="D68" s="288">
        <v>1271120</v>
      </c>
      <c r="E68" s="288">
        <v>47271</v>
      </c>
      <c r="F68" s="475">
        <f>E68/D68*100</f>
        <v>3.718846371703694</v>
      </c>
      <c r="G68" s="426"/>
      <c r="H68" s="434"/>
    </row>
    <row r="69" spans="1:8" s="435" customFormat="1" ht="10.5" customHeight="1">
      <c r="A69" s="440"/>
      <c r="B69" s="430"/>
      <c r="C69" s="476" t="s">
        <v>511</v>
      </c>
      <c r="D69" s="432"/>
      <c r="E69" s="432"/>
      <c r="F69" s="477"/>
      <c r="G69" s="426"/>
      <c r="H69" s="434"/>
    </row>
    <row r="70" spans="1:8" s="428" customFormat="1" ht="15.75" customHeight="1">
      <c r="A70" s="443"/>
      <c r="B70" s="422"/>
      <c r="C70" s="423" t="s">
        <v>514</v>
      </c>
      <c r="D70" s="424">
        <v>1271120</v>
      </c>
      <c r="E70" s="424">
        <v>47271</v>
      </c>
      <c r="F70" s="425">
        <f>E70/D70*100</f>
        <v>3.718846371703694</v>
      </c>
      <c r="G70" s="426"/>
      <c r="H70" s="427"/>
    </row>
    <row r="71" spans="1:7" s="98" customFormat="1" ht="17.25" customHeight="1">
      <c r="A71" s="450"/>
      <c r="B71" s="451" t="s">
        <v>1055</v>
      </c>
      <c r="C71" s="473" t="s">
        <v>1056</v>
      </c>
      <c r="D71" s="100">
        <f>D72+D73</f>
        <v>2754600</v>
      </c>
      <c r="E71" s="100">
        <f>E72+E73</f>
        <v>661478.3400000001</v>
      </c>
      <c r="F71" s="474">
        <f t="shared" si="4"/>
        <v>24.01358963188848</v>
      </c>
      <c r="G71" s="177"/>
    </row>
    <row r="72" spans="1:7" s="434" customFormat="1" ht="18.75" customHeight="1">
      <c r="A72" s="442"/>
      <c r="B72" s="439"/>
      <c r="C72" s="287" t="s">
        <v>495</v>
      </c>
      <c r="D72" s="288">
        <v>1254600</v>
      </c>
      <c r="E72" s="288">
        <v>418149.34</v>
      </c>
      <c r="F72" s="475">
        <f t="shared" si="4"/>
        <v>33.32929539295393</v>
      </c>
      <c r="G72" s="426"/>
    </row>
    <row r="73" spans="1:7" s="434" customFormat="1" ht="18.75" customHeight="1">
      <c r="A73" s="442"/>
      <c r="B73" s="439"/>
      <c r="C73" s="287" t="s">
        <v>515</v>
      </c>
      <c r="D73" s="288">
        <v>1500000</v>
      </c>
      <c r="E73" s="288">
        <v>243329</v>
      </c>
      <c r="F73" s="475">
        <f t="shared" si="4"/>
        <v>16.221933333333332</v>
      </c>
      <c r="G73" s="426"/>
    </row>
    <row r="74" spans="1:7" s="98" customFormat="1" ht="18.75" customHeight="1">
      <c r="A74" s="450"/>
      <c r="B74" s="451" t="s">
        <v>522</v>
      </c>
      <c r="C74" s="480" t="s">
        <v>1042</v>
      </c>
      <c r="D74" s="100">
        <f>SUM(D75)</f>
        <v>962000</v>
      </c>
      <c r="E74" s="100">
        <f>SUM(E75)</f>
        <v>260096.18</v>
      </c>
      <c r="F74" s="474">
        <f t="shared" si="4"/>
        <v>27.037024948024946</v>
      </c>
      <c r="G74" s="177"/>
    </row>
    <row r="75" spans="1:7" s="434" customFormat="1" ht="18.75" customHeight="1">
      <c r="A75" s="442"/>
      <c r="B75" s="439"/>
      <c r="C75" s="287" t="s">
        <v>515</v>
      </c>
      <c r="D75" s="288">
        <v>962000</v>
      </c>
      <c r="E75" s="288">
        <v>260096.18</v>
      </c>
      <c r="F75" s="475">
        <f t="shared" si="4"/>
        <v>27.037024948024946</v>
      </c>
      <c r="G75" s="426"/>
    </row>
    <row r="76" spans="1:7" s="212" customFormat="1" ht="18.75" customHeight="1">
      <c r="A76" s="448" t="s">
        <v>1057</v>
      </c>
      <c r="B76" s="449"/>
      <c r="C76" s="470" t="s">
        <v>1058</v>
      </c>
      <c r="D76" s="95">
        <f>SUM(D77,D83,D85)</f>
        <v>1362481</v>
      </c>
      <c r="E76" s="95">
        <f>SUM(E77,E83,E85)</f>
        <v>265478.48</v>
      </c>
      <c r="F76" s="471">
        <f>E76/D76*100</f>
        <v>19.484930799034995</v>
      </c>
      <c r="G76" s="177"/>
    </row>
    <row r="77" spans="1:7" s="98" customFormat="1" ht="18.75" customHeight="1">
      <c r="A77" s="450"/>
      <c r="B77" s="451" t="s">
        <v>523</v>
      </c>
      <c r="C77" s="473" t="s">
        <v>524</v>
      </c>
      <c r="D77" s="100">
        <f>D78</f>
        <v>553817</v>
      </c>
      <c r="E77" s="100">
        <f>E78</f>
        <v>88523.99</v>
      </c>
      <c r="F77" s="474">
        <f t="shared" si="4"/>
        <v>15.984339592320207</v>
      </c>
      <c r="G77" s="177"/>
    </row>
    <row r="78" spans="1:7" s="434" customFormat="1" ht="18" customHeight="1">
      <c r="A78" s="442"/>
      <c r="B78" s="439"/>
      <c r="C78" s="287" t="s">
        <v>495</v>
      </c>
      <c r="D78" s="288">
        <v>553817</v>
      </c>
      <c r="E78" s="288">
        <v>88523.99</v>
      </c>
      <c r="F78" s="475">
        <f t="shared" si="4"/>
        <v>15.984339592320207</v>
      </c>
      <c r="G78" s="426"/>
    </row>
    <row r="79" spans="1:7" s="434" customFormat="1" ht="10.5" customHeight="1">
      <c r="A79" s="442"/>
      <c r="B79" s="439"/>
      <c r="C79" s="476" t="s">
        <v>511</v>
      </c>
      <c r="D79" s="432"/>
      <c r="E79" s="432"/>
      <c r="F79" s="477"/>
      <c r="G79" s="426"/>
    </row>
    <row r="80" spans="1:7" s="427" customFormat="1" ht="18" customHeight="1">
      <c r="A80" s="441"/>
      <c r="B80" s="437"/>
      <c r="C80" s="423" t="s">
        <v>513</v>
      </c>
      <c r="D80" s="424">
        <f>SUM(D81,D82)</f>
        <v>5000</v>
      </c>
      <c r="E80" s="424">
        <f>SUM(E81,E82)</f>
        <v>2569.87</v>
      </c>
      <c r="F80" s="425">
        <f>E80/D80*100</f>
        <v>51.39739999999999</v>
      </c>
      <c r="G80" s="426"/>
    </row>
    <row r="81" spans="1:7" s="434" customFormat="1" ht="18" customHeight="1">
      <c r="A81" s="442"/>
      <c r="B81" s="439"/>
      <c r="C81" s="431" t="s">
        <v>487</v>
      </c>
      <c r="D81" s="432">
        <v>5000</v>
      </c>
      <c r="E81" s="432">
        <v>2569.87</v>
      </c>
      <c r="F81" s="433">
        <f>E81/D81*100</f>
        <v>51.39739999999999</v>
      </c>
      <c r="G81" s="426"/>
    </row>
    <row r="82" spans="1:7" s="434" customFormat="1" ht="18" customHeight="1" hidden="1">
      <c r="A82" s="442"/>
      <c r="B82" s="439"/>
      <c r="C82" s="431" t="s">
        <v>488</v>
      </c>
      <c r="D82" s="432">
        <v>0</v>
      </c>
      <c r="E82" s="432"/>
      <c r="F82" s="433" t="e">
        <f>E82/D82*100</f>
        <v>#DIV/0!</v>
      </c>
      <c r="G82" s="426"/>
    </row>
    <row r="83" spans="1:7" s="98" customFormat="1" ht="18.75" customHeight="1">
      <c r="A83" s="450"/>
      <c r="B83" s="451" t="s">
        <v>1060</v>
      </c>
      <c r="C83" s="473" t="s">
        <v>1061</v>
      </c>
      <c r="D83" s="100">
        <f>D84</f>
        <v>135000</v>
      </c>
      <c r="E83" s="100">
        <f>E84</f>
        <v>34440.56</v>
      </c>
      <c r="F83" s="474">
        <f aca="true" t="shared" si="5" ref="F83:F98">E83/D83*100</f>
        <v>25.511525925925927</v>
      </c>
      <c r="G83" s="177"/>
    </row>
    <row r="84" spans="1:7" s="434" customFormat="1" ht="18.75" customHeight="1">
      <c r="A84" s="442"/>
      <c r="B84" s="439"/>
      <c r="C84" s="287" t="s">
        <v>495</v>
      </c>
      <c r="D84" s="288">
        <v>135000</v>
      </c>
      <c r="E84" s="288">
        <v>34440.56</v>
      </c>
      <c r="F84" s="475">
        <f t="shared" si="5"/>
        <v>25.511525925925927</v>
      </c>
      <c r="G84" s="426"/>
    </row>
    <row r="85" spans="1:6" ht="18.75" customHeight="1">
      <c r="A85" s="450"/>
      <c r="B85" s="451" t="s">
        <v>1067</v>
      </c>
      <c r="C85" s="284" t="s">
        <v>1068</v>
      </c>
      <c r="D85" s="100">
        <f>SUM(D86,D87)</f>
        <v>673664</v>
      </c>
      <c r="E85" s="100">
        <f>SUM(E86,E87)</f>
        <v>142513.93</v>
      </c>
      <c r="F85" s="474">
        <f t="shared" si="5"/>
        <v>21.155046135759072</v>
      </c>
    </row>
    <row r="86" spans="1:7" s="434" customFormat="1" ht="18.75" customHeight="1">
      <c r="A86" s="442"/>
      <c r="B86" s="439"/>
      <c r="C86" s="287" t="s">
        <v>495</v>
      </c>
      <c r="D86" s="288">
        <v>373664</v>
      </c>
      <c r="E86" s="288">
        <v>142325.85</v>
      </c>
      <c r="F86" s="475">
        <f t="shared" si="5"/>
        <v>38.089259334589364</v>
      </c>
      <c r="G86" s="426"/>
    </row>
    <row r="87" spans="1:7" s="434" customFormat="1" ht="18.75" customHeight="1">
      <c r="A87" s="442"/>
      <c r="B87" s="439"/>
      <c r="C87" s="287" t="s">
        <v>515</v>
      </c>
      <c r="D87" s="288">
        <v>300000</v>
      </c>
      <c r="E87" s="288">
        <v>188.08</v>
      </c>
      <c r="F87" s="475">
        <f t="shared" si="5"/>
        <v>0.06269333333333334</v>
      </c>
      <c r="G87" s="426"/>
    </row>
    <row r="88" spans="1:7" s="212" customFormat="1" ht="18.75" customHeight="1">
      <c r="A88" s="448" t="s">
        <v>1069</v>
      </c>
      <c r="B88" s="449"/>
      <c r="C88" s="481" t="s">
        <v>1070</v>
      </c>
      <c r="D88" s="95">
        <f>SUM(D89,D95,D97,D104,D110)</f>
        <v>15102260</v>
      </c>
      <c r="E88" s="95">
        <f>SUM(E89,E95,E97,E104,E110)</f>
        <v>7175409.840000001</v>
      </c>
      <c r="F88" s="471">
        <f t="shared" si="5"/>
        <v>47.51215937217344</v>
      </c>
      <c r="G88" s="177"/>
    </row>
    <row r="89" spans="1:7" s="98" customFormat="1" ht="18.75" customHeight="1">
      <c r="A89" s="450"/>
      <c r="B89" s="451" t="s">
        <v>1071</v>
      </c>
      <c r="C89" s="284" t="s">
        <v>1077</v>
      </c>
      <c r="D89" s="100">
        <f>D90</f>
        <v>369700</v>
      </c>
      <c r="E89" s="100">
        <f>E90</f>
        <v>187651</v>
      </c>
      <c r="F89" s="474">
        <f t="shared" si="5"/>
        <v>50.75764133080877</v>
      </c>
      <c r="G89" s="177"/>
    </row>
    <row r="90" spans="1:7" s="434" customFormat="1" ht="18.75" customHeight="1">
      <c r="A90" s="442"/>
      <c r="B90" s="439"/>
      <c r="C90" s="287" t="s">
        <v>495</v>
      </c>
      <c r="D90" s="288">
        <v>369700</v>
      </c>
      <c r="E90" s="288">
        <v>187651</v>
      </c>
      <c r="F90" s="475">
        <f t="shared" si="5"/>
        <v>50.75764133080877</v>
      </c>
      <c r="G90" s="426"/>
    </row>
    <row r="91" spans="1:8" s="435" customFormat="1" ht="12" customHeight="1">
      <c r="A91" s="440"/>
      <c r="B91" s="430"/>
      <c r="C91" s="476" t="s">
        <v>511</v>
      </c>
      <c r="D91" s="432"/>
      <c r="E91" s="432"/>
      <c r="F91" s="477"/>
      <c r="G91" s="426"/>
      <c r="H91" s="434"/>
    </row>
    <row r="92" spans="1:8" s="428" customFormat="1" ht="18.75" customHeight="1">
      <c r="A92" s="443"/>
      <c r="B92" s="422"/>
      <c r="C92" s="423" t="s">
        <v>513</v>
      </c>
      <c r="D92" s="424">
        <f>SUM(D93,D94)</f>
        <v>363125</v>
      </c>
      <c r="E92" s="424">
        <f>SUM(E93,E94)</f>
        <v>181076</v>
      </c>
      <c r="F92" s="425">
        <f t="shared" si="5"/>
        <v>49.866024096385544</v>
      </c>
      <c r="G92" s="426"/>
      <c r="H92" s="427"/>
    </row>
    <row r="93" spans="1:8" s="435" customFormat="1" ht="18.75" customHeight="1">
      <c r="A93" s="440"/>
      <c r="B93" s="430"/>
      <c r="C93" s="431" t="s">
        <v>487</v>
      </c>
      <c r="D93" s="432">
        <v>310127</v>
      </c>
      <c r="E93" s="432">
        <v>149629.56</v>
      </c>
      <c r="F93" s="433">
        <f t="shared" si="5"/>
        <v>48.24783395189712</v>
      </c>
      <c r="G93" s="426"/>
      <c r="H93" s="434"/>
    </row>
    <row r="94" spans="1:8" s="435" customFormat="1" ht="18.75" customHeight="1">
      <c r="A94" s="440"/>
      <c r="B94" s="430"/>
      <c r="C94" s="431" t="s">
        <v>488</v>
      </c>
      <c r="D94" s="432">
        <v>52998</v>
      </c>
      <c r="E94" s="432">
        <v>31446.44</v>
      </c>
      <c r="F94" s="433">
        <f t="shared" si="5"/>
        <v>59.33514472244236</v>
      </c>
      <c r="G94" s="426"/>
      <c r="H94" s="434"/>
    </row>
    <row r="95" spans="1:7" s="98" customFormat="1" ht="18.75" customHeight="1">
      <c r="A95" s="450"/>
      <c r="B95" s="451" t="s">
        <v>525</v>
      </c>
      <c r="C95" s="480" t="s">
        <v>526</v>
      </c>
      <c r="D95" s="100">
        <f>SUM(D96)</f>
        <v>505000</v>
      </c>
      <c r="E95" s="100">
        <f>SUM(E96)</f>
        <v>250458.07</v>
      </c>
      <c r="F95" s="474">
        <f t="shared" si="5"/>
        <v>49.59565742574257</v>
      </c>
      <c r="G95" s="177"/>
    </row>
    <row r="96" spans="1:7" s="434" customFormat="1" ht="18.75" customHeight="1">
      <c r="A96" s="442"/>
      <c r="B96" s="439"/>
      <c r="C96" s="287" t="s">
        <v>495</v>
      </c>
      <c r="D96" s="288">
        <v>505000</v>
      </c>
      <c r="E96" s="288">
        <v>250458.07</v>
      </c>
      <c r="F96" s="475">
        <f t="shared" si="5"/>
        <v>49.59565742574257</v>
      </c>
      <c r="G96" s="426"/>
    </row>
    <row r="97" spans="1:7" s="98" customFormat="1" ht="18.75" customHeight="1">
      <c r="A97" s="450"/>
      <c r="B97" s="451" t="s">
        <v>1080</v>
      </c>
      <c r="C97" s="480" t="s">
        <v>42</v>
      </c>
      <c r="D97" s="100">
        <f>D98+D103</f>
        <v>12181504</v>
      </c>
      <c r="E97" s="100">
        <f>E98+E103</f>
        <v>6091830.66</v>
      </c>
      <c r="F97" s="474">
        <f t="shared" si="5"/>
        <v>50.00885490001892</v>
      </c>
      <c r="G97" s="177"/>
    </row>
    <row r="98" spans="1:7" s="434" customFormat="1" ht="18.75" customHeight="1">
      <c r="A98" s="442"/>
      <c r="B98" s="439"/>
      <c r="C98" s="287" t="s">
        <v>495</v>
      </c>
      <c r="D98" s="288">
        <v>11541484</v>
      </c>
      <c r="E98" s="288">
        <v>6011816.67</v>
      </c>
      <c r="F98" s="475">
        <f t="shared" si="5"/>
        <v>52.08876666120232</v>
      </c>
      <c r="G98" s="426"/>
    </row>
    <row r="99" spans="1:8" s="435" customFormat="1" ht="12" customHeight="1">
      <c r="A99" s="440"/>
      <c r="B99" s="430"/>
      <c r="C99" s="476" t="s">
        <v>511</v>
      </c>
      <c r="D99" s="432"/>
      <c r="E99" s="432"/>
      <c r="F99" s="477"/>
      <c r="G99" s="426"/>
      <c r="H99" s="434"/>
    </row>
    <row r="100" spans="1:8" s="428" customFormat="1" ht="18.75" customHeight="1">
      <c r="A100" s="443"/>
      <c r="B100" s="422"/>
      <c r="C100" s="423" t="s">
        <v>513</v>
      </c>
      <c r="D100" s="424">
        <f>SUM(D101,D102)</f>
        <v>9276419</v>
      </c>
      <c r="E100" s="424">
        <f>SUM(E101,E102)</f>
        <v>4733520.78</v>
      </c>
      <c r="F100" s="425">
        <f aca="true" t="shared" si="6" ref="F100:F105">E100/D100*100</f>
        <v>51.02745768598853</v>
      </c>
      <c r="G100" s="426"/>
      <c r="H100" s="427"/>
    </row>
    <row r="101" spans="1:8" s="435" customFormat="1" ht="18.75" customHeight="1">
      <c r="A101" s="440"/>
      <c r="B101" s="430"/>
      <c r="C101" s="431" t="s">
        <v>487</v>
      </c>
      <c r="D101" s="432">
        <v>7885964</v>
      </c>
      <c r="E101" s="432">
        <v>4050474.47</v>
      </c>
      <c r="F101" s="433">
        <f t="shared" si="6"/>
        <v>51.36308598416123</v>
      </c>
      <c r="G101" s="426"/>
      <c r="H101" s="434"/>
    </row>
    <row r="102" spans="1:8" s="435" customFormat="1" ht="18.75" customHeight="1">
      <c r="A102" s="440"/>
      <c r="B102" s="430"/>
      <c r="C102" s="431" t="s">
        <v>488</v>
      </c>
      <c r="D102" s="432">
        <v>1390455</v>
      </c>
      <c r="E102" s="432">
        <v>683046.31</v>
      </c>
      <c r="F102" s="433">
        <f t="shared" si="6"/>
        <v>49.123942162817215</v>
      </c>
      <c r="G102" s="426"/>
      <c r="H102" s="434"/>
    </row>
    <row r="103" spans="1:7" s="434" customFormat="1" ht="18.75" customHeight="1">
      <c r="A103" s="442"/>
      <c r="B103" s="439"/>
      <c r="C103" s="287" t="s">
        <v>515</v>
      </c>
      <c r="D103" s="288">
        <v>640020</v>
      </c>
      <c r="E103" s="288">
        <v>80013.99</v>
      </c>
      <c r="F103" s="475">
        <f t="shared" si="6"/>
        <v>12.501795256398237</v>
      </c>
      <c r="G103" s="426"/>
    </row>
    <row r="104" spans="1:8" s="435" customFormat="1" ht="18.75" customHeight="1">
      <c r="A104" s="450"/>
      <c r="B104" s="451" t="s">
        <v>823</v>
      </c>
      <c r="C104" s="480" t="s">
        <v>824</v>
      </c>
      <c r="D104" s="100">
        <f>SUM(D105)</f>
        <v>618000</v>
      </c>
      <c r="E104" s="100">
        <f>SUM(E105)</f>
        <v>304852.54</v>
      </c>
      <c r="F104" s="474">
        <f t="shared" si="6"/>
        <v>49.32888996763754</v>
      </c>
      <c r="G104" s="426"/>
      <c r="H104" s="434"/>
    </row>
    <row r="105" spans="1:8" s="435" customFormat="1" ht="18.75" customHeight="1">
      <c r="A105" s="442"/>
      <c r="B105" s="439"/>
      <c r="C105" s="287" t="s">
        <v>495</v>
      </c>
      <c r="D105" s="288">
        <v>618000</v>
      </c>
      <c r="E105" s="288">
        <v>304852.54</v>
      </c>
      <c r="F105" s="475">
        <f t="shared" si="6"/>
        <v>49.32888996763754</v>
      </c>
      <c r="G105" s="426"/>
      <c r="H105" s="434"/>
    </row>
    <row r="106" spans="1:8" s="435" customFormat="1" ht="12" customHeight="1">
      <c r="A106" s="440"/>
      <c r="B106" s="430"/>
      <c r="C106" s="476" t="s">
        <v>511</v>
      </c>
      <c r="D106" s="432"/>
      <c r="E106" s="432"/>
      <c r="F106" s="477"/>
      <c r="G106" s="426"/>
      <c r="H106" s="434"/>
    </row>
    <row r="107" spans="1:7" s="212" customFormat="1" ht="18.75" customHeight="1">
      <c r="A107" s="443"/>
      <c r="B107" s="422"/>
      <c r="C107" s="423" t="s">
        <v>513</v>
      </c>
      <c r="D107" s="424">
        <f>SUM(D108,D109)</f>
        <v>30000</v>
      </c>
      <c r="E107" s="424">
        <f>SUM(E108,E109)</f>
        <v>9550</v>
      </c>
      <c r="F107" s="425">
        <f>E107/D107*100</f>
        <v>31.833333333333336</v>
      </c>
      <c r="G107" s="177"/>
    </row>
    <row r="108" spans="1:7" s="98" customFormat="1" ht="18.75" customHeight="1">
      <c r="A108" s="440"/>
      <c r="B108" s="430"/>
      <c r="C108" s="431" t="s">
        <v>487</v>
      </c>
      <c r="D108" s="432">
        <v>30000</v>
      </c>
      <c r="E108" s="432">
        <v>9550</v>
      </c>
      <c r="F108" s="433">
        <f>E108/D108*100</f>
        <v>31.833333333333336</v>
      </c>
      <c r="G108" s="177"/>
    </row>
    <row r="109" spans="1:7" s="98" customFormat="1" ht="18.75" customHeight="1" hidden="1">
      <c r="A109" s="440"/>
      <c r="B109" s="430"/>
      <c r="C109" s="431" t="s">
        <v>488</v>
      </c>
      <c r="D109" s="432">
        <v>0</v>
      </c>
      <c r="E109" s="432"/>
      <c r="F109" s="433" t="e">
        <f>E109/D109*100</f>
        <v>#DIV/0!</v>
      </c>
      <c r="G109" s="177"/>
    </row>
    <row r="110" spans="1:8" s="435" customFormat="1" ht="18.75" customHeight="1">
      <c r="A110" s="450"/>
      <c r="B110" s="451" t="s">
        <v>1083</v>
      </c>
      <c r="C110" s="480" t="s">
        <v>1042</v>
      </c>
      <c r="D110" s="100">
        <f>SUM(D111,D117)</f>
        <v>1428056</v>
      </c>
      <c r="E110" s="100">
        <f>SUM(E111,E117)</f>
        <v>340617.57</v>
      </c>
      <c r="F110" s="474">
        <f>E110/D110*100</f>
        <v>23.851835642299744</v>
      </c>
      <c r="G110" s="426"/>
      <c r="H110" s="434"/>
    </row>
    <row r="111" spans="1:8" s="435" customFormat="1" ht="18.75" customHeight="1">
      <c r="A111" s="442"/>
      <c r="B111" s="439"/>
      <c r="C111" s="287" t="s">
        <v>495</v>
      </c>
      <c r="D111" s="288">
        <v>1263056</v>
      </c>
      <c r="E111" s="288">
        <v>317269.2</v>
      </c>
      <c r="F111" s="475">
        <f>E111/D111*100</f>
        <v>25.11917127981657</v>
      </c>
      <c r="G111" s="426"/>
      <c r="H111" s="434"/>
    </row>
    <row r="112" spans="1:8" s="435" customFormat="1" ht="12" customHeight="1">
      <c r="A112" s="440"/>
      <c r="B112" s="430"/>
      <c r="C112" s="476" t="s">
        <v>511</v>
      </c>
      <c r="D112" s="432"/>
      <c r="E112" s="432"/>
      <c r="F112" s="477"/>
      <c r="G112" s="426"/>
      <c r="H112" s="434"/>
    </row>
    <row r="113" spans="1:7" s="212" customFormat="1" ht="18.75" customHeight="1">
      <c r="A113" s="443"/>
      <c r="B113" s="422"/>
      <c r="C113" s="423" t="s">
        <v>513</v>
      </c>
      <c r="D113" s="424">
        <f>SUM(D114,D115)</f>
        <v>173807</v>
      </c>
      <c r="E113" s="424">
        <f>SUM(E114,E115)</f>
        <v>51492.22</v>
      </c>
      <c r="F113" s="425">
        <f aca="true" t="shared" si="7" ref="F113:F120">E113/D113*100</f>
        <v>29.626091008992734</v>
      </c>
      <c r="G113" s="177"/>
    </row>
    <row r="114" spans="1:7" s="98" customFormat="1" ht="18.75" customHeight="1">
      <c r="A114" s="440"/>
      <c r="B114" s="430"/>
      <c r="C114" s="431" t="s">
        <v>487</v>
      </c>
      <c r="D114" s="432">
        <v>164781</v>
      </c>
      <c r="E114" s="432">
        <v>49153.12</v>
      </c>
      <c r="F114" s="433">
        <f t="shared" si="7"/>
        <v>29.829361394821007</v>
      </c>
      <c r="G114" s="177"/>
    </row>
    <row r="115" spans="1:7" s="98" customFormat="1" ht="18.75" customHeight="1">
      <c r="A115" s="440"/>
      <c r="B115" s="430"/>
      <c r="C115" s="431" t="s">
        <v>488</v>
      </c>
      <c r="D115" s="432">
        <v>9026</v>
      </c>
      <c r="E115" s="432">
        <v>2339.1</v>
      </c>
      <c r="F115" s="433">
        <f t="shared" si="7"/>
        <v>25.91513405716818</v>
      </c>
      <c r="G115" s="177"/>
    </row>
    <row r="116" spans="1:7" s="427" customFormat="1" ht="18.75" customHeight="1">
      <c r="A116" s="443"/>
      <c r="B116" s="422"/>
      <c r="C116" s="423" t="s">
        <v>514</v>
      </c>
      <c r="D116" s="424">
        <v>6436</v>
      </c>
      <c r="E116" s="424">
        <v>3236</v>
      </c>
      <c r="F116" s="425">
        <f t="shared" si="7"/>
        <v>50.27967681789932</v>
      </c>
      <c r="G116" s="426"/>
    </row>
    <row r="117" spans="1:7" s="434" customFormat="1" ht="18.75" customHeight="1">
      <c r="A117" s="442"/>
      <c r="B117" s="439"/>
      <c r="C117" s="287" t="s">
        <v>515</v>
      </c>
      <c r="D117" s="288">
        <v>165000</v>
      </c>
      <c r="E117" s="288">
        <v>23348.37</v>
      </c>
      <c r="F117" s="475">
        <f t="shared" si="7"/>
        <v>14.150527272727272</v>
      </c>
      <c r="G117" s="426"/>
    </row>
    <row r="118" spans="1:8" s="435" customFormat="1" ht="44.25" customHeight="1">
      <c r="A118" s="484" t="s">
        <v>1294</v>
      </c>
      <c r="B118" s="449"/>
      <c r="C118" s="470" t="s">
        <v>1084</v>
      </c>
      <c r="D118" s="485">
        <f>SUM(D119,D125)</f>
        <v>59180</v>
      </c>
      <c r="E118" s="485">
        <f>SUM(E119,E125)</f>
        <v>35663.3</v>
      </c>
      <c r="F118" s="471">
        <f t="shared" si="7"/>
        <v>60.26241973639743</v>
      </c>
      <c r="G118" s="426"/>
      <c r="H118" s="434"/>
    </row>
    <row r="119" spans="1:8" s="435" customFormat="1" ht="26.25" customHeight="1">
      <c r="A119" s="450"/>
      <c r="B119" s="486" t="s">
        <v>1240</v>
      </c>
      <c r="C119" s="473" t="s">
        <v>527</v>
      </c>
      <c r="D119" s="487">
        <f>D120</f>
        <v>6900</v>
      </c>
      <c r="E119" s="100">
        <f>E120</f>
        <v>675.65</v>
      </c>
      <c r="F119" s="474">
        <f t="shared" si="7"/>
        <v>9.792028985507246</v>
      </c>
      <c r="G119" s="426"/>
      <c r="H119" s="434"/>
    </row>
    <row r="120" spans="1:8" s="435" customFormat="1" ht="18.75" customHeight="1">
      <c r="A120" s="442"/>
      <c r="B120" s="439"/>
      <c r="C120" s="287" t="s">
        <v>495</v>
      </c>
      <c r="D120" s="288">
        <v>6900</v>
      </c>
      <c r="E120" s="288">
        <v>675.65</v>
      </c>
      <c r="F120" s="475">
        <f t="shared" si="7"/>
        <v>9.792028985507246</v>
      </c>
      <c r="G120" s="426"/>
      <c r="H120" s="434"/>
    </row>
    <row r="121" spans="1:7" s="212" customFormat="1" ht="12" customHeight="1">
      <c r="A121" s="440"/>
      <c r="B121" s="430"/>
      <c r="C121" s="476" t="s">
        <v>511</v>
      </c>
      <c r="D121" s="432"/>
      <c r="E121" s="432"/>
      <c r="F121" s="477"/>
      <c r="G121" s="177"/>
    </row>
    <row r="122" spans="1:7" s="212" customFormat="1" ht="18.75" customHeight="1">
      <c r="A122" s="443"/>
      <c r="B122" s="422"/>
      <c r="C122" s="423" t="s">
        <v>513</v>
      </c>
      <c r="D122" s="424">
        <f>SUM(D123,D124)</f>
        <v>6900</v>
      </c>
      <c r="E122" s="424">
        <f>SUM(E123,E124)</f>
        <v>675.65</v>
      </c>
      <c r="F122" s="425">
        <f>E122/D122*100</f>
        <v>9.792028985507246</v>
      </c>
      <c r="G122" s="177"/>
    </row>
    <row r="123" spans="1:7" s="98" customFormat="1" ht="18.75" customHeight="1">
      <c r="A123" s="440"/>
      <c r="B123" s="430"/>
      <c r="C123" s="431" t="s">
        <v>487</v>
      </c>
      <c r="D123" s="432">
        <v>5865</v>
      </c>
      <c r="E123" s="432">
        <v>675.65</v>
      </c>
      <c r="F123" s="433">
        <f>E123/D123*100</f>
        <v>11.52003410059676</v>
      </c>
      <c r="G123" s="177"/>
    </row>
    <row r="124" spans="1:7" s="98" customFormat="1" ht="18.75" customHeight="1">
      <c r="A124" s="440"/>
      <c r="B124" s="430"/>
      <c r="C124" s="431" t="s">
        <v>488</v>
      </c>
      <c r="D124" s="432">
        <v>1035</v>
      </c>
      <c r="E124" s="432">
        <v>0</v>
      </c>
      <c r="F124" s="433">
        <f>E124/D124*100</f>
        <v>0</v>
      </c>
      <c r="G124" s="177"/>
    </row>
    <row r="125" spans="1:8" s="435" customFormat="1" ht="16.5" customHeight="1">
      <c r="A125" s="450"/>
      <c r="B125" s="486" t="s">
        <v>336</v>
      </c>
      <c r="C125" s="473" t="s">
        <v>357</v>
      </c>
      <c r="D125" s="487">
        <f>D126</f>
        <v>52280</v>
      </c>
      <c r="E125" s="100">
        <f>E126</f>
        <v>34987.65</v>
      </c>
      <c r="F125" s="474">
        <f>E125/D125*100</f>
        <v>66.923584544759</v>
      </c>
      <c r="G125" s="426"/>
      <c r="H125" s="434"/>
    </row>
    <row r="126" spans="1:8" s="435" customFormat="1" ht="18.75" customHeight="1">
      <c r="A126" s="442"/>
      <c r="B126" s="439"/>
      <c r="C126" s="287" t="s">
        <v>495</v>
      </c>
      <c r="D126" s="288">
        <v>52280</v>
      </c>
      <c r="E126" s="288">
        <v>34987.65</v>
      </c>
      <c r="F126" s="475">
        <f>E126/D126*100</f>
        <v>66.923584544759</v>
      </c>
      <c r="G126" s="426"/>
      <c r="H126" s="434"/>
    </row>
    <row r="127" spans="1:7" s="212" customFormat="1" ht="12" customHeight="1">
      <c r="A127" s="440"/>
      <c r="B127" s="430"/>
      <c r="C127" s="476" t="s">
        <v>511</v>
      </c>
      <c r="D127" s="432"/>
      <c r="E127" s="432"/>
      <c r="F127" s="477"/>
      <c r="G127" s="177"/>
    </row>
    <row r="128" spans="1:7" s="212" customFormat="1" ht="18.75" customHeight="1">
      <c r="A128" s="443"/>
      <c r="B128" s="422"/>
      <c r="C128" s="423" t="s">
        <v>513</v>
      </c>
      <c r="D128" s="424">
        <f>SUM(D129,D130)</f>
        <v>23132</v>
      </c>
      <c r="E128" s="424">
        <f>SUM(E129,E130)</f>
        <v>6602.91</v>
      </c>
      <c r="F128" s="425">
        <f>E128/D128*100</f>
        <v>28.54448383192115</v>
      </c>
      <c r="G128" s="177"/>
    </row>
    <row r="129" spans="1:7" s="98" customFormat="1" ht="18.75" customHeight="1">
      <c r="A129" s="440"/>
      <c r="B129" s="430"/>
      <c r="C129" s="431" t="s">
        <v>487</v>
      </c>
      <c r="D129" s="432">
        <v>19976</v>
      </c>
      <c r="E129" s="432">
        <v>6602.91</v>
      </c>
      <c r="F129" s="433">
        <f>E129/D129*100</f>
        <v>33.05421505806968</v>
      </c>
      <c r="G129" s="177"/>
    </row>
    <row r="130" spans="1:7" s="98" customFormat="1" ht="18.75" customHeight="1">
      <c r="A130" s="440"/>
      <c r="B130" s="430"/>
      <c r="C130" s="431" t="s">
        <v>488</v>
      </c>
      <c r="D130" s="432">
        <v>3156</v>
      </c>
      <c r="E130" s="432">
        <v>0</v>
      </c>
      <c r="F130" s="433">
        <f>E130/D130*100</f>
        <v>0</v>
      </c>
      <c r="G130" s="177"/>
    </row>
    <row r="131" spans="1:8" s="435" customFormat="1" ht="27.75" customHeight="1">
      <c r="A131" s="484" t="s">
        <v>1085</v>
      </c>
      <c r="B131" s="449"/>
      <c r="C131" s="470" t="s">
        <v>74</v>
      </c>
      <c r="D131" s="95">
        <f>SUM(D132,D138,D140,D147)</f>
        <v>1560590</v>
      </c>
      <c r="E131" s="95">
        <f>SUM(E132,E138,E140,E147)</f>
        <v>244745</v>
      </c>
      <c r="F131" s="471">
        <f>E131/D131*100</f>
        <v>15.682850716716112</v>
      </c>
      <c r="G131" s="426"/>
      <c r="H131" s="434"/>
    </row>
    <row r="132" spans="1:8" s="435" customFormat="1" ht="18.75" customHeight="1">
      <c r="A132" s="450"/>
      <c r="B132" s="451" t="s">
        <v>530</v>
      </c>
      <c r="C132" s="480" t="s">
        <v>531</v>
      </c>
      <c r="D132" s="100">
        <f>SUM(D133)</f>
        <v>144554</v>
      </c>
      <c r="E132" s="100">
        <f>SUM(E133)</f>
        <v>47060.77</v>
      </c>
      <c r="F132" s="474">
        <f aca="true" t="shared" si="8" ref="F132:F169">E132/D132*100</f>
        <v>32.55584072388173</v>
      </c>
      <c r="G132" s="426"/>
      <c r="H132" s="434"/>
    </row>
    <row r="133" spans="1:7" s="434" customFormat="1" ht="18.75" customHeight="1">
      <c r="A133" s="442"/>
      <c r="B133" s="439"/>
      <c r="C133" s="287" t="s">
        <v>495</v>
      </c>
      <c r="D133" s="288">
        <v>144554</v>
      </c>
      <c r="E133" s="288">
        <v>47060.77</v>
      </c>
      <c r="F133" s="475">
        <f t="shared" si="8"/>
        <v>32.55584072388173</v>
      </c>
      <c r="G133" s="426"/>
    </row>
    <row r="134" spans="1:8" s="435" customFormat="1" ht="12" customHeight="1">
      <c r="A134" s="488"/>
      <c r="B134" s="489"/>
      <c r="C134" s="476" t="s">
        <v>511</v>
      </c>
      <c r="D134" s="490"/>
      <c r="E134" s="490"/>
      <c r="F134" s="491"/>
      <c r="G134" s="426"/>
      <c r="H134" s="434"/>
    </row>
    <row r="135" spans="1:7" s="212" customFormat="1" ht="18.75" customHeight="1">
      <c r="A135" s="443"/>
      <c r="B135" s="422"/>
      <c r="C135" s="423" t="s">
        <v>513</v>
      </c>
      <c r="D135" s="424">
        <f>SUM(D136,D137)</f>
        <v>43140</v>
      </c>
      <c r="E135" s="424">
        <f>SUM(E136,E137)</f>
        <v>23864.329999999998</v>
      </c>
      <c r="F135" s="425">
        <f t="shared" si="8"/>
        <v>55.31833565136763</v>
      </c>
      <c r="G135" s="177"/>
    </row>
    <row r="136" spans="1:7" s="98" customFormat="1" ht="18.75" customHeight="1">
      <c r="A136" s="440"/>
      <c r="B136" s="430"/>
      <c r="C136" s="431" t="s">
        <v>487</v>
      </c>
      <c r="D136" s="432">
        <v>36648</v>
      </c>
      <c r="E136" s="432">
        <v>20495.64</v>
      </c>
      <c r="F136" s="433">
        <f t="shared" si="8"/>
        <v>55.925671250818596</v>
      </c>
      <c r="G136" s="177"/>
    </row>
    <row r="137" spans="1:7" s="98" customFormat="1" ht="18.75" customHeight="1">
      <c r="A137" s="440"/>
      <c r="B137" s="430"/>
      <c r="C137" s="431" t="s">
        <v>488</v>
      </c>
      <c r="D137" s="432">
        <v>6492</v>
      </c>
      <c r="E137" s="432">
        <v>3368.69</v>
      </c>
      <c r="F137" s="433">
        <f t="shared" si="8"/>
        <v>51.88986444855207</v>
      </c>
      <c r="G137" s="177"/>
    </row>
    <row r="138" spans="1:8" s="435" customFormat="1" ht="18.75" customHeight="1">
      <c r="A138" s="450"/>
      <c r="B138" s="451" t="s">
        <v>1087</v>
      </c>
      <c r="C138" s="284" t="s">
        <v>1088</v>
      </c>
      <c r="D138" s="100">
        <f>SUM(D139)</f>
        <v>10000</v>
      </c>
      <c r="E138" s="100">
        <f>SUM(E139)</f>
        <v>4857.36</v>
      </c>
      <c r="F138" s="474">
        <f t="shared" si="8"/>
        <v>48.57359999999999</v>
      </c>
      <c r="G138" s="426"/>
      <c r="H138" s="434"/>
    </row>
    <row r="139" spans="1:8" s="435" customFormat="1" ht="18.75" customHeight="1">
      <c r="A139" s="442"/>
      <c r="B139" s="439"/>
      <c r="C139" s="287" t="s">
        <v>495</v>
      </c>
      <c r="D139" s="288">
        <v>10000</v>
      </c>
      <c r="E139" s="288">
        <v>4857.36</v>
      </c>
      <c r="F139" s="475">
        <f t="shared" si="8"/>
        <v>48.57359999999999</v>
      </c>
      <c r="G139" s="426"/>
      <c r="H139" s="434"/>
    </row>
    <row r="140" spans="1:7" s="434" customFormat="1" ht="18.75" customHeight="1">
      <c r="A140" s="450"/>
      <c r="B140" s="451" t="s">
        <v>58</v>
      </c>
      <c r="C140" s="284" t="s">
        <v>59</v>
      </c>
      <c r="D140" s="100">
        <f>SUM(D141,D146)</f>
        <v>249856</v>
      </c>
      <c r="E140" s="100">
        <f>SUM(E141,E146)</f>
        <v>149290.76</v>
      </c>
      <c r="F140" s="474">
        <f t="shared" si="8"/>
        <v>59.75072041495903</v>
      </c>
      <c r="G140" s="426"/>
    </row>
    <row r="141" spans="1:7" s="434" customFormat="1" ht="18.75" customHeight="1">
      <c r="A141" s="442"/>
      <c r="B141" s="439"/>
      <c r="C141" s="287" t="s">
        <v>495</v>
      </c>
      <c r="D141" s="288">
        <v>249856</v>
      </c>
      <c r="E141" s="288">
        <v>149290.76</v>
      </c>
      <c r="F141" s="475">
        <f t="shared" si="8"/>
        <v>59.75072041495903</v>
      </c>
      <c r="G141" s="426"/>
    </row>
    <row r="142" spans="1:8" s="435" customFormat="1" ht="12" customHeight="1">
      <c r="A142" s="440"/>
      <c r="B142" s="430"/>
      <c r="C142" s="476" t="s">
        <v>511</v>
      </c>
      <c r="D142" s="432"/>
      <c r="E142" s="432"/>
      <c r="F142" s="477"/>
      <c r="G142" s="426"/>
      <c r="H142" s="434"/>
    </row>
    <row r="143" spans="1:7" s="212" customFormat="1" ht="18.75" customHeight="1">
      <c r="A143" s="443"/>
      <c r="B143" s="422"/>
      <c r="C143" s="423" t="s">
        <v>513</v>
      </c>
      <c r="D143" s="424">
        <f>SUM(D144,D145)</f>
        <v>210053</v>
      </c>
      <c r="E143" s="424">
        <f>SUM(E144,E145)</f>
        <v>127904.57</v>
      </c>
      <c r="F143" s="425">
        <f t="shared" si="8"/>
        <v>60.89157022275331</v>
      </c>
      <c r="G143" s="177"/>
    </row>
    <row r="144" spans="1:7" s="98" customFormat="1" ht="18.75" customHeight="1">
      <c r="A144" s="440"/>
      <c r="B144" s="430"/>
      <c r="C144" s="431" t="s">
        <v>487</v>
      </c>
      <c r="D144" s="432">
        <v>178948</v>
      </c>
      <c r="E144" s="432">
        <v>108187.6</v>
      </c>
      <c r="F144" s="433">
        <f t="shared" si="8"/>
        <v>60.457563090953805</v>
      </c>
      <c r="G144" s="177"/>
    </row>
    <row r="145" spans="1:7" s="98" customFormat="1" ht="18.75" customHeight="1">
      <c r="A145" s="440"/>
      <c r="B145" s="430"/>
      <c r="C145" s="431" t="s">
        <v>488</v>
      </c>
      <c r="D145" s="432">
        <v>31105</v>
      </c>
      <c r="E145" s="432">
        <v>19716.97</v>
      </c>
      <c r="F145" s="433">
        <f t="shared" si="8"/>
        <v>63.38842629802283</v>
      </c>
      <c r="G145" s="177"/>
    </row>
    <row r="146" spans="1:8" s="435" customFormat="1" ht="18.75" customHeight="1" hidden="1">
      <c r="A146" s="442"/>
      <c r="B146" s="439"/>
      <c r="C146" s="287" t="s">
        <v>515</v>
      </c>
      <c r="D146" s="288">
        <v>0</v>
      </c>
      <c r="E146" s="288"/>
      <c r="F146" s="475" t="e">
        <f>E146/D146*100</f>
        <v>#DIV/0!</v>
      </c>
      <c r="G146" s="426"/>
      <c r="H146" s="434"/>
    </row>
    <row r="147" spans="1:8" s="435" customFormat="1" ht="17.25" customHeight="1">
      <c r="A147" s="450"/>
      <c r="B147" s="451" t="s">
        <v>532</v>
      </c>
      <c r="C147" s="284" t="s">
        <v>1042</v>
      </c>
      <c r="D147" s="100">
        <f>SUM(D148,D149)</f>
        <v>1156180</v>
      </c>
      <c r="E147" s="100">
        <f>SUM(E148,E149)</f>
        <v>43536.11</v>
      </c>
      <c r="F147" s="474">
        <f t="shared" si="8"/>
        <v>3.7655131553910293</v>
      </c>
      <c r="G147" s="426"/>
      <c r="H147" s="434"/>
    </row>
    <row r="148" spans="1:8" s="435" customFormat="1" ht="18.75" customHeight="1">
      <c r="A148" s="442"/>
      <c r="B148" s="439"/>
      <c r="C148" s="287" t="s">
        <v>495</v>
      </c>
      <c r="D148" s="288">
        <v>100200</v>
      </c>
      <c r="E148" s="288">
        <v>13730.63</v>
      </c>
      <c r="F148" s="475">
        <f t="shared" si="8"/>
        <v>13.703223552894212</v>
      </c>
      <c r="G148" s="426"/>
      <c r="H148" s="434"/>
    </row>
    <row r="149" spans="1:8" s="435" customFormat="1" ht="18.75" customHeight="1">
      <c r="A149" s="442"/>
      <c r="B149" s="439"/>
      <c r="C149" s="287" t="s">
        <v>515</v>
      </c>
      <c r="D149" s="288">
        <v>1055980</v>
      </c>
      <c r="E149" s="288">
        <v>29805.48</v>
      </c>
      <c r="F149" s="475">
        <f t="shared" si="8"/>
        <v>2.8225420936002577</v>
      </c>
      <c r="G149" s="426"/>
      <c r="H149" s="434"/>
    </row>
    <row r="150" spans="1:7" s="98" customFormat="1" ht="65.25" customHeight="1">
      <c r="A150" s="448" t="s">
        <v>23</v>
      </c>
      <c r="B150" s="449"/>
      <c r="C150" s="470" t="s">
        <v>533</v>
      </c>
      <c r="D150" s="95">
        <f>SUM(D151)</f>
        <v>465000</v>
      </c>
      <c r="E150" s="95">
        <f>SUM(E151)</f>
        <v>104895.62</v>
      </c>
      <c r="F150" s="471">
        <f t="shared" si="8"/>
        <v>22.558197849462363</v>
      </c>
      <c r="G150" s="177"/>
    </row>
    <row r="151" spans="1:7" s="434" customFormat="1" ht="27.75" customHeight="1">
      <c r="A151" s="450"/>
      <c r="B151" s="451" t="s">
        <v>536</v>
      </c>
      <c r="C151" s="473" t="s">
        <v>537</v>
      </c>
      <c r="D151" s="100">
        <f>SUM(D152)</f>
        <v>465000</v>
      </c>
      <c r="E151" s="100">
        <f>SUM(E152)</f>
        <v>104895.62</v>
      </c>
      <c r="F151" s="474">
        <f t="shared" si="8"/>
        <v>22.558197849462363</v>
      </c>
      <c r="G151" s="426"/>
    </row>
    <row r="152" spans="1:8" s="435" customFormat="1" ht="18.75" customHeight="1">
      <c r="A152" s="450"/>
      <c r="B152" s="451"/>
      <c r="C152" s="287" t="s">
        <v>495</v>
      </c>
      <c r="D152" s="288">
        <v>465000</v>
      </c>
      <c r="E152" s="288">
        <v>104895.62</v>
      </c>
      <c r="F152" s="475">
        <f t="shared" si="8"/>
        <v>22.558197849462363</v>
      </c>
      <c r="G152" s="426"/>
      <c r="H152" s="434"/>
    </row>
    <row r="153" spans="1:8" s="435" customFormat="1" ht="11.25" customHeight="1">
      <c r="A153" s="450"/>
      <c r="B153" s="451"/>
      <c r="C153" s="476" t="s">
        <v>511</v>
      </c>
      <c r="D153" s="100"/>
      <c r="E153" s="100"/>
      <c r="F153" s="475"/>
      <c r="G153" s="426"/>
      <c r="H153" s="434"/>
    </row>
    <row r="154" spans="1:8" s="428" customFormat="1" ht="18.75" customHeight="1">
      <c r="A154" s="444"/>
      <c r="B154" s="445"/>
      <c r="C154" s="423" t="s">
        <v>513</v>
      </c>
      <c r="D154" s="424">
        <f>SUM(D155)</f>
        <v>340000</v>
      </c>
      <c r="E154" s="424">
        <f>SUM(E155)</f>
        <v>99443</v>
      </c>
      <c r="F154" s="425">
        <f t="shared" si="8"/>
        <v>29.247941176470587</v>
      </c>
      <c r="G154" s="426"/>
      <c r="H154" s="427"/>
    </row>
    <row r="155" spans="1:8" s="435" customFormat="1" ht="18.75" customHeight="1">
      <c r="A155" s="446"/>
      <c r="B155" s="447"/>
      <c r="C155" s="431" t="s">
        <v>487</v>
      </c>
      <c r="D155" s="432">
        <v>340000</v>
      </c>
      <c r="E155" s="432">
        <v>99443</v>
      </c>
      <c r="F155" s="433">
        <f t="shared" si="8"/>
        <v>29.247941176470587</v>
      </c>
      <c r="G155" s="426"/>
      <c r="H155" s="434"/>
    </row>
    <row r="156" spans="1:8" s="435" customFormat="1" ht="18.75" customHeight="1">
      <c r="A156" s="448" t="s">
        <v>1089</v>
      </c>
      <c r="B156" s="449"/>
      <c r="C156" s="481" t="s">
        <v>540</v>
      </c>
      <c r="D156" s="95">
        <f>D157</f>
        <v>2190500</v>
      </c>
      <c r="E156" s="95">
        <f>E157</f>
        <v>707400.89</v>
      </c>
      <c r="F156" s="471">
        <f t="shared" si="8"/>
        <v>32.29403743437572</v>
      </c>
      <c r="G156" s="426"/>
      <c r="H156" s="434"/>
    </row>
    <row r="157" spans="1:8" s="435" customFormat="1" ht="29.25" customHeight="1">
      <c r="A157" s="450"/>
      <c r="B157" s="451" t="s">
        <v>541</v>
      </c>
      <c r="C157" s="473" t="s">
        <v>550</v>
      </c>
      <c r="D157" s="100">
        <f>D158</f>
        <v>2190500</v>
      </c>
      <c r="E157" s="100">
        <f>E158</f>
        <v>707400.89</v>
      </c>
      <c r="F157" s="474">
        <f t="shared" si="8"/>
        <v>32.29403743437572</v>
      </c>
      <c r="G157" s="426"/>
      <c r="H157" s="434"/>
    </row>
    <row r="158" spans="1:8" s="435" customFormat="1" ht="18.75" customHeight="1">
      <c r="A158" s="442"/>
      <c r="B158" s="439"/>
      <c r="C158" s="287" t="s">
        <v>495</v>
      </c>
      <c r="D158" s="288">
        <v>2190500</v>
      </c>
      <c r="E158" s="288">
        <v>707400.89</v>
      </c>
      <c r="F158" s="475">
        <f t="shared" si="8"/>
        <v>32.29403743437572</v>
      </c>
      <c r="G158" s="426"/>
      <c r="H158" s="434"/>
    </row>
    <row r="159" spans="1:7" s="212" customFormat="1" ht="12" customHeight="1">
      <c r="A159" s="440"/>
      <c r="B159" s="430"/>
      <c r="C159" s="476" t="s">
        <v>511</v>
      </c>
      <c r="D159" s="432"/>
      <c r="E159" s="432"/>
      <c r="F159" s="477"/>
      <c r="G159" s="177"/>
    </row>
    <row r="160" spans="1:7" s="212" customFormat="1" ht="18.75" customHeight="1">
      <c r="A160" s="443"/>
      <c r="B160" s="422"/>
      <c r="C160" s="423" t="s">
        <v>552</v>
      </c>
      <c r="D160" s="424">
        <v>2190500</v>
      </c>
      <c r="E160" s="424">
        <v>707400.89</v>
      </c>
      <c r="F160" s="425">
        <f t="shared" si="8"/>
        <v>32.29403743437572</v>
      </c>
      <c r="G160" s="177"/>
    </row>
    <row r="161" spans="1:7" s="212" customFormat="1" ht="18.75" customHeight="1">
      <c r="A161" s="448" t="s">
        <v>1090</v>
      </c>
      <c r="B161" s="449"/>
      <c r="C161" s="470" t="s">
        <v>1091</v>
      </c>
      <c r="D161" s="95">
        <f>SUM(D162,D165)</f>
        <v>2057431</v>
      </c>
      <c r="E161" s="95">
        <f>SUM(E162,E165)</f>
        <v>63474</v>
      </c>
      <c r="F161" s="471">
        <f t="shared" si="8"/>
        <v>3.0851095370877566</v>
      </c>
      <c r="G161" s="177"/>
    </row>
    <row r="162" spans="1:7" s="98" customFormat="1" ht="18.75" customHeight="1">
      <c r="A162" s="450"/>
      <c r="B162" s="451" t="s">
        <v>1019</v>
      </c>
      <c r="C162" s="473" t="s">
        <v>1020</v>
      </c>
      <c r="D162" s="100">
        <f>SUM(D163,D164)</f>
        <v>1930486</v>
      </c>
      <c r="E162" s="100">
        <f>SUM(E163,E164)</f>
        <v>0</v>
      </c>
      <c r="F162" s="475">
        <f t="shared" si="8"/>
        <v>0</v>
      </c>
      <c r="G162" s="177"/>
    </row>
    <row r="163" spans="1:7" s="98" customFormat="1" ht="18.75" customHeight="1">
      <c r="A163" s="442"/>
      <c r="B163" s="439"/>
      <c r="C163" s="287" t="s">
        <v>495</v>
      </c>
      <c r="D163" s="288">
        <v>780486</v>
      </c>
      <c r="E163" s="288">
        <v>0</v>
      </c>
      <c r="F163" s="474">
        <f t="shared" si="8"/>
        <v>0</v>
      </c>
      <c r="G163" s="177"/>
    </row>
    <row r="164" spans="1:7" s="434" customFormat="1" ht="18.75" customHeight="1">
      <c r="A164" s="440"/>
      <c r="B164" s="430"/>
      <c r="C164" s="287" t="s">
        <v>515</v>
      </c>
      <c r="D164" s="288">
        <v>1150000</v>
      </c>
      <c r="E164" s="288">
        <v>0</v>
      </c>
      <c r="F164" s="475">
        <f t="shared" si="8"/>
        <v>0</v>
      </c>
      <c r="G164" s="426"/>
    </row>
    <row r="165" spans="1:7" s="98" customFormat="1" ht="18.75" customHeight="1">
      <c r="A165" s="450"/>
      <c r="B165" s="451" t="s">
        <v>401</v>
      </c>
      <c r="C165" s="473" t="s">
        <v>423</v>
      </c>
      <c r="D165" s="100">
        <f>SUM(D166)</f>
        <v>126945</v>
      </c>
      <c r="E165" s="100">
        <f>SUM(E166)</f>
        <v>63474</v>
      </c>
      <c r="F165" s="475">
        <f>E165/D165*100</f>
        <v>50.00118161408484</v>
      </c>
      <c r="G165" s="177"/>
    </row>
    <row r="166" spans="1:7" s="98" customFormat="1" ht="18.75" customHeight="1">
      <c r="A166" s="442"/>
      <c r="B166" s="439"/>
      <c r="C166" s="287" t="s">
        <v>495</v>
      </c>
      <c r="D166" s="288">
        <v>126945</v>
      </c>
      <c r="E166" s="288">
        <v>63474</v>
      </c>
      <c r="F166" s="474">
        <f>E166/D166*100</f>
        <v>50.00118161408484</v>
      </c>
      <c r="G166" s="177"/>
    </row>
    <row r="167" spans="1:7" s="98" customFormat="1" ht="18.75" customHeight="1">
      <c r="A167" s="448" t="s">
        <v>1092</v>
      </c>
      <c r="B167" s="449"/>
      <c r="C167" s="481" t="s">
        <v>1093</v>
      </c>
      <c r="D167" s="95">
        <f>SUM(D168,D176,D183,D190,D198,D202,D204,D211)</f>
        <v>29303294</v>
      </c>
      <c r="E167" s="95">
        <f>SUM(E168,E176,E183,E190,E198,E202,E204,E211)</f>
        <v>15387259.44</v>
      </c>
      <c r="F167" s="471">
        <f t="shared" si="8"/>
        <v>52.51034044158994</v>
      </c>
      <c r="G167" s="177"/>
    </row>
    <row r="168" spans="1:7" s="434" customFormat="1" ht="18.75" customHeight="1">
      <c r="A168" s="450"/>
      <c r="B168" s="451" t="s">
        <v>1094</v>
      </c>
      <c r="C168" s="480" t="s">
        <v>1095</v>
      </c>
      <c r="D168" s="100">
        <f>SUM(D169,D175)</f>
        <v>12105986</v>
      </c>
      <c r="E168" s="100">
        <f>SUM(E169,E175)</f>
        <v>6870687.62</v>
      </c>
      <c r="F168" s="474">
        <f t="shared" si="8"/>
        <v>56.75446527032164</v>
      </c>
      <c r="G168" s="426"/>
    </row>
    <row r="169" spans="1:8" s="435" customFormat="1" ht="18.75" customHeight="1">
      <c r="A169" s="442"/>
      <c r="B169" s="439"/>
      <c r="C169" s="287" t="s">
        <v>495</v>
      </c>
      <c r="D169" s="288">
        <v>11905986</v>
      </c>
      <c r="E169" s="288">
        <v>6870687.62</v>
      </c>
      <c r="F169" s="475">
        <f t="shared" si="8"/>
        <v>57.70784225682778</v>
      </c>
      <c r="G169" s="426"/>
      <c r="H169" s="434"/>
    </row>
    <row r="170" spans="1:7" s="212" customFormat="1" ht="12" customHeight="1">
      <c r="A170" s="440"/>
      <c r="B170" s="430"/>
      <c r="C170" s="476" t="s">
        <v>511</v>
      </c>
      <c r="D170" s="432"/>
      <c r="E170" s="432"/>
      <c r="F170" s="477"/>
      <c r="G170" s="177"/>
    </row>
    <row r="171" spans="1:7" s="212" customFormat="1" ht="18.75" customHeight="1">
      <c r="A171" s="443"/>
      <c r="B171" s="422"/>
      <c r="C171" s="423" t="s">
        <v>513</v>
      </c>
      <c r="D171" s="424">
        <f>SUM(D172,D173)</f>
        <v>9805843</v>
      </c>
      <c r="E171" s="424">
        <f>SUM(E172,E173)</f>
        <v>5554466.09</v>
      </c>
      <c r="F171" s="425">
        <f aca="true" t="shared" si="9" ref="F171:F196">E171/D171*100</f>
        <v>56.644452598313066</v>
      </c>
      <c r="G171" s="177"/>
    </row>
    <row r="172" spans="1:7" s="98" customFormat="1" ht="18.75" customHeight="1">
      <c r="A172" s="440"/>
      <c r="B172" s="430"/>
      <c r="C172" s="431" t="s">
        <v>487</v>
      </c>
      <c r="D172" s="432">
        <v>8299098</v>
      </c>
      <c r="E172" s="432">
        <v>4772608.17</v>
      </c>
      <c r="F172" s="433">
        <f t="shared" si="9"/>
        <v>57.50755286899854</v>
      </c>
      <c r="G172" s="177"/>
    </row>
    <row r="173" spans="1:7" s="98" customFormat="1" ht="18.75" customHeight="1">
      <c r="A173" s="440"/>
      <c r="B173" s="430"/>
      <c r="C173" s="431" t="s">
        <v>488</v>
      </c>
      <c r="D173" s="432">
        <v>1506745</v>
      </c>
      <c r="E173" s="432">
        <v>781857.92</v>
      </c>
      <c r="F173" s="433">
        <f t="shared" si="9"/>
        <v>51.89052693056888</v>
      </c>
      <c r="G173" s="177"/>
    </row>
    <row r="174" spans="1:7" s="427" customFormat="1" ht="18.75" customHeight="1">
      <c r="A174" s="443"/>
      <c r="B174" s="422"/>
      <c r="C174" s="423" t="s">
        <v>514</v>
      </c>
      <c r="D174" s="424">
        <v>306385</v>
      </c>
      <c r="E174" s="424">
        <v>139786.75</v>
      </c>
      <c r="F174" s="425">
        <f t="shared" si="9"/>
        <v>45.624541018653005</v>
      </c>
      <c r="G174" s="426"/>
    </row>
    <row r="175" spans="1:7" s="434" customFormat="1" ht="18.75" customHeight="1">
      <c r="A175" s="440"/>
      <c r="B175" s="430"/>
      <c r="C175" s="287" t="s">
        <v>515</v>
      </c>
      <c r="D175" s="288">
        <v>200000</v>
      </c>
      <c r="E175" s="288">
        <v>0</v>
      </c>
      <c r="F175" s="475">
        <f t="shared" si="9"/>
        <v>0</v>
      </c>
      <c r="G175" s="426"/>
    </row>
    <row r="176" spans="1:7" s="98" customFormat="1" ht="18.75" customHeight="1">
      <c r="A176" s="450"/>
      <c r="B176" s="451" t="s">
        <v>1230</v>
      </c>
      <c r="C176" s="480" t="s">
        <v>1231</v>
      </c>
      <c r="D176" s="100">
        <f>D177</f>
        <v>602242</v>
      </c>
      <c r="E176" s="100">
        <f>E177</f>
        <v>242367.57</v>
      </c>
      <c r="F176" s="474">
        <f>E176/D176*100</f>
        <v>40.24421578036736</v>
      </c>
      <c r="G176" s="177"/>
    </row>
    <row r="177" spans="1:7" s="98" customFormat="1" ht="18.75" customHeight="1">
      <c r="A177" s="442"/>
      <c r="B177" s="439"/>
      <c r="C177" s="287" t="s">
        <v>495</v>
      </c>
      <c r="D177" s="288">
        <v>602242</v>
      </c>
      <c r="E177" s="288">
        <v>242367.57</v>
      </c>
      <c r="F177" s="475">
        <f>E177/D177*100</f>
        <v>40.24421578036736</v>
      </c>
      <c r="G177" s="177"/>
    </row>
    <row r="178" spans="1:7" s="98" customFormat="1" ht="12" customHeight="1">
      <c r="A178" s="440"/>
      <c r="B178" s="430"/>
      <c r="C178" s="476" t="s">
        <v>511</v>
      </c>
      <c r="D178" s="432"/>
      <c r="E178" s="432"/>
      <c r="F178" s="477"/>
      <c r="G178" s="177"/>
    </row>
    <row r="179" spans="1:7" s="212" customFormat="1" ht="18.75" customHeight="1">
      <c r="A179" s="443"/>
      <c r="B179" s="422"/>
      <c r="C179" s="423" t="s">
        <v>513</v>
      </c>
      <c r="D179" s="424">
        <f>SUM(D180,D181)</f>
        <v>443353</v>
      </c>
      <c r="E179" s="424">
        <f>SUM(E180,E181)</f>
        <v>189151.52000000002</v>
      </c>
      <c r="F179" s="425">
        <f>E179/D179*100</f>
        <v>42.6638637834863</v>
      </c>
      <c r="G179" s="177"/>
    </row>
    <row r="180" spans="1:7" s="98" customFormat="1" ht="18.75" customHeight="1">
      <c r="A180" s="440"/>
      <c r="B180" s="430"/>
      <c r="C180" s="431" t="s">
        <v>487</v>
      </c>
      <c r="D180" s="432">
        <v>367434</v>
      </c>
      <c r="E180" s="432">
        <v>161090.04</v>
      </c>
      <c r="F180" s="433">
        <f>E180/D180*100</f>
        <v>43.84189813680825</v>
      </c>
      <c r="G180" s="177"/>
    </row>
    <row r="181" spans="1:7" s="98" customFormat="1" ht="18.75" customHeight="1">
      <c r="A181" s="440"/>
      <c r="B181" s="430"/>
      <c r="C181" s="431" t="s">
        <v>488</v>
      </c>
      <c r="D181" s="432">
        <v>75919</v>
      </c>
      <c r="E181" s="432">
        <v>28061.48</v>
      </c>
      <c r="F181" s="433">
        <f>E181/D181*100</f>
        <v>36.962394130586546</v>
      </c>
      <c r="G181" s="177"/>
    </row>
    <row r="182" spans="1:7" s="427" customFormat="1" ht="18.75" customHeight="1">
      <c r="A182" s="443"/>
      <c r="B182" s="422"/>
      <c r="C182" s="423" t="s">
        <v>514</v>
      </c>
      <c r="D182" s="424">
        <v>73338</v>
      </c>
      <c r="E182" s="424">
        <v>19070.64</v>
      </c>
      <c r="F182" s="425">
        <f>E182/D182*100</f>
        <v>26.003763396874746</v>
      </c>
      <c r="G182" s="426"/>
    </row>
    <row r="183" spans="1:8" s="435" customFormat="1" ht="18.75" customHeight="1">
      <c r="A183" s="450"/>
      <c r="B183" s="451" t="s">
        <v>555</v>
      </c>
      <c r="C183" s="480" t="s">
        <v>556</v>
      </c>
      <c r="D183" s="100">
        <f>SUM(D184,D187)</f>
        <v>6125353</v>
      </c>
      <c r="E183" s="100">
        <f>SUM(E184,E187)</f>
        <v>3245469</v>
      </c>
      <c r="F183" s="474">
        <f t="shared" si="9"/>
        <v>52.984195359842936</v>
      </c>
      <c r="G183" s="426"/>
      <c r="H183" s="434"/>
    </row>
    <row r="184" spans="1:8" s="435" customFormat="1" ht="18.75" customHeight="1">
      <c r="A184" s="442"/>
      <c r="B184" s="439"/>
      <c r="C184" s="287" t="s">
        <v>495</v>
      </c>
      <c r="D184" s="288">
        <v>5240353</v>
      </c>
      <c r="E184" s="288">
        <v>3065469</v>
      </c>
      <c r="F184" s="475">
        <f t="shared" si="9"/>
        <v>58.4973760355457</v>
      </c>
      <c r="G184" s="426"/>
      <c r="H184" s="434"/>
    </row>
    <row r="185" spans="1:8" s="435" customFormat="1" ht="12" customHeight="1">
      <c r="A185" s="440"/>
      <c r="B185" s="430"/>
      <c r="C185" s="476" t="s">
        <v>511</v>
      </c>
      <c r="D185" s="432"/>
      <c r="E185" s="432"/>
      <c r="F185" s="477"/>
      <c r="G185" s="426"/>
      <c r="H185" s="434"/>
    </row>
    <row r="186" spans="1:7" s="427" customFormat="1" ht="18.75" customHeight="1">
      <c r="A186" s="443"/>
      <c r="B186" s="422"/>
      <c r="C186" s="423" t="s">
        <v>514</v>
      </c>
      <c r="D186" s="424">
        <v>5240353</v>
      </c>
      <c r="E186" s="424">
        <v>3065469</v>
      </c>
      <c r="F186" s="425">
        <f t="shared" si="9"/>
        <v>58.4973760355457</v>
      </c>
      <c r="G186" s="426"/>
    </row>
    <row r="187" spans="1:7" s="434" customFormat="1" ht="18.75" customHeight="1">
      <c r="A187" s="442"/>
      <c r="B187" s="439"/>
      <c r="C187" s="287" t="s">
        <v>515</v>
      </c>
      <c r="D187" s="288">
        <v>885000</v>
      </c>
      <c r="E187" s="288">
        <v>180000</v>
      </c>
      <c r="F187" s="475">
        <f t="shared" si="9"/>
        <v>20.33898305084746</v>
      </c>
      <c r="G187" s="426"/>
    </row>
    <row r="188" spans="1:7" s="434" customFormat="1" ht="12" customHeight="1">
      <c r="A188" s="442"/>
      <c r="B188" s="439"/>
      <c r="C188" s="476" t="s">
        <v>511</v>
      </c>
      <c r="D188" s="432"/>
      <c r="E188" s="432"/>
      <c r="F188" s="477"/>
      <c r="G188" s="426"/>
    </row>
    <row r="189" spans="1:7" s="434" customFormat="1" ht="18.75" customHeight="1">
      <c r="A189" s="442"/>
      <c r="B189" s="439"/>
      <c r="C189" s="423" t="s">
        <v>514</v>
      </c>
      <c r="D189" s="424">
        <v>885000</v>
      </c>
      <c r="E189" s="424">
        <v>180000</v>
      </c>
      <c r="F189" s="425">
        <f>E189/D189*100</f>
        <v>20.33898305084746</v>
      </c>
      <c r="G189" s="426"/>
    </row>
    <row r="190" spans="1:8" s="435" customFormat="1" ht="18.75" customHeight="1">
      <c r="A190" s="450"/>
      <c r="B190" s="451" t="s">
        <v>1096</v>
      </c>
      <c r="C190" s="480" t="s">
        <v>1097</v>
      </c>
      <c r="D190" s="100">
        <f>SUM(D191,D197)</f>
        <v>9081294</v>
      </c>
      <c r="E190" s="100">
        <f>SUM(E191,E197)</f>
        <v>4470457.56</v>
      </c>
      <c r="F190" s="474">
        <f t="shared" si="9"/>
        <v>49.22709869320385</v>
      </c>
      <c r="G190" s="426"/>
      <c r="H190" s="434"/>
    </row>
    <row r="191" spans="1:8" s="435" customFormat="1" ht="18.75" customHeight="1">
      <c r="A191" s="442"/>
      <c r="B191" s="439"/>
      <c r="C191" s="287" t="s">
        <v>495</v>
      </c>
      <c r="D191" s="288">
        <v>9051294</v>
      </c>
      <c r="E191" s="288">
        <v>4470457.56</v>
      </c>
      <c r="F191" s="475">
        <f t="shared" si="9"/>
        <v>49.390259116541785</v>
      </c>
      <c r="G191" s="426"/>
      <c r="H191" s="434"/>
    </row>
    <row r="192" spans="1:8" s="435" customFormat="1" ht="12" customHeight="1">
      <c r="A192" s="440"/>
      <c r="B192" s="430"/>
      <c r="C192" s="476" t="s">
        <v>511</v>
      </c>
      <c r="D192" s="432"/>
      <c r="E192" s="432"/>
      <c r="F192" s="477"/>
      <c r="G192" s="426"/>
      <c r="H192" s="434"/>
    </row>
    <row r="193" spans="1:7" s="212" customFormat="1" ht="18.75" customHeight="1">
      <c r="A193" s="443"/>
      <c r="B193" s="422"/>
      <c r="C193" s="423" t="s">
        <v>513</v>
      </c>
      <c r="D193" s="424">
        <f>SUM(D194,D195)</f>
        <v>6081371</v>
      </c>
      <c r="E193" s="424">
        <f>SUM(E194,E195)</f>
        <v>3359385.8600000003</v>
      </c>
      <c r="F193" s="425">
        <f t="shared" si="9"/>
        <v>55.2406005159034</v>
      </c>
      <c r="G193" s="177"/>
    </row>
    <row r="194" spans="1:7" s="98" customFormat="1" ht="18.75" customHeight="1">
      <c r="A194" s="440"/>
      <c r="B194" s="430"/>
      <c r="C194" s="431" t="s">
        <v>487</v>
      </c>
      <c r="D194" s="432">
        <v>5118038</v>
      </c>
      <c r="E194" s="432">
        <v>2884318.43</v>
      </c>
      <c r="F194" s="433">
        <f t="shared" si="9"/>
        <v>56.35594010829932</v>
      </c>
      <c r="G194" s="177"/>
    </row>
    <row r="195" spans="1:7" s="98" customFormat="1" ht="18.75" customHeight="1">
      <c r="A195" s="440"/>
      <c r="B195" s="430"/>
      <c r="C195" s="431" t="s">
        <v>488</v>
      </c>
      <c r="D195" s="432">
        <v>963333</v>
      </c>
      <c r="E195" s="432">
        <v>475067.43</v>
      </c>
      <c r="F195" s="433">
        <f t="shared" si="9"/>
        <v>49.31497519549315</v>
      </c>
      <c r="G195" s="177"/>
    </row>
    <row r="196" spans="1:7" s="427" customFormat="1" ht="16.5" customHeight="1">
      <c r="A196" s="443"/>
      <c r="B196" s="422"/>
      <c r="C196" s="423" t="s">
        <v>514</v>
      </c>
      <c r="D196" s="424">
        <v>528356</v>
      </c>
      <c r="E196" s="424">
        <v>240085.3</v>
      </c>
      <c r="F196" s="425">
        <f t="shared" si="9"/>
        <v>45.44006313924702</v>
      </c>
      <c r="G196" s="426"/>
    </row>
    <row r="197" spans="1:8" s="435" customFormat="1" ht="18.75" customHeight="1">
      <c r="A197" s="442"/>
      <c r="B197" s="439"/>
      <c r="C197" s="287" t="s">
        <v>515</v>
      </c>
      <c r="D197" s="288">
        <v>30000</v>
      </c>
      <c r="E197" s="288">
        <v>0</v>
      </c>
      <c r="F197" s="475">
        <f>E197/D197*100</f>
        <v>0</v>
      </c>
      <c r="G197" s="426"/>
      <c r="H197" s="434"/>
    </row>
    <row r="198" spans="1:7" s="98" customFormat="1" ht="17.25" customHeight="1">
      <c r="A198" s="440"/>
      <c r="B198" s="451" t="s">
        <v>1288</v>
      </c>
      <c r="C198" s="480" t="s">
        <v>1289</v>
      </c>
      <c r="D198" s="100">
        <f>D199</f>
        <v>46000</v>
      </c>
      <c r="E198" s="100">
        <f>E199</f>
        <v>19766.93</v>
      </c>
      <c r="F198" s="474">
        <f>E198/D198*100</f>
        <v>42.97158695652174</v>
      </c>
      <c r="G198" s="177"/>
    </row>
    <row r="199" spans="1:7" s="98" customFormat="1" ht="17.25" customHeight="1">
      <c r="A199" s="440"/>
      <c r="B199" s="439"/>
      <c r="C199" s="287" t="s">
        <v>495</v>
      </c>
      <c r="D199" s="288">
        <v>46000</v>
      </c>
      <c r="E199" s="288">
        <v>19766.93</v>
      </c>
      <c r="F199" s="475">
        <f>E199/D199*100</f>
        <v>42.97158695652174</v>
      </c>
      <c r="G199" s="177"/>
    </row>
    <row r="200" spans="1:8" s="435" customFormat="1" ht="12" customHeight="1">
      <c r="A200" s="440"/>
      <c r="B200" s="430"/>
      <c r="C200" s="476" t="s">
        <v>511</v>
      </c>
      <c r="D200" s="432"/>
      <c r="E200" s="432"/>
      <c r="F200" s="477"/>
      <c r="G200" s="426"/>
      <c r="H200" s="434"/>
    </row>
    <row r="201" spans="1:7" s="427" customFormat="1" ht="16.5" customHeight="1">
      <c r="A201" s="443"/>
      <c r="B201" s="422"/>
      <c r="C201" s="423" t="s">
        <v>514</v>
      </c>
      <c r="D201" s="424">
        <v>11000</v>
      </c>
      <c r="E201" s="424">
        <v>6600</v>
      </c>
      <c r="F201" s="425">
        <f>E201/D201*100</f>
        <v>60</v>
      </c>
      <c r="G201" s="426"/>
    </row>
    <row r="202" spans="1:7" s="98" customFormat="1" ht="18.75" customHeight="1">
      <c r="A202" s="450"/>
      <c r="B202" s="451" t="s">
        <v>583</v>
      </c>
      <c r="C202" s="480" t="s">
        <v>584</v>
      </c>
      <c r="D202" s="100">
        <f>D203</f>
        <v>116359</v>
      </c>
      <c r="E202" s="100">
        <f>E203</f>
        <v>20382.17</v>
      </c>
      <c r="F202" s="474">
        <f aca="true" t="shared" si="10" ref="F202:F219">E202/D202*100</f>
        <v>17.516625271788172</v>
      </c>
      <c r="G202" s="177"/>
    </row>
    <row r="203" spans="1:7" s="434" customFormat="1" ht="18.75" customHeight="1">
      <c r="A203" s="442"/>
      <c r="B203" s="439"/>
      <c r="C203" s="287" t="s">
        <v>495</v>
      </c>
      <c r="D203" s="288">
        <v>116359</v>
      </c>
      <c r="E203" s="288">
        <v>20382.17</v>
      </c>
      <c r="F203" s="475">
        <f t="shared" si="10"/>
        <v>17.516625271788172</v>
      </c>
      <c r="G203" s="426"/>
    </row>
    <row r="204" spans="1:7" s="98" customFormat="1" ht="18.75" customHeight="1">
      <c r="A204" s="450"/>
      <c r="B204" s="451" t="s">
        <v>291</v>
      </c>
      <c r="C204" s="473" t="s">
        <v>292</v>
      </c>
      <c r="D204" s="100">
        <f>SUM(D205,D210)</f>
        <v>683511</v>
      </c>
      <c r="E204" s="100">
        <f>SUM(E205,E210)</f>
        <v>352302.01</v>
      </c>
      <c r="F204" s="474">
        <f t="shared" si="10"/>
        <v>51.54299052977933</v>
      </c>
      <c r="G204" s="177"/>
    </row>
    <row r="205" spans="1:8" s="435" customFormat="1" ht="18.75" customHeight="1">
      <c r="A205" s="442"/>
      <c r="B205" s="439"/>
      <c r="C205" s="287" t="s">
        <v>495</v>
      </c>
      <c r="D205" s="288">
        <v>683511</v>
      </c>
      <c r="E205" s="288">
        <v>352302.01</v>
      </c>
      <c r="F205" s="475">
        <f>E205/D205*100</f>
        <v>51.54299052977933</v>
      </c>
      <c r="G205" s="426"/>
      <c r="H205" s="434"/>
    </row>
    <row r="206" spans="1:7" s="98" customFormat="1" ht="12" customHeight="1">
      <c r="A206" s="440"/>
      <c r="B206" s="430"/>
      <c r="C206" s="476" t="s">
        <v>511</v>
      </c>
      <c r="D206" s="432"/>
      <c r="E206" s="432"/>
      <c r="F206" s="477"/>
      <c r="G206" s="177"/>
    </row>
    <row r="207" spans="1:7" s="427" customFormat="1" ht="18.75" customHeight="1">
      <c r="A207" s="443"/>
      <c r="B207" s="422"/>
      <c r="C207" s="423" t="s">
        <v>513</v>
      </c>
      <c r="D207" s="424">
        <f>SUM(D208,D209)</f>
        <v>561153</v>
      </c>
      <c r="E207" s="424">
        <f>SUM(E208,E209)</f>
        <v>291500.73</v>
      </c>
      <c r="F207" s="425">
        <f>E207/D207*100</f>
        <v>51.946747143827075</v>
      </c>
      <c r="G207" s="426"/>
    </row>
    <row r="208" spans="1:7" s="434" customFormat="1" ht="18.75" customHeight="1">
      <c r="A208" s="440"/>
      <c r="B208" s="430"/>
      <c r="C208" s="431" t="s">
        <v>487</v>
      </c>
      <c r="D208" s="432">
        <v>476141</v>
      </c>
      <c r="E208" s="432">
        <v>249015.89</v>
      </c>
      <c r="F208" s="433">
        <f>E208/D208*100</f>
        <v>52.29877074228012</v>
      </c>
      <c r="G208" s="426"/>
    </row>
    <row r="209" spans="1:7" s="434" customFormat="1" ht="18.75" customHeight="1">
      <c r="A209" s="440"/>
      <c r="B209" s="430"/>
      <c r="C209" s="431" t="s">
        <v>488</v>
      </c>
      <c r="D209" s="432">
        <v>85012</v>
      </c>
      <c r="E209" s="432">
        <v>42484.84</v>
      </c>
      <c r="F209" s="433">
        <f>E209/D209*100</f>
        <v>49.97510939632052</v>
      </c>
      <c r="G209" s="426"/>
    </row>
    <row r="210" spans="1:7" s="434" customFormat="1" ht="18.75" customHeight="1" hidden="1">
      <c r="A210" s="440"/>
      <c r="B210" s="430"/>
      <c r="C210" s="287" t="s">
        <v>515</v>
      </c>
      <c r="D210" s="288">
        <v>0</v>
      </c>
      <c r="E210" s="288"/>
      <c r="F210" s="475" t="e">
        <f>E210/D210*100</f>
        <v>#DIV/0!</v>
      </c>
      <c r="G210" s="426"/>
    </row>
    <row r="211" spans="1:8" s="435" customFormat="1" ht="18.75" customHeight="1">
      <c r="A211" s="450"/>
      <c r="B211" s="451" t="s">
        <v>585</v>
      </c>
      <c r="C211" s="480" t="s">
        <v>1042</v>
      </c>
      <c r="D211" s="100">
        <f>SUM(D212,D218)</f>
        <v>542549</v>
      </c>
      <c r="E211" s="100">
        <f>SUM(E212,E218)</f>
        <v>165826.58</v>
      </c>
      <c r="F211" s="474">
        <f t="shared" si="10"/>
        <v>30.564350869691033</v>
      </c>
      <c r="G211" s="426"/>
      <c r="H211" s="434"/>
    </row>
    <row r="212" spans="1:8" s="435" customFormat="1" ht="18.75" customHeight="1">
      <c r="A212" s="442"/>
      <c r="B212" s="439"/>
      <c r="C212" s="287" t="s">
        <v>495</v>
      </c>
      <c r="D212" s="288">
        <v>542549</v>
      </c>
      <c r="E212" s="288">
        <v>165826.58</v>
      </c>
      <c r="F212" s="475">
        <f t="shared" si="10"/>
        <v>30.564350869691033</v>
      </c>
      <c r="G212" s="426"/>
      <c r="H212" s="434"/>
    </row>
    <row r="213" spans="1:7" s="98" customFormat="1" ht="12" customHeight="1">
      <c r="A213" s="440"/>
      <c r="B213" s="430"/>
      <c r="C213" s="476" t="s">
        <v>511</v>
      </c>
      <c r="D213" s="432"/>
      <c r="E213" s="432"/>
      <c r="F213" s="477"/>
      <c r="G213" s="177"/>
    </row>
    <row r="214" spans="1:7" s="427" customFormat="1" ht="18.75" customHeight="1">
      <c r="A214" s="443"/>
      <c r="B214" s="422"/>
      <c r="C214" s="423" t="s">
        <v>513</v>
      </c>
      <c r="D214" s="424">
        <f>SUM(D215,D216)</f>
        <v>76000</v>
      </c>
      <c r="E214" s="424">
        <f>SUM(E215,E216)</f>
        <v>0</v>
      </c>
      <c r="F214" s="425">
        <f t="shared" si="10"/>
        <v>0</v>
      </c>
      <c r="G214" s="426"/>
    </row>
    <row r="215" spans="1:7" s="434" customFormat="1" ht="18.75" customHeight="1">
      <c r="A215" s="440"/>
      <c r="B215" s="430"/>
      <c r="C215" s="431" t="s">
        <v>487</v>
      </c>
      <c r="D215" s="432">
        <v>56740</v>
      </c>
      <c r="E215" s="432">
        <v>0</v>
      </c>
      <c r="F215" s="433">
        <f t="shared" si="10"/>
        <v>0</v>
      </c>
      <c r="G215" s="426"/>
    </row>
    <row r="216" spans="1:7" s="434" customFormat="1" ht="18.75" customHeight="1">
      <c r="A216" s="440"/>
      <c r="B216" s="430"/>
      <c r="C216" s="431" t="s">
        <v>488</v>
      </c>
      <c r="D216" s="432">
        <v>19260</v>
      </c>
      <c r="E216" s="432">
        <v>0</v>
      </c>
      <c r="F216" s="433">
        <f t="shared" si="10"/>
        <v>0</v>
      </c>
      <c r="G216" s="426"/>
    </row>
    <row r="217" spans="1:7" s="427" customFormat="1" ht="16.5" customHeight="1">
      <c r="A217" s="443"/>
      <c r="B217" s="492"/>
      <c r="C217" s="493" t="s">
        <v>514</v>
      </c>
      <c r="D217" s="494">
        <v>14000</v>
      </c>
      <c r="E217" s="494">
        <v>10000</v>
      </c>
      <c r="F217" s="495">
        <f>E217/D217*100</f>
        <v>71.42857142857143</v>
      </c>
      <c r="G217" s="426"/>
    </row>
    <row r="218" spans="1:8" s="435" customFormat="1" ht="18.75" customHeight="1" hidden="1">
      <c r="A218" s="438"/>
      <c r="B218" s="439"/>
      <c r="C218" s="287" t="s">
        <v>515</v>
      </c>
      <c r="D218" s="288">
        <v>0</v>
      </c>
      <c r="E218" s="288">
        <v>0</v>
      </c>
      <c r="F218" s="475" t="e">
        <f>E218/D218*100</f>
        <v>#DIV/0!</v>
      </c>
      <c r="G218" s="426"/>
      <c r="H218" s="434"/>
    </row>
    <row r="219" spans="1:7" s="98" customFormat="1" ht="18.75" customHeight="1">
      <c r="A219" s="448" t="s">
        <v>1101</v>
      </c>
      <c r="B219" s="449"/>
      <c r="C219" s="481" t="s">
        <v>1102</v>
      </c>
      <c r="D219" s="95">
        <f>SUM(D220,D227,D234,D240,D248)</f>
        <v>1350340</v>
      </c>
      <c r="E219" s="95">
        <f>SUM(E220,E227,E234,E240,E248)</f>
        <v>309128.9</v>
      </c>
      <c r="F219" s="471">
        <f t="shared" si="10"/>
        <v>22.89267147533214</v>
      </c>
      <c r="G219" s="177"/>
    </row>
    <row r="220" spans="1:8" s="435" customFormat="1" ht="18.75" customHeight="1">
      <c r="A220" s="450"/>
      <c r="B220" s="451" t="s">
        <v>590</v>
      </c>
      <c r="C220" s="496" t="s">
        <v>591</v>
      </c>
      <c r="D220" s="497">
        <f>D221</f>
        <v>42000</v>
      </c>
      <c r="E220" s="497">
        <f>E221</f>
        <v>13266.7</v>
      </c>
      <c r="F220" s="474">
        <f aca="true" t="shared" si="11" ref="F220:F275">E220/D220*100</f>
        <v>31.587380952380954</v>
      </c>
      <c r="G220" s="426"/>
      <c r="H220" s="434"/>
    </row>
    <row r="221" spans="1:7" s="434" customFormat="1" ht="18.75" customHeight="1">
      <c r="A221" s="442"/>
      <c r="B221" s="439"/>
      <c r="C221" s="287" t="s">
        <v>495</v>
      </c>
      <c r="D221" s="288">
        <v>42000</v>
      </c>
      <c r="E221" s="288">
        <v>13266.7</v>
      </c>
      <c r="F221" s="475">
        <f t="shared" si="11"/>
        <v>31.587380952380954</v>
      </c>
      <c r="G221" s="426"/>
    </row>
    <row r="222" spans="1:8" s="435" customFormat="1" ht="12" customHeight="1">
      <c r="A222" s="440"/>
      <c r="B222" s="430"/>
      <c r="C222" s="476" t="s">
        <v>511</v>
      </c>
      <c r="D222" s="432"/>
      <c r="E222" s="432"/>
      <c r="F222" s="477"/>
      <c r="G222" s="426"/>
      <c r="H222" s="434"/>
    </row>
    <row r="223" spans="1:8" s="428" customFormat="1" ht="15.75" customHeight="1">
      <c r="A223" s="443"/>
      <c r="B223" s="422"/>
      <c r="C223" s="423" t="s">
        <v>513</v>
      </c>
      <c r="D223" s="424">
        <f>SUM(D224,D225)</f>
        <v>7700</v>
      </c>
      <c r="E223" s="424">
        <f>SUM(E224,E225)</f>
        <v>3390</v>
      </c>
      <c r="F223" s="425">
        <f t="shared" si="11"/>
        <v>44.02597402597402</v>
      </c>
      <c r="G223" s="426"/>
      <c r="H223" s="427"/>
    </row>
    <row r="224" spans="1:8" s="435" customFormat="1" ht="15.75" customHeight="1">
      <c r="A224" s="440"/>
      <c r="B224" s="430"/>
      <c r="C224" s="431" t="s">
        <v>487</v>
      </c>
      <c r="D224" s="432">
        <v>7700</v>
      </c>
      <c r="E224" s="432">
        <v>3390</v>
      </c>
      <c r="F224" s="433">
        <f t="shared" si="11"/>
        <v>44.02597402597402</v>
      </c>
      <c r="G224" s="426"/>
      <c r="H224" s="434"/>
    </row>
    <row r="225" spans="1:8" s="435" customFormat="1" ht="15.75" customHeight="1" hidden="1">
      <c r="A225" s="440"/>
      <c r="B225" s="430"/>
      <c r="C225" s="431" t="s">
        <v>488</v>
      </c>
      <c r="D225" s="432">
        <v>0</v>
      </c>
      <c r="E225" s="432"/>
      <c r="F225" s="433" t="e">
        <f>E225/D225*100</f>
        <v>#DIV/0!</v>
      </c>
      <c r="G225" s="426"/>
      <c r="H225" s="434"/>
    </row>
    <row r="226" spans="1:8" s="428" customFormat="1" ht="18.75" customHeight="1">
      <c r="A226" s="443"/>
      <c r="B226" s="422"/>
      <c r="C226" s="423" t="s">
        <v>514</v>
      </c>
      <c r="D226" s="424">
        <v>9200</v>
      </c>
      <c r="E226" s="424">
        <v>4000</v>
      </c>
      <c r="F226" s="425">
        <f t="shared" si="11"/>
        <v>43.47826086956522</v>
      </c>
      <c r="G226" s="426"/>
      <c r="H226" s="427"/>
    </row>
    <row r="227" spans="1:7" s="98" customFormat="1" ht="18.75" customHeight="1">
      <c r="A227" s="450"/>
      <c r="B227" s="451" t="s">
        <v>592</v>
      </c>
      <c r="C227" s="473" t="s">
        <v>593</v>
      </c>
      <c r="D227" s="100">
        <f>SUM(D228)</f>
        <v>14400</v>
      </c>
      <c r="E227" s="100">
        <f>SUM(E228)</f>
        <v>10990.28</v>
      </c>
      <c r="F227" s="475">
        <f t="shared" si="11"/>
        <v>76.32138888888889</v>
      </c>
      <c r="G227" s="177"/>
    </row>
    <row r="228" spans="1:7" s="434" customFormat="1" ht="18.75" customHeight="1">
      <c r="A228" s="440"/>
      <c r="B228" s="430"/>
      <c r="C228" s="287" t="s">
        <v>495</v>
      </c>
      <c r="D228" s="288">
        <v>14400</v>
      </c>
      <c r="E228" s="288">
        <v>10990.28</v>
      </c>
      <c r="F228" s="475">
        <f t="shared" si="11"/>
        <v>76.32138888888889</v>
      </c>
      <c r="G228" s="426"/>
    </row>
    <row r="229" spans="1:7" s="434" customFormat="1" ht="12.75" customHeight="1">
      <c r="A229" s="440"/>
      <c r="B229" s="430"/>
      <c r="C229" s="476" t="s">
        <v>511</v>
      </c>
      <c r="D229" s="432"/>
      <c r="E229" s="432"/>
      <c r="F229" s="477"/>
      <c r="G229" s="426"/>
    </row>
    <row r="230" spans="1:7" s="427" customFormat="1" ht="18" customHeight="1" hidden="1">
      <c r="A230" s="443"/>
      <c r="B230" s="422"/>
      <c r="C230" s="423" t="s">
        <v>513</v>
      </c>
      <c r="D230" s="424">
        <f>SUM(D231,D232)</f>
        <v>0</v>
      </c>
      <c r="E230" s="424">
        <f>SUM(E231,E232)</f>
        <v>0</v>
      </c>
      <c r="F230" s="425" t="e">
        <f>E230/D230*100</f>
        <v>#DIV/0!</v>
      </c>
      <c r="G230" s="426"/>
    </row>
    <row r="231" spans="1:7" s="434" customFormat="1" ht="18" customHeight="1" hidden="1">
      <c r="A231" s="440"/>
      <c r="B231" s="430"/>
      <c r="C231" s="431" t="s">
        <v>487</v>
      </c>
      <c r="D231" s="432">
        <v>0</v>
      </c>
      <c r="E231" s="432">
        <v>0</v>
      </c>
      <c r="F231" s="433" t="e">
        <f>E231/D231*100</f>
        <v>#DIV/0!</v>
      </c>
      <c r="G231" s="426"/>
    </row>
    <row r="232" spans="1:7" s="434" customFormat="1" ht="18" customHeight="1" hidden="1">
      <c r="A232" s="440"/>
      <c r="B232" s="430"/>
      <c r="C232" s="431" t="s">
        <v>488</v>
      </c>
      <c r="D232" s="432">
        <v>0</v>
      </c>
      <c r="E232" s="432">
        <v>0</v>
      </c>
      <c r="F232" s="433" t="e">
        <f>E232/D232*100</f>
        <v>#DIV/0!</v>
      </c>
      <c r="G232" s="426"/>
    </row>
    <row r="233" spans="1:7" s="427" customFormat="1" ht="18" customHeight="1">
      <c r="A233" s="443"/>
      <c r="B233" s="422"/>
      <c r="C233" s="423" t="s">
        <v>514</v>
      </c>
      <c r="D233" s="424">
        <v>8000</v>
      </c>
      <c r="E233" s="424">
        <v>8000</v>
      </c>
      <c r="F233" s="425">
        <f>E233/D233*100</f>
        <v>100</v>
      </c>
      <c r="G233" s="426"/>
    </row>
    <row r="234" spans="1:8" s="435" customFormat="1" ht="18.75" customHeight="1">
      <c r="A234" s="450"/>
      <c r="B234" s="451" t="s">
        <v>594</v>
      </c>
      <c r="C234" s="473" t="s">
        <v>595</v>
      </c>
      <c r="D234" s="100">
        <f>SUM(D235)</f>
        <v>33940</v>
      </c>
      <c r="E234" s="100">
        <f>SUM(E235)</f>
        <v>12188.22</v>
      </c>
      <c r="F234" s="475">
        <f t="shared" si="11"/>
        <v>35.91107837360047</v>
      </c>
      <c r="G234" s="426"/>
      <c r="H234" s="434"/>
    </row>
    <row r="235" spans="1:8" s="435" customFormat="1" ht="18.75" customHeight="1">
      <c r="A235" s="442"/>
      <c r="B235" s="439"/>
      <c r="C235" s="287" t="s">
        <v>495</v>
      </c>
      <c r="D235" s="288">
        <v>33940</v>
      </c>
      <c r="E235" s="288">
        <v>12188.22</v>
      </c>
      <c r="F235" s="475">
        <f t="shared" si="11"/>
        <v>35.91107837360047</v>
      </c>
      <c r="G235" s="426"/>
      <c r="H235" s="434"/>
    </row>
    <row r="236" spans="1:8" s="435" customFormat="1" ht="10.5" customHeight="1">
      <c r="A236" s="442"/>
      <c r="B236" s="439"/>
      <c r="C236" s="476" t="s">
        <v>511</v>
      </c>
      <c r="D236" s="432"/>
      <c r="E236" s="432"/>
      <c r="F236" s="477"/>
      <c r="G236" s="426"/>
      <c r="H236" s="434"/>
    </row>
    <row r="237" spans="1:7" s="427" customFormat="1" ht="18" customHeight="1" hidden="1">
      <c r="A237" s="443"/>
      <c r="B237" s="422"/>
      <c r="C237" s="423" t="s">
        <v>513</v>
      </c>
      <c r="D237" s="424">
        <f>SUM(D238)</f>
        <v>0</v>
      </c>
      <c r="E237" s="424">
        <f>SUM(E238)</f>
        <v>0</v>
      </c>
      <c r="F237" s="425" t="e">
        <f>E237/D237*100</f>
        <v>#DIV/0!</v>
      </c>
      <c r="G237" s="426"/>
    </row>
    <row r="238" spans="1:7" s="434" customFormat="1" ht="18" customHeight="1" hidden="1">
      <c r="A238" s="440"/>
      <c r="B238" s="430"/>
      <c r="C238" s="431" t="s">
        <v>487</v>
      </c>
      <c r="D238" s="432">
        <v>0</v>
      </c>
      <c r="E238" s="432"/>
      <c r="F238" s="433" t="e">
        <f>E238/D238*100</f>
        <v>#DIV/0!</v>
      </c>
      <c r="G238" s="426"/>
    </row>
    <row r="239" spans="1:8" s="428" customFormat="1" ht="18.75" customHeight="1">
      <c r="A239" s="441"/>
      <c r="B239" s="437"/>
      <c r="C239" s="423" t="s">
        <v>514</v>
      </c>
      <c r="D239" s="424">
        <v>6640</v>
      </c>
      <c r="E239" s="424">
        <v>280</v>
      </c>
      <c r="F239" s="425">
        <f>E239/D239*100</f>
        <v>4.216867469879518</v>
      </c>
      <c r="G239" s="426"/>
      <c r="H239" s="427"/>
    </row>
    <row r="240" spans="1:8" s="435" customFormat="1" ht="18.75" customHeight="1">
      <c r="A240" s="450"/>
      <c r="B240" s="451" t="s">
        <v>1103</v>
      </c>
      <c r="C240" s="480" t="s">
        <v>1104</v>
      </c>
      <c r="D240" s="100">
        <f>D241+D247</f>
        <v>1100000</v>
      </c>
      <c r="E240" s="100">
        <f>E241+E247</f>
        <v>259635.69</v>
      </c>
      <c r="F240" s="474">
        <f t="shared" si="11"/>
        <v>23.603244545454547</v>
      </c>
      <c r="G240" s="426"/>
      <c r="H240" s="434"/>
    </row>
    <row r="241" spans="1:8" s="435" customFormat="1" ht="18.75" customHeight="1">
      <c r="A241" s="442"/>
      <c r="B241" s="439"/>
      <c r="C241" s="287" t="s">
        <v>495</v>
      </c>
      <c r="D241" s="288">
        <v>792000</v>
      </c>
      <c r="E241" s="288">
        <v>259635.69</v>
      </c>
      <c r="F241" s="475">
        <f t="shared" si="11"/>
        <v>32.782284090909094</v>
      </c>
      <c r="G241" s="426"/>
      <c r="H241" s="434"/>
    </row>
    <row r="242" spans="1:8" s="435" customFormat="1" ht="12" customHeight="1">
      <c r="A242" s="440"/>
      <c r="B242" s="430"/>
      <c r="C242" s="476" t="s">
        <v>511</v>
      </c>
      <c r="D242" s="432"/>
      <c r="E242" s="432"/>
      <c r="F242" s="477"/>
      <c r="G242" s="426"/>
      <c r="H242" s="434"/>
    </row>
    <row r="243" spans="1:8" s="428" customFormat="1" ht="18.75" customHeight="1">
      <c r="A243" s="443"/>
      <c r="B243" s="422"/>
      <c r="C243" s="423" t="s">
        <v>513</v>
      </c>
      <c r="D243" s="424">
        <f>SUM(D244,D245)</f>
        <v>260990</v>
      </c>
      <c r="E243" s="424">
        <f>SUM(E244,E245)</f>
        <v>73431.87</v>
      </c>
      <c r="F243" s="425">
        <f t="shared" si="11"/>
        <v>28.135894095559216</v>
      </c>
      <c r="G243" s="426"/>
      <c r="H243" s="427"/>
    </row>
    <row r="244" spans="1:8" s="435" customFormat="1" ht="18.75" customHeight="1">
      <c r="A244" s="440"/>
      <c r="B244" s="430"/>
      <c r="C244" s="431" t="s">
        <v>487</v>
      </c>
      <c r="D244" s="432">
        <v>232499</v>
      </c>
      <c r="E244" s="432">
        <v>66239.29</v>
      </c>
      <c r="F244" s="433">
        <f t="shared" si="11"/>
        <v>28.490139742536524</v>
      </c>
      <c r="G244" s="426"/>
      <c r="H244" s="434"/>
    </row>
    <row r="245" spans="1:8" s="435" customFormat="1" ht="18.75" customHeight="1">
      <c r="A245" s="440"/>
      <c r="B245" s="430"/>
      <c r="C245" s="431" t="s">
        <v>488</v>
      </c>
      <c r="D245" s="432">
        <v>28491</v>
      </c>
      <c r="E245" s="432">
        <v>7192.58</v>
      </c>
      <c r="F245" s="433">
        <f t="shared" si="11"/>
        <v>25.24509494226247</v>
      </c>
      <c r="G245" s="426"/>
      <c r="H245" s="434"/>
    </row>
    <row r="246" spans="1:8" s="428" customFormat="1" ht="17.25" customHeight="1">
      <c r="A246" s="443"/>
      <c r="B246" s="422"/>
      <c r="C246" s="423" t="s">
        <v>514</v>
      </c>
      <c r="D246" s="424">
        <v>138728</v>
      </c>
      <c r="E246" s="424">
        <v>100060</v>
      </c>
      <c r="F246" s="425">
        <f t="shared" si="11"/>
        <v>72.12675162908714</v>
      </c>
      <c r="G246" s="426"/>
      <c r="H246" s="427"/>
    </row>
    <row r="247" spans="1:7" s="98" customFormat="1" ht="18.75" customHeight="1">
      <c r="A247" s="442"/>
      <c r="B247" s="439"/>
      <c r="C247" s="287" t="s">
        <v>515</v>
      </c>
      <c r="D247" s="288">
        <v>308000</v>
      </c>
      <c r="E247" s="288">
        <v>0</v>
      </c>
      <c r="F247" s="475">
        <f t="shared" si="11"/>
        <v>0</v>
      </c>
      <c r="G247" s="177"/>
    </row>
    <row r="248" spans="1:7" s="434" customFormat="1" ht="18.75" customHeight="1">
      <c r="A248" s="450"/>
      <c r="B248" s="451" t="s">
        <v>596</v>
      </c>
      <c r="C248" s="480" t="s">
        <v>1042</v>
      </c>
      <c r="D248" s="100">
        <f>SUM(D249)</f>
        <v>160000</v>
      </c>
      <c r="E248" s="100">
        <f>SUM(E249)</f>
        <v>13048.01</v>
      </c>
      <c r="F248" s="474">
        <f t="shared" si="11"/>
        <v>8.155006250000001</v>
      </c>
      <c r="G248" s="426"/>
    </row>
    <row r="249" spans="1:8" s="435" customFormat="1" ht="18.75" customHeight="1">
      <c r="A249" s="442"/>
      <c r="B249" s="439"/>
      <c r="C249" s="287" t="s">
        <v>495</v>
      </c>
      <c r="D249" s="288">
        <v>160000</v>
      </c>
      <c r="E249" s="288">
        <v>13048.01</v>
      </c>
      <c r="F249" s="475">
        <f t="shared" si="11"/>
        <v>8.155006250000001</v>
      </c>
      <c r="G249" s="426"/>
      <c r="H249" s="434"/>
    </row>
    <row r="250" spans="1:7" s="98" customFormat="1" ht="11.25" customHeight="1">
      <c r="A250" s="442"/>
      <c r="B250" s="439"/>
      <c r="C250" s="476" t="s">
        <v>511</v>
      </c>
      <c r="D250" s="432"/>
      <c r="E250" s="432"/>
      <c r="F250" s="477"/>
      <c r="G250" s="177"/>
    </row>
    <row r="251" spans="1:7" s="212" customFormat="1" ht="18.75" customHeight="1">
      <c r="A251" s="441"/>
      <c r="B251" s="437"/>
      <c r="C251" s="423" t="s">
        <v>513</v>
      </c>
      <c r="D251" s="424">
        <f>SUM(D252,D253)</f>
        <v>28000</v>
      </c>
      <c r="E251" s="424">
        <f>SUM(E252,E253)</f>
        <v>1155</v>
      </c>
      <c r="F251" s="425">
        <f>E251/D251*100</f>
        <v>4.125</v>
      </c>
      <c r="G251" s="177"/>
    </row>
    <row r="252" spans="1:7" s="98" customFormat="1" ht="18.75" customHeight="1">
      <c r="A252" s="442"/>
      <c r="B252" s="439"/>
      <c r="C252" s="431" t="s">
        <v>487</v>
      </c>
      <c r="D252" s="432">
        <v>27545</v>
      </c>
      <c r="E252" s="432">
        <v>1155</v>
      </c>
      <c r="F252" s="433">
        <f>E252/D252*100</f>
        <v>4.193138500635324</v>
      </c>
      <c r="G252" s="177"/>
    </row>
    <row r="253" spans="1:8" s="435" customFormat="1" ht="18.75" customHeight="1">
      <c r="A253" s="440"/>
      <c r="B253" s="430"/>
      <c r="C253" s="431" t="s">
        <v>488</v>
      </c>
      <c r="D253" s="432">
        <v>455</v>
      </c>
      <c r="E253" s="432">
        <v>0</v>
      </c>
      <c r="F253" s="433">
        <f>E253/D253*100</f>
        <v>0</v>
      </c>
      <c r="G253" s="426"/>
      <c r="H253" s="434"/>
    </row>
    <row r="254" spans="1:8" s="428" customFormat="1" ht="17.25" customHeight="1">
      <c r="A254" s="443"/>
      <c r="B254" s="422"/>
      <c r="C254" s="423" t="s">
        <v>514</v>
      </c>
      <c r="D254" s="424">
        <v>20000</v>
      </c>
      <c r="E254" s="424">
        <v>6000</v>
      </c>
      <c r="F254" s="425">
        <f>E254/D254*100</f>
        <v>30</v>
      </c>
      <c r="G254" s="426"/>
      <c r="H254" s="427"/>
    </row>
    <row r="255" spans="1:8" s="435" customFormat="1" ht="18.75" customHeight="1">
      <c r="A255" s="448" t="s">
        <v>264</v>
      </c>
      <c r="B255" s="449"/>
      <c r="C255" s="481" t="s">
        <v>597</v>
      </c>
      <c r="D255" s="95">
        <f>SUM(D256,D264,D266,D270,D276,D278,D283,D285,D292,D298)</f>
        <v>17761015</v>
      </c>
      <c r="E255" s="95">
        <f>SUM(E256,E264,E266,E270,E276,E278,E283,E285,E292,E298)</f>
        <v>7452004.75</v>
      </c>
      <c r="F255" s="471">
        <f t="shared" si="11"/>
        <v>41.95708831955831</v>
      </c>
      <c r="G255" s="426"/>
      <c r="H255" s="434"/>
    </row>
    <row r="256" spans="1:7" s="98" customFormat="1" ht="18.75" customHeight="1">
      <c r="A256" s="450"/>
      <c r="B256" s="451" t="s">
        <v>265</v>
      </c>
      <c r="C256" s="480" t="s">
        <v>598</v>
      </c>
      <c r="D256" s="100">
        <f>SUM(D257,D263)</f>
        <v>594146</v>
      </c>
      <c r="E256" s="100">
        <f>SUM(E257,E263)</f>
        <v>22448</v>
      </c>
      <c r="F256" s="474">
        <f t="shared" si="11"/>
        <v>3.778195931639698</v>
      </c>
      <c r="G256" s="177"/>
    </row>
    <row r="257" spans="1:7" s="434" customFormat="1" ht="18.75" customHeight="1">
      <c r="A257" s="442"/>
      <c r="B257" s="439"/>
      <c r="C257" s="287" t="s">
        <v>495</v>
      </c>
      <c r="D257" s="288">
        <v>164146</v>
      </c>
      <c r="E257" s="288">
        <v>0</v>
      </c>
      <c r="F257" s="475">
        <f t="shared" si="11"/>
        <v>0</v>
      </c>
      <c r="G257" s="426"/>
    </row>
    <row r="258" spans="1:7" s="434" customFormat="1" ht="12" customHeight="1" hidden="1">
      <c r="A258" s="442"/>
      <c r="B258" s="439"/>
      <c r="C258" s="476" t="s">
        <v>511</v>
      </c>
      <c r="D258" s="432"/>
      <c r="E258" s="432"/>
      <c r="F258" s="477"/>
      <c r="G258" s="426"/>
    </row>
    <row r="259" spans="1:7" s="427" customFormat="1" ht="19.5" customHeight="1" hidden="1">
      <c r="A259" s="441"/>
      <c r="B259" s="437"/>
      <c r="C259" s="423" t="s">
        <v>513</v>
      </c>
      <c r="D259" s="424">
        <f>SUM(D260,D261)</f>
        <v>0</v>
      </c>
      <c r="E259" s="424">
        <f>SUM(E260,E261)</f>
        <v>0</v>
      </c>
      <c r="F259" s="425" t="e">
        <f>E259/D259*100</f>
        <v>#DIV/0!</v>
      </c>
      <c r="G259" s="426"/>
    </row>
    <row r="260" spans="1:7" s="434" customFormat="1" ht="19.5" customHeight="1" hidden="1">
      <c r="A260" s="442"/>
      <c r="B260" s="439"/>
      <c r="C260" s="431" t="s">
        <v>487</v>
      </c>
      <c r="D260" s="432">
        <v>0</v>
      </c>
      <c r="E260" s="432">
        <v>0</v>
      </c>
      <c r="F260" s="433" t="e">
        <f>E260/D260*100</f>
        <v>#DIV/0!</v>
      </c>
      <c r="G260" s="426"/>
    </row>
    <row r="261" spans="1:7" s="434" customFormat="1" ht="19.5" customHeight="1" hidden="1">
      <c r="A261" s="442"/>
      <c r="B261" s="439"/>
      <c r="C261" s="431" t="s">
        <v>488</v>
      </c>
      <c r="D261" s="432">
        <v>0</v>
      </c>
      <c r="E261" s="432">
        <v>0</v>
      </c>
      <c r="F261" s="433" t="e">
        <f>E261/D261*100</f>
        <v>#DIV/0!</v>
      </c>
      <c r="G261" s="426"/>
    </row>
    <row r="262" spans="1:7" s="427" customFormat="1" ht="18.75" customHeight="1" hidden="1">
      <c r="A262" s="441"/>
      <c r="B262" s="437"/>
      <c r="C262" s="423" t="s">
        <v>514</v>
      </c>
      <c r="D262" s="424">
        <v>0</v>
      </c>
      <c r="E262" s="424">
        <v>0</v>
      </c>
      <c r="F262" s="425" t="e">
        <f>E262/D262*100</f>
        <v>#DIV/0!</v>
      </c>
      <c r="G262" s="426"/>
    </row>
    <row r="263" spans="1:7" s="98" customFormat="1" ht="18.75" customHeight="1">
      <c r="A263" s="442"/>
      <c r="B263" s="439"/>
      <c r="C263" s="287" t="s">
        <v>515</v>
      </c>
      <c r="D263" s="288">
        <v>430000</v>
      </c>
      <c r="E263" s="288">
        <v>22448</v>
      </c>
      <c r="F263" s="475">
        <f>E263/D263*100</f>
        <v>5.22046511627907</v>
      </c>
      <c r="G263" s="177"/>
    </row>
    <row r="264" spans="1:8" s="435" customFormat="1" ht="18.75" customHeight="1">
      <c r="A264" s="450"/>
      <c r="B264" s="451" t="s">
        <v>599</v>
      </c>
      <c r="C264" s="473" t="s">
        <v>600</v>
      </c>
      <c r="D264" s="100">
        <f>SUM(D265)</f>
        <v>428976</v>
      </c>
      <c r="E264" s="100">
        <f>SUM(E265)</f>
        <v>191541.25</v>
      </c>
      <c r="F264" s="475">
        <f t="shared" si="11"/>
        <v>44.65080797060908</v>
      </c>
      <c r="G264" s="426"/>
      <c r="H264" s="434"/>
    </row>
    <row r="265" spans="1:7" s="212" customFormat="1" ht="18.75" customHeight="1">
      <c r="A265" s="440"/>
      <c r="B265" s="430"/>
      <c r="C265" s="287" t="s">
        <v>495</v>
      </c>
      <c r="D265" s="288">
        <v>428976</v>
      </c>
      <c r="E265" s="288">
        <v>191541.25</v>
      </c>
      <c r="F265" s="475">
        <f t="shared" si="11"/>
        <v>44.65080797060908</v>
      </c>
      <c r="G265" s="177"/>
    </row>
    <row r="266" spans="1:7" s="434" customFormat="1" ht="18.75" customHeight="1">
      <c r="A266" s="450"/>
      <c r="B266" s="451" t="s">
        <v>276</v>
      </c>
      <c r="C266" s="480" t="s">
        <v>46</v>
      </c>
      <c r="D266" s="100">
        <f>SUM(D267)</f>
        <v>131000</v>
      </c>
      <c r="E266" s="100">
        <f>SUM(E267)</f>
        <v>65496</v>
      </c>
      <c r="F266" s="474">
        <f t="shared" si="11"/>
        <v>49.9969465648855</v>
      </c>
      <c r="G266" s="426"/>
    </row>
    <row r="267" spans="1:8" s="435" customFormat="1" ht="18.75" customHeight="1">
      <c r="A267" s="442"/>
      <c r="B267" s="439"/>
      <c r="C267" s="287" t="s">
        <v>495</v>
      </c>
      <c r="D267" s="288">
        <v>131000</v>
      </c>
      <c r="E267" s="288">
        <v>65496</v>
      </c>
      <c r="F267" s="475">
        <f t="shared" si="11"/>
        <v>49.9969465648855</v>
      </c>
      <c r="G267" s="426"/>
      <c r="H267" s="434"/>
    </row>
    <row r="268" spans="1:8" s="435" customFormat="1" ht="14.25" customHeight="1">
      <c r="A268" s="442"/>
      <c r="B268" s="439"/>
      <c r="C268" s="476" t="s">
        <v>511</v>
      </c>
      <c r="D268" s="432"/>
      <c r="E268" s="432"/>
      <c r="F268" s="477"/>
      <c r="G268" s="426"/>
      <c r="H268" s="434"/>
    </row>
    <row r="269" spans="1:8" s="428" customFormat="1" ht="18.75" customHeight="1">
      <c r="A269" s="441"/>
      <c r="B269" s="437"/>
      <c r="C269" s="423" t="s">
        <v>514</v>
      </c>
      <c r="D269" s="424">
        <v>131000</v>
      </c>
      <c r="E269" s="424">
        <v>65496</v>
      </c>
      <c r="F269" s="425">
        <f>E269/D269*100</f>
        <v>49.9969465648855</v>
      </c>
      <c r="G269" s="426"/>
      <c r="H269" s="427"/>
    </row>
    <row r="270" spans="1:7" s="98" customFormat="1" ht="40.5" customHeight="1">
      <c r="A270" s="450"/>
      <c r="B270" s="451" t="s">
        <v>266</v>
      </c>
      <c r="C270" s="194" t="s">
        <v>635</v>
      </c>
      <c r="D270" s="100">
        <f>SUM(D271)</f>
        <v>5729473</v>
      </c>
      <c r="E270" s="100">
        <f>SUM(E271)</f>
        <v>2567707.75</v>
      </c>
      <c r="F270" s="475">
        <f t="shared" si="11"/>
        <v>44.81577537759581</v>
      </c>
      <c r="G270" s="177"/>
    </row>
    <row r="271" spans="1:7" s="434" customFormat="1" ht="16.5" customHeight="1">
      <c r="A271" s="450"/>
      <c r="B271" s="451"/>
      <c r="C271" s="287" t="s">
        <v>495</v>
      </c>
      <c r="D271" s="288">
        <v>5729473</v>
      </c>
      <c r="E271" s="288">
        <v>2567707.75</v>
      </c>
      <c r="F271" s="475">
        <f t="shared" si="11"/>
        <v>44.81577537759581</v>
      </c>
      <c r="G271" s="426"/>
    </row>
    <row r="272" spans="1:8" s="435" customFormat="1" ht="12" customHeight="1">
      <c r="A272" s="450"/>
      <c r="B272" s="451"/>
      <c r="C272" s="476" t="s">
        <v>511</v>
      </c>
      <c r="D272" s="100"/>
      <c r="E272" s="100"/>
      <c r="F272" s="498"/>
      <c r="G272" s="426"/>
      <c r="H272" s="434"/>
    </row>
    <row r="273" spans="1:8" s="428" customFormat="1" ht="18.75" customHeight="1">
      <c r="A273" s="448"/>
      <c r="B273" s="449"/>
      <c r="C273" s="423" t="s">
        <v>513</v>
      </c>
      <c r="D273" s="424">
        <f>SUM(D274,D275)</f>
        <v>270256</v>
      </c>
      <c r="E273" s="424">
        <f>SUM(E274,E275)</f>
        <v>109668.55</v>
      </c>
      <c r="F273" s="425">
        <f t="shared" si="11"/>
        <v>40.57950609792197</v>
      </c>
      <c r="G273" s="426"/>
      <c r="H273" s="427"/>
    </row>
    <row r="274" spans="1:8" s="435" customFormat="1" ht="17.25" customHeight="1">
      <c r="A274" s="450"/>
      <c r="B274" s="451"/>
      <c r="C274" s="431" t="s">
        <v>487</v>
      </c>
      <c r="D274" s="432">
        <v>169858</v>
      </c>
      <c r="E274" s="432">
        <v>80918.47</v>
      </c>
      <c r="F274" s="433">
        <f t="shared" si="11"/>
        <v>47.638892486665334</v>
      </c>
      <c r="G274" s="426"/>
      <c r="H274" s="434"/>
    </row>
    <row r="275" spans="1:8" s="435" customFormat="1" ht="16.5" customHeight="1">
      <c r="A275" s="450"/>
      <c r="B275" s="451"/>
      <c r="C275" s="431" t="s">
        <v>488</v>
      </c>
      <c r="D275" s="432">
        <v>100398</v>
      </c>
      <c r="E275" s="432">
        <v>28750.08</v>
      </c>
      <c r="F275" s="433">
        <f t="shared" si="11"/>
        <v>28.636108289009744</v>
      </c>
      <c r="G275" s="426"/>
      <c r="H275" s="434"/>
    </row>
    <row r="276" spans="1:7" s="98" customFormat="1" ht="65.25" customHeight="1">
      <c r="A276" s="450"/>
      <c r="B276" s="486" t="s">
        <v>267</v>
      </c>
      <c r="C276" s="473" t="s">
        <v>2</v>
      </c>
      <c r="D276" s="100">
        <f>D277</f>
        <v>84000</v>
      </c>
      <c r="E276" s="100">
        <f>E277</f>
        <v>29725.72</v>
      </c>
      <c r="F276" s="474">
        <f aca="true" t="shared" si="12" ref="F276:F290">E276/D276*100</f>
        <v>35.3877619047619</v>
      </c>
      <c r="G276" s="177"/>
    </row>
    <row r="277" spans="1:7" s="98" customFormat="1" ht="18.75" customHeight="1">
      <c r="A277" s="442"/>
      <c r="B277" s="439"/>
      <c r="C277" s="287" t="s">
        <v>495</v>
      </c>
      <c r="D277" s="288">
        <v>84000</v>
      </c>
      <c r="E277" s="288">
        <v>29725.72</v>
      </c>
      <c r="F277" s="475">
        <f t="shared" si="12"/>
        <v>35.3877619047619</v>
      </c>
      <c r="G277" s="177"/>
    </row>
    <row r="278" spans="1:7" s="98" customFormat="1" ht="30" customHeight="1">
      <c r="A278" s="450"/>
      <c r="B278" s="486" t="s">
        <v>268</v>
      </c>
      <c r="C278" s="473" t="s">
        <v>482</v>
      </c>
      <c r="D278" s="100">
        <f>D279</f>
        <v>2160700</v>
      </c>
      <c r="E278" s="100">
        <f>E279</f>
        <v>978483.82</v>
      </c>
      <c r="F278" s="474">
        <f t="shared" si="12"/>
        <v>45.2855009950479</v>
      </c>
      <c r="G278" s="177"/>
    </row>
    <row r="279" spans="1:8" s="435" customFormat="1" ht="18.75" customHeight="1">
      <c r="A279" s="442"/>
      <c r="B279" s="439"/>
      <c r="C279" s="287" t="s">
        <v>495</v>
      </c>
      <c r="D279" s="288">
        <v>2160700</v>
      </c>
      <c r="E279" s="288">
        <v>978483.82</v>
      </c>
      <c r="F279" s="475">
        <f t="shared" si="12"/>
        <v>45.2855009950479</v>
      </c>
      <c r="G279" s="426"/>
      <c r="H279" s="434"/>
    </row>
    <row r="280" spans="1:8" s="435" customFormat="1" ht="12.75" customHeight="1">
      <c r="A280" s="450"/>
      <c r="B280" s="451"/>
      <c r="C280" s="476" t="s">
        <v>511</v>
      </c>
      <c r="D280" s="100"/>
      <c r="E280" s="100"/>
      <c r="F280" s="498"/>
      <c r="G280" s="426"/>
      <c r="H280" s="434"/>
    </row>
    <row r="281" spans="1:8" s="428" customFormat="1" ht="18.75" customHeight="1">
      <c r="A281" s="448"/>
      <c r="B281" s="449"/>
      <c r="C281" s="423" t="s">
        <v>513</v>
      </c>
      <c r="D281" s="424">
        <f>SUM(D282)</f>
        <v>1500</v>
      </c>
      <c r="E281" s="424">
        <f>SUM(E282)</f>
        <v>447.9</v>
      </c>
      <c r="F281" s="425">
        <f>E281/D281*100</f>
        <v>29.86</v>
      </c>
      <c r="G281" s="426"/>
      <c r="H281" s="427"/>
    </row>
    <row r="282" spans="1:8" s="435" customFormat="1" ht="18.75" customHeight="1">
      <c r="A282" s="450"/>
      <c r="B282" s="451"/>
      <c r="C282" s="431" t="s">
        <v>488</v>
      </c>
      <c r="D282" s="432">
        <v>1500</v>
      </c>
      <c r="E282" s="432">
        <v>447.9</v>
      </c>
      <c r="F282" s="433">
        <f>E282/D282*100</f>
        <v>29.86</v>
      </c>
      <c r="G282" s="426"/>
      <c r="H282" s="434"/>
    </row>
    <row r="283" spans="1:7" s="98" customFormat="1" ht="18.75" customHeight="1">
      <c r="A283" s="450"/>
      <c r="B283" s="451" t="s">
        <v>269</v>
      </c>
      <c r="C283" s="480" t="s">
        <v>1112</v>
      </c>
      <c r="D283" s="100">
        <f>D284</f>
        <v>850000</v>
      </c>
      <c r="E283" s="100">
        <f>E284</f>
        <v>399478.22</v>
      </c>
      <c r="F283" s="474">
        <f t="shared" si="12"/>
        <v>46.997437647058824</v>
      </c>
      <c r="G283" s="177"/>
    </row>
    <row r="284" spans="1:7" s="434" customFormat="1" ht="18.75" customHeight="1">
      <c r="A284" s="442"/>
      <c r="B284" s="439"/>
      <c r="C284" s="287" t="s">
        <v>495</v>
      </c>
      <c r="D284" s="288">
        <v>850000</v>
      </c>
      <c r="E284" s="288">
        <v>399478.22</v>
      </c>
      <c r="F284" s="475">
        <f t="shared" si="12"/>
        <v>46.997437647058824</v>
      </c>
      <c r="G284" s="426"/>
    </row>
    <row r="285" spans="1:7" s="434" customFormat="1" ht="18.75" customHeight="1">
      <c r="A285" s="450"/>
      <c r="B285" s="451" t="s">
        <v>270</v>
      </c>
      <c r="C285" s="473" t="s">
        <v>1113</v>
      </c>
      <c r="D285" s="100">
        <f>D286+D291</f>
        <v>1539360</v>
      </c>
      <c r="E285" s="100">
        <f>E286+E291</f>
        <v>834814.4</v>
      </c>
      <c r="F285" s="474">
        <f t="shared" si="12"/>
        <v>54.23126494127429</v>
      </c>
      <c r="G285" s="426"/>
    </row>
    <row r="286" spans="1:8" s="435" customFormat="1" ht="16.5" customHeight="1">
      <c r="A286" s="442"/>
      <c r="B286" s="439"/>
      <c r="C286" s="287" t="s">
        <v>495</v>
      </c>
      <c r="D286" s="288">
        <v>1539360</v>
      </c>
      <c r="E286" s="288">
        <v>834814.4</v>
      </c>
      <c r="F286" s="475">
        <f t="shared" si="12"/>
        <v>54.23126494127429</v>
      </c>
      <c r="G286" s="426"/>
      <c r="H286" s="434"/>
    </row>
    <row r="287" spans="1:7" s="98" customFormat="1" ht="12" customHeight="1">
      <c r="A287" s="440"/>
      <c r="B287" s="430"/>
      <c r="C287" s="476" t="s">
        <v>511</v>
      </c>
      <c r="D287" s="432"/>
      <c r="E287" s="432"/>
      <c r="F287" s="477"/>
      <c r="G287" s="177"/>
    </row>
    <row r="288" spans="1:7" s="427" customFormat="1" ht="18.75" customHeight="1">
      <c r="A288" s="443"/>
      <c r="B288" s="422"/>
      <c r="C288" s="423" t="s">
        <v>513</v>
      </c>
      <c r="D288" s="424">
        <f>SUM(D289,D290)</f>
        <v>1241534</v>
      </c>
      <c r="E288" s="424">
        <f>SUM(E289,E290)</f>
        <v>660919.75</v>
      </c>
      <c r="F288" s="425">
        <f t="shared" si="12"/>
        <v>53.234124075538816</v>
      </c>
      <c r="G288" s="426"/>
    </row>
    <row r="289" spans="1:7" s="434" customFormat="1" ht="18.75" customHeight="1">
      <c r="A289" s="440"/>
      <c r="B289" s="430"/>
      <c r="C289" s="431" t="s">
        <v>487</v>
      </c>
      <c r="D289" s="432">
        <v>1064531</v>
      </c>
      <c r="E289" s="432">
        <v>591375.55</v>
      </c>
      <c r="F289" s="433">
        <f t="shared" si="12"/>
        <v>55.552684703404594</v>
      </c>
      <c r="G289" s="426"/>
    </row>
    <row r="290" spans="1:7" s="434" customFormat="1" ht="18.75" customHeight="1">
      <c r="A290" s="440"/>
      <c r="B290" s="430"/>
      <c r="C290" s="431" t="s">
        <v>488</v>
      </c>
      <c r="D290" s="432">
        <v>177003</v>
      </c>
      <c r="E290" s="432">
        <v>69544.2</v>
      </c>
      <c r="F290" s="433">
        <f t="shared" si="12"/>
        <v>39.28984254504161</v>
      </c>
      <c r="G290" s="426"/>
    </row>
    <row r="291" spans="1:8" s="435" customFormat="1" ht="18.75" customHeight="1" hidden="1">
      <c r="A291" s="442"/>
      <c r="B291" s="439"/>
      <c r="C291" s="287" t="s">
        <v>515</v>
      </c>
      <c r="D291" s="288">
        <v>0</v>
      </c>
      <c r="E291" s="288">
        <v>0</v>
      </c>
      <c r="F291" s="498" t="e">
        <f>E291/D291*100</f>
        <v>#DIV/0!</v>
      </c>
      <c r="G291" s="426"/>
      <c r="H291" s="434"/>
    </row>
    <row r="292" spans="1:8" s="435" customFormat="1" ht="18.75" customHeight="1">
      <c r="A292" s="450"/>
      <c r="B292" s="451" t="s">
        <v>272</v>
      </c>
      <c r="C292" s="473" t="s">
        <v>1116</v>
      </c>
      <c r="D292" s="100">
        <f>D293</f>
        <v>793860</v>
      </c>
      <c r="E292" s="100">
        <f>E293</f>
        <v>371661.95</v>
      </c>
      <c r="F292" s="474">
        <f>E292/D292*100</f>
        <v>46.81706472173935</v>
      </c>
      <c r="G292" s="426"/>
      <c r="H292" s="434"/>
    </row>
    <row r="293" spans="1:7" s="98" customFormat="1" ht="18.75" customHeight="1">
      <c r="A293" s="442"/>
      <c r="B293" s="439"/>
      <c r="C293" s="287" t="s">
        <v>495</v>
      </c>
      <c r="D293" s="288">
        <v>793860</v>
      </c>
      <c r="E293" s="288">
        <v>371661.95</v>
      </c>
      <c r="F293" s="475">
        <f>E293/D293*100</f>
        <v>46.81706472173935</v>
      </c>
      <c r="G293" s="177"/>
    </row>
    <row r="294" spans="1:7" s="434" customFormat="1" ht="12" customHeight="1">
      <c r="A294" s="440"/>
      <c r="B294" s="430"/>
      <c r="C294" s="476" t="s">
        <v>511</v>
      </c>
      <c r="D294" s="432"/>
      <c r="E294" s="432"/>
      <c r="F294" s="477"/>
      <c r="G294" s="426"/>
    </row>
    <row r="295" spans="1:8" s="428" customFormat="1" ht="17.25" customHeight="1">
      <c r="A295" s="443"/>
      <c r="B295" s="422"/>
      <c r="C295" s="423" t="s">
        <v>513</v>
      </c>
      <c r="D295" s="424">
        <f>SUM(D296,D297)</f>
        <v>735850</v>
      </c>
      <c r="E295" s="424">
        <f>SUM(E296,E297)</f>
        <v>332476.42</v>
      </c>
      <c r="F295" s="425">
        <f aca="true" t="shared" si="13" ref="F295:F307">E295/D295*100</f>
        <v>45.18263504790379</v>
      </c>
      <c r="G295" s="426"/>
      <c r="H295" s="427"/>
    </row>
    <row r="296" spans="1:8" s="435" customFormat="1" ht="17.25" customHeight="1">
      <c r="A296" s="440"/>
      <c r="B296" s="430"/>
      <c r="C296" s="431" t="s">
        <v>487</v>
      </c>
      <c r="D296" s="432">
        <v>626290</v>
      </c>
      <c r="E296" s="432">
        <v>298193.56</v>
      </c>
      <c r="F296" s="433">
        <f t="shared" si="13"/>
        <v>47.61269699340561</v>
      </c>
      <c r="G296" s="426"/>
      <c r="H296" s="434"/>
    </row>
    <row r="297" spans="1:8" s="435" customFormat="1" ht="17.25" customHeight="1">
      <c r="A297" s="440"/>
      <c r="B297" s="430"/>
      <c r="C297" s="431" t="s">
        <v>488</v>
      </c>
      <c r="D297" s="432">
        <v>109560</v>
      </c>
      <c r="E297" s="432">
        <v>34282.86</v>
      </c>
      <c r="F297" s="433">
        <f t="shared" si="13"/>
        <v>31.291401971522454</v>
      </c>
      <c r="G297" s="426"/>
      <c r="H297" s="434"/>
    </row>
    <row r="298" spans="1:7" s="434" customFormat="1" ht="18.75" customHeight="1">
      <c r="A298" s="450"/>
      <c r="B298" s="451" t="s">
        <v>274</v>
      </c>
      <c r="C298" s="480" t="s">
        <v>1042</v>
      </c>
      <c r="D298" s="100">
        <f>SUM(D299,D304)</f>
        <v>5449500</v>
      </c>
      <c r="E298" s="100">
        <f>SUM(E299,E304)</f>
        <v>1990647.64</v>
      </c>
      <c r="F298" s="474">
        <f t="shared" si="13"/>
        <v>36.528996054683915</v>
      </c>
      <c r="G298" s="426"/>
    </row>
    <row r="299" spans="1:8" s="435" customFormat="1" ht="18.75" customHeight="1">
      <c r="A299" s="442"/>
      <c r="B299" s="439"/>
      <c r="C299" s="287" t="s">
        <v>495</v>
      </c>
      <c r="D299" s="288">
        <v>407500</v>
      </c>
      <c r="E299" s="288">
        <v>220041.76</v>
      </c>
      <c r="F299" s="475">
        <f t="shared" si="13"/>
        <v>53.99797791411043</v>
      </c>
      <c r="G299" s="426"/>
      <c r="H299" s="434"/>
    </row>
    <row r="300" spans="1:7" s="434" customFormat="1" ht="12" customHeight="1" hidden="1">
      <c r="A300" s="440"/>
      <c r="B300" s="430"/>
      <c r="C300" s="476" t="s">
        <v>511</v>
      </c>
      <c r="D300" s="432"/>
      <c r="E300" s="432"/>
      <c r="F300" s="477"/>
      <c r="G300" s="426"/>
    </row>
    <row r="301" spans="1:8" s="428" customFormat="1" ht="17.25" customHeight="1" hidden="1">
      <c r="A301" s="443"/>
      <c r="B301" s="422"/>
      <c r="C301" s="423" t="s">
        <v>513</v>
      </c>
      <c r="D301" s="424">
        <f>SUM(D302,D303)</f>
        <v>0</v>
      </c>
      <c r="E301" s="424">
        <f>SUM(E302,E303)</f>
        <v>0</v>
      </c>
      <c r="F301" s="425" t="e">
        <f>E301/D301*100</f>
        <v>#DIV/0!</v>
      </c>
      <c r="G301" s="426"/>
      <c r="H301" s="427"/>
    </row>
    <row r="302" spans="1:8" s="435" customFormat="1" ht="17.25" customHeight="1" hidden="1">
      <c r="A302" s="440"/>
      <c r="B302" s="430"/>
      <c r="C302" s="431" t="s">
        <v>487</v>
      </c>
      <c r="D302" s="432">
        <v>0</v>
      </c>
      <c r="E302" s="432"/>
      <c r="F302" s="433" t="e">
        <f>E302/D302*100</f>
        <v>#DIV/0!</v>
      </c>
      <c r="G302" s="426"/>
      <c r="H302" s="434"/>
    </row>
    <row r="303" spans="1:8" s="435" customFormat="1" ht="17.25" customHeight="1" hidden="1">
      <c r="A303" s="440"/>
      <c r="B303" s="430"/>
      <c r="C303" s="431" t="s">
        <v>488</v>
      </c>
      <c r="D303" s="432">
        <v>0</v>
      </c>
      <c r="E303" s="432"/>
      <c r="F303" s="433" t="e">
        <f>E303/D303*100</f>
        <v>#DIV/0!</v>
      </c>
      <c r="G303" s="426"/>
      <c r="H303" s="434"/>
    </row>
    <row r="304" spans="1:8" s="435" customFormat="1" ht="18.75" customHeight="1">
      <c r="A304" s="442"/>
      <c r="B304" s="439"/>
      <c r="C304" s="287" t="s">
        <v>515</v>
      </c>
      <c r="D304" s="288">
        <v>5042000</v>
      </c>
      <c r="E304" s="288">
        <v>1770605.88</v>
      </c>
      <c r="F304" s="475">
        <f t="shared" si="13"/>
        <v>35.11713367711226</v>
      </c>
      <c r="G304" s="426"/>
      <c r="H304" s="434"/>
    </row>
    <row r="305" spans="1:7" s="434" customFormat="1" ht="27" customHeight="1">
      <c r="A305" s="448" t="s">
        <v>1105</v>
      </c>
      <c r="B305" s="449"/>
      <c r="C305" s="470" t="s">
        <v>605</v>
      </c>
      <c r="D305" s="95">
        <f>SUM(D306,D313)</f>
        <v>1654455</v>
      </c>
      <c r="E305" s="95">
        <f>SUM(E306,E313)</f>
        <v>654191.51</v>
      </c>
      <c r="F305" s="471">
        <f t="shared" si="13"/>
        <v>39.541209038626015</v>
      </c>
      <c r="G305" s="426"/>
    </row>
    <row r="306" spans="1:8" s="435" customFormat="1" ht="18.75" customHeight="1">
      <c r="A306" s="450"/>
      <c r="B306" s="451" t="s">
        <v>1106</v>
      </c>
      <c r="C306" s="473" t="s">
        <v>606</v>
      </c>
      <c r="D306" s="100">
        <f>SUM(D307,D312)</f>
        <v>747524</v>
      </c>
      <c r="E306" s="100">
        <f>SUM(E307,E312)</f>
        <v>374174.75999999995</v>
      </c>
      <c r="F306" s="474">
        <f t="shared" si="13"/>
        <v>50.05521695624488</v>
      </c>
      <c r="G306" s="426"/>
      <c r="H306" s="434"/>
    </row>
    <row r="307" spans="1:8" s="435" customFormat="1" ht="18.75" customHeight="1">
      <c r="A307" s="442"/>
      <c r="B307" s="439"/>
      <c r="C307" s="287" t="s">
        <v>495</v>
      </c>
      <c r="D307" s="288">
        <v>725111</v>
      </c>
      <c r="E307" s="288">
        <v>356469.66</v>
      </c>
      <c r="F307" s="1302">
        <f t="shared" si="13"/>
        <v>49.1607022924766</v>
      </c>
      <c r="G307" s="426"/>
      <c r="H307" s="434"/>
    </row>
    <row r="308" spans="1:8" s="435" customFormat="1" ht="12" customHeight="1">
      <c r="A308" s="442"/>
      <c r="B308" s="439"/>
      <c r="C308" s="476" t="s">
        <v>511</v>
      </c>
      <c r="D308" s="288"/>
      <c r="E308" s="288"/>
      <c r="F308" s="498"/>
      <c r="G308" s="426"/>
      <c r="H308" s="434"/>
    </row>
    <row r="309" spans="1:7" s="212" customFormat="1" ht="18.75" customHeight="1">
      <c r="A309" s="441"/>
      <c r="B309" s="437"/>
      <c r="C309" s="423" t="s">
        <v>513</v>
      </c>
      <c r="D309" s="424">
        <f>SUM(D310,D311)</f>
        <v>642226</v>
      </c>
      <c r="E309" s="424">
        <f>SUM(E310,E311)</f>
        <v>300682.23</v>
      </c>
      <c r="F309" s="425">
        <f aca="true" t="shared" si="14" ref="F309:F314">E309/D309*100</f>
        <v>46.81875694848854</v>
      </c>
      <c r="G309" s="177"/>
    </row>
    <row r="310" spans="1:7" s="98" customFormat="1" ht="18" customHeight="1">
      <c r="A310" s="442"/>
      <c r="B310" s="439"/>
      <c r="C310" s="431" t="s">
        <v>487</v>
      </c>
      <c r="D310" s="452">
        <v>546932</v>
      </c>
      <c r="E310" s="452">
        <v>266424.26</v>
      </c>
      <c r="F310" s="433">
        <f t="shared" si="14"/>
        <v>48.71250173696182</v>
      </c>
      <c r="G310" s="177"/>
    </row>
    <row r="311" spans="1:7" s="98" customFormat="1" ht="18.75" customHeight="1">
      <c r="A311" s="442"/>
      <c r="B311" s="439"/>
      <c r="C311" s="431" t="s">
        <v>488</v>
      </c>
      <c r="D311" s="452">
        <v>95294</v>
      </c>
      <c r="E311" s="452">
        <v>34257.97</v>
      </c>
      <c r="F311" s="433">
        <f t="shared" si="14"/>
        <v>35.94976598736542</v>
      </c>
      <c r="G311" s="177"/>
    </row>
    <row r="312" spans="1:6" ht="16.5" customHeight="1">
      <c r="A312" s="442"/>
      <c r="B312" s="439"/>
      <c r="C312" s="287" t="s">
        <v>515</v>
      </c>
      <c r="D312" s="499">
        <v>22413</v>
      </c>
      <c r="E312" s="499">
        <v>17705.1</v>
      </c>
      <c r="F312" s="475">
        <f t="shared" si="14"/>
        <v>78.99477981528577</v>
      </c>
    </row>
    <row r="313" spans="1:7" s="434" customFormat="1" ht="18.75" customHeight="1">
      <c r="A313" s="450"/>
      <c r="B313" s="451" t="s">
        <v>609</v>
      </c>
      <c r="C313" s="473" t="s">
        <v>1042</v>
      </c>
      <c r="D313" s="100">
        <f>SUM(D314,D320)</f>
        <v>906931</v>
      </c>
      <c r="E313" s="100">
        <f>SUM(E314,E320)</f>
        <v>280016.75</v>
      </c>
      <c r="F313" s="474">
        <f t="shared" si="14"/>
        <v>30.875198885030947</v>
      </c>
      <c r="G313" s="426"/>
    </row>
    <row r="314" spans="1:7" s="434" customFormat="1" ht="18.75" customHeight="1">
      <c r="A314" s="440"/>
      <c r="B314" s="430"/>
      <c r="C314" s="287" t="s">
        <v>495</v>
      </c>
      <c r="D314" s="288">
        <v>856931</v>
      </c>
      <c r="E314" s="288">
        <v>280016.75</v>
      </c>
      <c r="F314" s="475">
        <f t="shared" si="14"/>
        <v>32.67669742371323</v>
      </c>
      <c r="G314" s="426"/>
    </row>
    <row r="315" spans="1:7" s="434" customFormat="1" ht="12" customHeight="1">
      <c r="A315" s="442"/>
      <c r="B315" s="439"/>
      <c r="C315" s="476" t="s">
        <v>511</v>
      </c>
      <c r="D315" s="432"/>
      <c r="E315" s="432"/>
      <c r="F315" s="433"/>
      <c r="G315" s="426"/>
    </row>
    <row r="316" spans="1:7" s="212" customFormat="1" ht="18.75" customHeight="1">
      <c r="A316" s="441"/>
      <c r="B316" s="437"/>
      <c r="C316" s="423" t="s">
        <v>513</v>
      </c>
      <c r="D316" s="424">
        <f>SUM(D317,D318)</f>
        <v>96976</v>
      </c>
      <c r="E316" s="424">
        <f>SUM(E317,E318)</f>
        <v>14018.17</v>
      </c>
      <c r="F316" s="425">
        <f aca="true" t="shared" si="15" ref="F316:F323">E316/D316*100</f>
        <v>14.455298218115823</v>
      </c>
      <c r="G316" s="177"/>
    </row>
    <row r="317" spans="1:7" s="98" customFormat="1" ht="18.75" customHeight="1">
      <c r="A317" s="442"/>
      <c r="B317" s="439"/>
      <c r="C317" s="431" t="s">
        <v>487</v>
      </c>
      <c r="D317" s="452">
        <v>82261</v>
      </c>
      <c r="E317" s="452">
        <v>12533.01</v>
      </c>
      <c r="F317" s="433">
        <f t="shared" si="15"/>
        <v>15.235664531187318</v>
      </c>
      <c r="G317" s="177"/>
    </row>
    <row r="318" spans="1:7" s="98" customFormat="1" ht="18.75" customHeight="1">
      <c r="A318" s="442"/>
      <c r="B318" s="439"/>
      <c r="C318" s="431" t="s">
        <v>488</v>
      </c>
      <c r="D318" s="452">
        <v>14715</v>
      </c>
      <c r="E318" s="452">
        <v>1485.16</v>
      </c>
      <c r="F318" s="433">
        <f t="shared" si="15"/>
        <v>10.092830445124024</v>
      </c>
      <c r="G318" s="177"/>
    </row>
    <row r="319" spans="1:7" s="427" customFormat="1" ht="18.75" customHeight="1">
      <c r="A319" s="441"/>
      <c r="B319" s="437"/>
      <c r="C319" s="423" t="s">
        <v>514</v>
      </c>
      <c r="D319" s="424">
        <v>600000</v>
      </c>
      <c r="E319" s="424">
        <v>253956</v>
      </c>
      <c r="F319" s="425">
        <f t="shared" si="15"/>
        <v>42.326</v>
      </c>
      <c r="G319" s="426"/>
    </row>
    <row r="320" spans="1:6" ht="16.5" customHeight="1">
      <c r="A320" s="442"/>
      <c r="B320" s="439"/>
      <c r="C320" s="287" t="s">
        <v>515</v>
      </c>
      <c r="D320" s="499">
        <v>50000</v>
      </c>
      <c r="E320" s="499">
        <v>0</v>
      </c>
      <c r="F320" s="475">
        <f t="shared" si="15"/>
        <v>0</v>
      </c>
    </row>
    <row r="321" spans="1:7" s="434" customFormat="1" ht="18.75" customHeight="1">
      <c r="A321" s="448" t="s">
        <v>1117</v>
      </c>
      <c r="B321" s="449"/>
      <c r="C321" s="470" t="s">
        <v>1121</v>
      </c>
      <c r="D321" s="95">
        <f>SUM(D322,D328,D335,D337,D339)</f>
        <v>1584376</v>
      </c>
      <c r="E321" s="95">
        <f>SUM(E322,E328,E335,E337,E339)</f>
        <v>862239.64</v>
      </c>
      <c r="F321" s="471">
        <f t="shared" si="15"/>
        <v>54.42140249536727</v>
      </c>
      <c r="G321" s="426"/>
    </row>
    <row r="322" spans="1:7" s="434" customFormat="1" ht="18.75" customHeight="1">
      <c r="A322" s="450"/>
      <c r="B322" s="451" t="s">
        <v>610</v>
      </c>
      <c r="C322" s="473" t="s">
        <v>611</v>
      </c>
      <c r="D322" s="100">
        <f>SUM(D323)</f>
        <v>691596</v>
      </c>
      <c r="E322" s="100">
        <f>SUM(E323)</f>
        <v>331389.72</v>
      </c>
      <c r="F322" s="474">
        <f t="shared" si="15"/>
        <v>47.916662328874075</v>
      </c>
      <c r="G322" s="426"/>
    </row>
    <row r="323" spans="1:7" s="434" customFormat="1" ht="18.75" customHeight="1">
      <c r="A323" s="442"/>
      <c r="B323" s="439"/>
      <c r="C323" s="287" t="s">
        <v>495</v>
      </c>
      <c r="D323" s="288">
        <v>691596</v>
      </c>
      <c r="E323" s="288">
        <v>331389.72</v>
      </c>
      <c r="F323" s="475">
        <f t="shared" si="15"/>
        <v>47.916662328874075</v>
      </c>
      <c r="G323" s="426"/>
    </row>
    <row r="324" spans="1:7" s="434" customFormat="1" ht="12" customHeight="1">
      <c r="A324" s="440"/>
      <c r="B324" s="430"/>
      <c r="C324" s="476" t="s">
        <v>511</v>
      </c>
      <c r="D324" s="432"/>
      <c r="E324" s="432"/>
      <c r="F324" s="477"/>
      <c r="G324" s="426"/>
    </row>
    <row r="325" spans="1:7" s="427" customFormat="1" ht="18.75" customHeight="1">
      <c r="A325" s="443"/>
      <c r="B325" s="422"/>
      <c r="C325" s="423" t="s">
        <v>513</v>
      </c>
      <c r="D325" s="424">
        <f>SUM(D326,D327)</f>
        <v>524480</v>
      </c>
      <c r="E325" s="424">
        <f>SUM(E326,E327)</f>
        <v>274070.60000000003</v>
      </c>
      <c r="F325" s="425">
        <f>E325/D325*100</f>
        <v>52.25568181818182</v>
      </c>
      <c r="G325" s="426"/>
    </row>
    <row r="326" spans="1:7" s="434" customFormat="1" ht="18.75" customHeight="1">
      <c r="A326" s="440"/>
      <c r="B326" s="430"/>
      <c r="C326" s="431" t="s">
        <v>487</v>
      </c>
      <c r="D326" s="432">
        <v>445896</v>
      </c>
      <c r="E326" s="432">
        <v>235952.64</v>
      </c>
      <c r="F326" s="433">
        <f>E326/D326*100</f>
        <v>52.91651865008882</v>
      </c>
      <c r="G326" s="426"/>
    </row>
    <row r="327" spans="1:7" s="434" customFormat="1" ht="18.75" customHeight="1">
      <c r="A327" s="440"/>
      <c r="B327" s="430"/>
      <c r="C327" s="431" t="s">
        <v>488</v>
      </c>
      <c r="D327" s="432">
        <v>78584</v>
      </c>
      <c r="E327" s="432">
        <v>38117.96</v>
      </c>
      <c r="F327" s="433">
        <f>E327/D327*100</f>
        <v>48.5060063117174</v>
      </c>
      <c r="G327" s="426"/>
    </row>
    <row r="328" spans="1:8" s="435" customFormat="1" ht="18.75" customHeight="1">
      <c r="A328" s="450"/>
      <c r="B328" s="451" t="s">
        <v>1171</v>
      </c>
      <c r="C328" s="480" t="s">
        <v>613</v>
      </c>
      <c r="D328" s="100">
        <f>SUM(D329,D334)</f>
        <v>627796</v>
      </c>
      <c r="E328" s="100">
        <f>SUM(E329,E334)</f>
        <v>365691</v>
      </c>
      <c r="F328" s="474">
        <f aca="true" t="shared" si="16" ref="F328:F338">E328/D328*100</f>
        <v>58.24997292113999</v>
      </c>
      <c r="G328" s="426"/>
      <c r="H328" s="434"/>
    </row>
    <row r="329" spans="1:8" s="435" customFormat="1" ht="18" customHeight="1">
      <c r="A329" s="442"/>
      <c r="B329" s="439"/>
      <c r="C329" s="287" t="s">
        <v>495</v>
      </c>
      <c r="D329" s="288">
        <v>627796</v>
      </c>
      <c r="E329" s="288">
        <v>365691</v>
      </c>
      <c r="F329" s="475">
        <f t="shared" si="16"/>
        <v>58.24997292113999</v>
      </c>
      <c r="G329" s="426"/>
      <c r="H329" s="434"/>
    </row>
    <row r="330" spans="1:7" s="98" customFormat="1" ht="12" customHeight="1">
      <c r="A330" s="440"/>
      <c r="B330" s="430"/>
      <c r="C330" s="476" t="s">
        <v>511</v>
      </c>
      <c r="D330" s="432"/>
      <c r="E330" s="432"/>
      <c r="F330" s="477"/>
      <c r="G330" s="177"/>
    </row>
    <row r="331" spans="1:7" s="427" customFormat="1" ht="18.75" customHeight="1">
      <c r="A331" s="443"/>
      <c r="B331" s="422"/>
      <c r="C331" s="423" t="s">
        <v>513</v>
      </c>
      <c r="D331" s="424">
        <f>SUM(D332,D333)</f>
        <v>492907</v>
      </c>
      <c r="E331" s="424">
        <f>SUM(E332,E333)</f>
        <v>283517.1</v>
      </c>
      <c r="F331" s="425">
        <f t="shared" si="16"/>
        <v>57.51939006749751</v>
      </c>
      <c r="G331" s="426"/>
    </row>
    <row r="332" spans="1:7" s="434" customFormat="1" ht="18.75" customHeight="1">
      <c r="A332" s="440"/>
      <c r="B332" s="430"/>
      <c r="C332" s="431" t="s">
        <v>487</v>
      </c>
      <c r="D332" s="432">
        <v>415223</v>
      </c>
      <c r="E332" s="432">
        <v>245920.62</v>
      </c>
      <c r="F332" s="433">
        <f t="shared" si="16"/>
        <v>59.226155583866976</v>
      </c>
      <c r="G332" s="426"/>
    </row>
    <row r="333" spans="1:7" s="434" customFormat="1" ht="18.75" customHeight="1">
      <c r="A333" s="440"/>
      <c r="B333" s="430"/>
      <c r="C333" s="431" t="s">
        <v>488</v>
      </c>
      <c r="D333" s="432">
        <v>77684</v>
      </c>
      <c r="E333" s="432">
        <v>37596.48</v>
      </c>
      <c r="F333" s="433">
        <f t="shared" si="16"/>
        <v>48.39668400185367</v>
      </c>
      <c r="G333" s="426"/>
    </row>
    <row r="334" spans="1:8" s="435" customFormat="1" ht="18" customHeight="1" hidden="1">
      <c r="A334" s="442"/>
      <c r="B334" s="439"/>
      <c r="C334" s="287" t="s">
        <v>515</v>
      </c>
      <c r="D334" s="288">
        <v>0</v>
      </c>
      <c r="E334" s="288"/>
      <c r="F334" s="475" t="e">
        <f>E334/D334*100</f>
        <v>#DIV/0!</v>
      </c>
      <c r="G334" s="426"/>
      <c r="H334" s="434"/>
    </row>
    <row r="335" spans="1:8" s="435" customFormat="1" ht="18.75" customHeight="1">
      <c r="A335" s="450"/>
      <c r="B335" s="451" t="s">
        <v>1174</v>
      </c>
      <c r="C335" s="480" t="s">
        <v>1175</v>
      </c>
      <c r="D335" s="100">
        <f>D336</f>
        <v>119877</v>
      </c>
      <c r="E335" s="100">
        <f>E336</f>
        <v>45251</v>
      </c>
      <c r="F335" s="474">
        <f t="shared" si="16"/>
        <v>37.74785822134354</v>
      </c>
      <c r="G335" s="426"/>
      <c r="H335" s="434"/>
    </row>
    <row r="336" spans="1:8" s="435" customFormat="1" ht="18" customHeight="1">
      <c r="A336" s="442"/>
      <c r="B336" s="439"/>
      <c r="C336" s="287" t="s">
        <v>495</v>
      </c>
      <c r="D336" s="288">
        <v>119877</v>
      </c>
      <c r="E336" s="288">
        <v>45251</v>
      </c>
      <c r="F336" s="475">
        <f t="shared" si="16"/>
        <v>37.74785822134354</v>
      </c>
      <c r="G336" s="426"/>
      <c r="H336" s="434"/>
    </row>
    <row r="337" spans="1:8" s="435" customFormat="1" ht="18.75" customHeight="1">
      <c r="A337" s="450"/>
      <c r="B337" s="451" t="s">
        <v>617</v>
      </c>
      <c r="C337" s="480" t="s">
        <v>584</v>
      </c>
      <c r="D337" s="100">
        <f>D338</f>
        <v>8457</v>
      </c>
      <c r="E337" s="100">
        <f>E338</f>
        <v>61</v>
      </c>
      <c r="F337" s="474">
        <f t="shared" si="16"/>
        <v>0.7212959678372945</v>
      </c>
      <c r="G337" s="426"/>
      <c r="H337" s="434"/>
    </row>
    <row r="338" spans="1:8" s="435" customFormat="1" ht="18.75" customHeight="1">
      <c r="A338" s="442"/>
      <c r="B338" s="439"/>
      <c r="C338" s="287" t="s">
        <v>495</v>
      </c>
      <c r="D338" s="288">
        <v>8457</v>
      </c>
      <c r="E338" s="288">
        <v>61</v>
      </c>
      <c r="F338" s="475">
        <f t="shared" si="16"/>
        <v>0.7212959678372945</v>
      </c>
      <c r="G338" s="426"/>
      <c r="H338" s="434"/>
    </row>
    <row r="339" spans="1:8" s="435" customFormat="1" ht="18.75" customHeight="1">
      <c r="A339" s="450"/>
      <c r="B339" s="451" t="s">
        <v>618</v>
      </c>
      <c r="C339" s="480" t="s">
        <v>1042</v>
      </c>
      <c r="D339" s="100">
        <f>D340</f>
        <v>136650</v>
      </c>
      <c r="E339" s="100">
        <f>E340</f>
        <v>119846.92</v>
      </c>
      <c r="F339" s="474">
        <f aca="true" t="shared" si="17" ref="F339:F366">E339/D339*100</f>
        <v>87.70356384924992</v>
      </c>
      <c r="G339" s="426"/>
      <c r="H339" s="434"/>
    </row>
    <row r="340" spans="1:8" s="435" customFormat="1" ht="17.25" customHeight="1">
      <c r="A340" s="442"/>
      <c r="B340" s="439"/>
      <c r="C340" s="287" t="s">
        <v>495</v>
      </c>
      <c r="D340" s="288">
        <v>136650</v>
      </c>
      <c r="E340" s="288">
        <v>119846.92</v>
      </c>
      <c r="F340" s="475">
        <f t="shared" si="17"/>
        <v>87.70356384924992</v>
      </c>
      <c r="G340" s="426"/>
      <c r="H340" s="434"/>
    </row>
    <row r="341" spans="1:7" s="98" customFormat="1" ht="12" customHeight="1">
      <c r="A341" s="440"/>
      <c r="B341" s="430"/>
      <c r="C341" s="476" t="s">
        <v>511</v>
      </c>
      <c r="D341" s="432"/>
      <c r="E341" s="432"/>
      <c r="F341" s="477"/>
      <c r="G341" s="177"/>
    </row>
    <row r="342" spans="1:7" s="427" customFormat="1" ht="18.75" customHeight="1">
      <c r="A342" s="443"/>
      <c r="B342" s="422"/>
      <c r="C342" s="423" t="s">
        <v>513</v>
      </c>
      <c r="D342" s="424">
        <f>SUM(D343,D344)</f>
        <v>5560</v>
      </c>
      <c r="E342" s="424">
        <f>SUM(E343,E344)</f>
        <v>0</v>
      </c>
      <c r="F342" s="425">
        <f>E342/D342*100</f>
        <v>0</v>
      </c>
      <c r="G342" s="426"/>
    </row>
    <row r="343" spans="1:7" s="434" customFormat="1" ht="18.75" customHeight="1">
      <c r="A343" s="440"/>
      <c r="B343" s="430"/>
      <c r="C343" s="431" t="s">
        <v>487</v>
      </c>
      <c r="D343" s="432">
        <v>4620</v>
      </c>
      <c r="E343" s="432">
        <v>0</v>
      </c>
      <c r="F343" s="433">
        <f>E343/D343*100</f>
        <v>0</v>
      </c>
      <c r="G343" s="426"/>
    </row>
    <row r="344" spans="1:7" s="434" customFormat="1" ht="18.75" customHeight="1">
      <c r="A344" s="440"/>
      <c r="B344" s="430"/>
      <c r="C344" s="431" t="s">
        <v>488</v>
      </c>
      <c r="D344" s="432">
        <v>940</v>
      </c>
      <c r="E344" s="432">
        <v>0</v>
      </c>
      <c r="F344" s="433">
        <f>E344/D344*100</f>
        <v>0</v>
      </c>
      <c r="G344" s="426"/>
    </row>
    <row r="345" spans="1:7" s="434" customFormat="1" ht="27" customHeight="1">
      <c r="A345" s="448" t="s">
        <v>1177</v>
      </c>
      <c r="B345" s="449"/>
      <c r="C345" s="470" t="s">
        <v>629</v>
      </c>
      <c r="D345" s="95">
        <f>SUM(D346,D351,D353,D356,D360,D363,D365)</f>
        <v>10996456</v>
      </c>
      <c r="E345" s="95">
        <f>SUM(E346,E351,E353,E356,E360,E363,E365)</f>
        <v>3600597.71</v>
      </c>
      <c r="F345" s="471">
        <f t="shared" si="17"/>
        <v>32.743255736211744</v>
      </c>
      <c r="G345" s="426"/>
    </row>
    <row r="346" spans="1:7" s="98" customFormat="1" ht="18.75" customHeight="1">
      <c r="A346" s="450"/>
      <c r="B346" s="451" t="s">
        <v>277</v>
      </c>
      <c r="C346" s="480" t="s">
        <v>278</v>
      </c>
      <c r="D346" s="100">
        <f>SUM(D347,D350)</f>
        <v>96000</v>
      </c>
      <c r="E346" s="100">
        <f>SUM(E347,E350)</f>
        <v>0</v>
      </c>
      <c r="F346" s="474">
        <f>E346/D346*100</f>
        <v>0</v>
      </c>
      <c r="G346" s="177"/>
    </row>
    <row r="347" spans="1:7" s="434" customFormat="1" ht="18.75" customHeight="1">
      <c r="A347" s="442"/>
      <c r="B347" s="439"/>
      <c r="C347" s="287" t="s">
        <v>495</v>
      </c>
      <c r="D347" s="288">
        <v>30000</v>
      </c>
      <c r="E347" s="288">
        <v>0</v>
      </c>
      <c r="F347" s="475">
        <f>E347/D347*100</f>
        <v>0</v>
      </c>
      <c r="G347" s="426"/>
    </row>
    <row r="348" spans="1:7" s="98" customFormat="1" ht="12" customHeight="1" hidden="1">
      <c r="A348" s="440"/>
      <c r="B348" s="430"/>
      <c r="C348" s="476" t="s">
        <v>511</v>
      </c>
      <c r="D348" s="432"/>
      <c r="E348" s="432"/>
      <c r="F348" s="477"/>
      <c r="G348" s="177"/>
    </row>
    <row r="349" spans="1:7" s="427" customFormat="1" ht="18.75" customHeight="1" hidden="1">
      <c r="A349" s="441"/>
      <c r="B349" s="437"/>
      <c r="C349" s="423" t="s">
        <v>514</v>
      </c>
      <c r="D349" s="424"/>
      <c r="E349" s="424"/>
      <c r="F349" s="425" t="e">
        <f>E349/D349*100</f>
        <v>#DIV/0!</v>
      </c>
      <c r="G349" s="1230"/>
    </row>
    <row r="350" spans="1:7" s="434" customFormat="1" ht="18.75" customHeight="1">
      <c r="A350" s="442"/>
      <c r="B350" s="439"/>
      <c r="C350" s="287" t="s">
        <v>515</v>
      </c>
      <c r="D350" s="288">
        <v>66000</v>
      </c>
      <c r="E350" s="288">
        <v>0</v>
      </c>
      <c r="F350" s="475">
        <f>E350/D350*100</f>
        <v>0</v>
      </c>
      <c r="G350" s="426"/>
    </row>
    <row r="351" spans="1:8" s="435" customFormat="1" ht="18.75" customHeight="1">
      <c r="A351" s="450"/>
      <c r="B351" s="451" t="s">
        <v>1178</v>
      </c>
      <c r="C351" s="480" t="s">
        <v>53</v>
      </c>
      <c r="D351" s="100">
        <f>SUM(D352)</f>
        <v>2381385</v>
      </c>
      <c r="E351" s="100">
        <f>SUM(E352)</f>
        <v>1405560.92</v>
      </c>
      <c r="F351" s="474">
        <f t="shared" si="17"/>
        <v>59.022834191027485</v>
      </c>
      <c r="G351" s="426"/>
      <c r="H351" s="434"/>
    </row>
    <row r="352" spans="1:8" s="435" customFormat="1" ht="18.75" customHeight="1">
      <c r="A352" s="442"/>
      <c r="B352" s="439"/>
      <c r="C352" s="287" t="s">
        <v>495</v>
      </c>
      <c r="D352" s="288">
        <v>2381385</v>
      </c>
      <c r="E352" s="288">
        <v>1405560.92</v>
      </c>
      <c r="F352" s="475">
        <f t="shared" si="17"/>
        <v>59.022834191027485</v>
      </c>
      <c r="G352" s="426"/>
      <c r="H352" s="434"/>
    </row>
    <row r="353" spans="1:7" s="98" customFormat="1" ht="18.75" customHeight="1">
      <c r="A353" s="450"/>
      <c r="B353" s="451" t="s">
        <v>630</v>
      </c>
      <c r="C353" s="480" t="s">
        <v>631</v>
      </c>
      <c r="D353" s="100">
        <f>SUM(D354,D355)</f>
        <v>3214606</v>
      </c>
      <c r="E353" s="100">
        <f>SUM(E354,E355)</f>
        <v>613251.79</v>
      </c>
      <c r="F353" s="474">
        <f t="shared" si="17"/>
        <v>19.077043656361</v>
      </c>
      <c r="G353" s="177"/>
    </row>
    <row r="354" spans="1:7" s="434" customFormat="1" ht="18.75" customHeight="1">
      <c r="A354" s="442"/>
      <c r="B354" s="439"/>
      <c r="C354" s="287" t="s">
        <v>495</v>
      </c>
      <c r="D354" s="288">
        <v>1406606</v>
      </c>
      <c r="E354" s="288">
        <v>496301.88</v>
      </c>
      <c r="F354" s="475">
        <f t="shared" si="17"/>
        <v>35.28364588235796</v>
      </c>
      <c r="G354" s="426"/>
    </row>
    <row r="355" spans="1:7" s="434" customFormat="1" ht="18.75" customHeight="1">
      <c r="A355" s="442"/>
      <c r="B355" s="439"/>
      <c r="C355" s="287" t="s">
        <v>515</v>
      </c>
      <c r="D355" s="288">
        <v>1808000</v>
      </c>
      <c r="E355" s="288">
        <v>116949.91</v>
      </c>
      <c r="F355" s="475">
        <f t="shared" si="17"/>
        <v>6.468468473451328</v>
      </c>
      <c r="G355" s="426"/>
    </row>
    <row r="356" spans="1:7" s="98" customFormat="1" ht="18.75" customHeight="1">
      <c r="A356" s="450"/>
      <c r="B356" s="451" t="s">
        <v>634</v>
      </c>
      <c r="C356" s="480" t="s">
        <v>639</v>
      </c>
      <c r="D356" s="100">
        <f>SUM(D357)</f>
        <v>320474</v>
      </c>
      <c r="E356" s="100">
        <f>SUM(E357)</f>
        <v>165996.88</v>
      </c>
      <c r="F356" s="474">
        <f t="shared" si="17"/>
        <v>51.79730024900616</v>
      </c>
      <c r="G356" s="177"/>
    </row>
    <row r="357" spans="1:7" s="434" customFormat="1" ht="18.75" customHeight="1">
      <c r="A357" s="442"/>
      <c r="B357" s="439"/>
      <c r="C357" s="287" t="s">
        <v>495</v>
      </c>
      <c r="D357" s="288">
        <v>320474</v>
      </c>
      <c r="E357" s="288">
        <v>165996.88</v>
      </c>
      <c r="F357" s="475">
        <f t="shared" si="17"/>
        <v>51.79730024900616</v>
      </c>
      <c r="G357" s="426"/>
    </row>
    <row r="358" spans="1:7" s="98" customFormat="1" ht="12" customHeight="1">
      <c r="A358" s="440"/>
      <c r="B358" s="430"/>
      <c r="C358" s="476" t="s">
        <v>511</v>
      </c>
      <c r="D358" s="432"/>
      <c r="E358" s="432"/>
      <c r="F358" s="477"/>
      <c r="G358" s="177"/>
    </row>
    <row r="359" spans="1:7" s="427" customFormat="1" ht="18.75" customHeight="1">
      <c r="A359" s="441"/>
      <c r="B359" s="437"/>
      <c r="C359" s="423" t="s">
        <v>514</v>
      </c>
      <c r="D359" s="424">
        <v>188000</v>
      </c>
      <c r="E359" s="424">
        <v>33523.74</v>
      </c>
      <c r="F359" s="425">
        <f>E359/D359*100</f>
        <v>17.83177659574468</v>
      </c>
      <c r="G359" s="426"/>
    </row>
    <row r="360" spans="1:8" s="435" customFormat="1" ht="18.75" customHeight="1">
      <c r="A360" s="450"/>
      <c r="B360" s="451" t="s">
        <v>1179</v>
      </c>
      <c r="C360" s="480" t="s">
        <v>1180</v>
      </c>
      <c r="D360" s="100">
        <f>SUM(D361,D362)</f>
        <v>1261700</v>
      </c>
      <c r="E360" s="100">
        <f>SUM(E361,E362)</f>
        <v>499063.1</v>
      </c>
      <c r="F360" s="474">
        <f t="shared" si="17"/>
        <v>39.55481493223429</v>
      </c>
      <c r="G360" s="426"/>
      <c r="H360" s="434"/>
    </row>
    <row r="361" spans="1:8" s="435" customFormat="1" ht="18.75" customHeight="1">
      <c r="A361" s="442"/>
      <c r="B361" s="439"/>
      <c r="C361" s="287" t="s">
        <v>495</v>
      </c>
      <c r="D361" s="288">
        <v>936700</v>
      </c>
      <c r="E361" s="288">
        <v>424023.24</v>
      </c>
      <c r="F361" s="475">
        <f t="shared" si="17"/>
        <v>45.267774100565816</v>
      </c>
      <c r="G361" s="426"/>
      <c r="H361" s="434"/>
    </row>
    <row r="362" spans="1:8" s="435" customFormat="1" ht="18.75" customHeight="1">
      <c r="A362" s="442"/>
      <c r="B362" s="439"/>
      <c r="C362" s="287" t="s">
        <v>515</v>
      </c>
      <c r="D362" s="288">
        <v>325000</v>
      </c>
      <c r="E362" s="288">
        <v>75039.86</v>
      </c>
      <c r="F362" s="475">
        <f t="shared" si="17"/>
        <v>23.089187692307693</v>
      </c>
      <c r="G362" s="426"/>
      <c r="H362" s="434"/>
    </row>
    <row r="363" spans="1:7" s="434" customFormat="1" ht="27.75" customHeight="1">
      <c r="A363" s="450"/>
      <c r="B363" s="451" t="s">
        <v>80</v>
      </c>
      <c r="C363" s="473" t="s">
        <v>81</v>
      </c>
      <c r="D363" s="100">
        <f>SUM(D364)</f>
        <v>12000</v>
      </c>
      <c r="E363" s="100">
        <f>SUM(E364)</f>
        <v>0</v>
      </c>
      <c r="F363" s="474">
        <f t="shared" si="17"/>
        <v>0</v>
      </c>
      <c r="G363" s="426"/>
    </row>
    <row r="364" spans="1:7" s="434" customFormat="1" ht="18.75" customHeight="1">
      <c r="A364" s="442"/>
      <c r="B364" s="439"/>
      <c r="C364" s="287" t="s">
        <v>495</v>
      </c>
      <c r="D364" s="288">
        <v>12000</v>
      </c>
      <c r="E364" s="288">
        <v>0</v>
      </c>
      <c r="F364" s="475">
        <f t="shared" si="17"/>
        <v>0</v>
      </c>
      <c r="G364" s="426"/>
    </row>
    <row r="365" spans="1:7" s="98" customFormat="1" ht="18.75" customHeight="1">
      <c r="A365" s="450"/>
      <c r="B365" s="451" t="s">
        <v>1181</v>
      </c>
      <c r="C365" s="480" t="s">
        <v>1042</v>
      </c>
      <c r="D365" s="100">
        <f>D366+D370</f>
        <v>3710291</v>
      </c>
      <c r="E365" s="100">
        <f>E366+E370</f>
        <v>916725.02</v>
      </c>
      <c r="F365" s="474">
        <f t="shared" si="17"/>
        <v>24.707631288219712</v>
      </c>
      <c r="G365" s="177"/>
    </row>
    <row r="366" spans="1:7" s="434" customFormat="1" ht="18.75" customHeight="1">
      <c r="A366" s="442"/>
      <c r="B366" s="439"/>
      <c r="C366" s="287" t="s">
        <v>495</v>
      </c>
      <c r="D366" s="288">
        <v>424091</v>
      </c>
      <c r="E366" s="288">
        <v>114299.57</v>
      </c>
      <c r="F366" s="475">
        <f t="shared" si="17"/>
        <v>26.951661317971855</v>
      </c>
      <c r="G366" s="426"/>
    </row>
    <row r="367" spans="1:7" s="98" customFormat="1" ht="12" customHeight="1" hidden="1">
      <c r="A367" s="440"/>
      <c r="B367" s="430"/>
      <c r="C367" s="476" t="s">
        <v>511</v>
      </c>
      <c r="D367" s="432"/>
      <c r="E367" s="432"/>
      <c r="F367" s="477"/>
      <c r="G367" s="177"/>
    </row>
    <row r="368" spans="1:7" s="427" customFormat="1" ht="18.75" customHeight="1" hidden="1">
      <c r="A368" s="443"/>
      <c r="B368" s="422"/>
      <c r="C368" s="423" t="s">
        <v>513</v>
      </c>
      <c r="D368" s="424">
        <f>SUM(D369)</f>
        <v>0</v>
      </c>
      <c r="E368" s="424">
        <f>SUM(E369)</f>
        <v>0</v>
      </c>
      <c r="F368" s="425" t="e">
        <f>E368/D368*100</f>
        <v>#DIV/0!</v>
      </c>
      <c r="G368" s="426"/>
    </row>
    <row r="369" spans="1:7" s="434" customFormat="1" ht="18.75" customHeight="1" hidden="1">
      <c r="A369" s="440"/>
      <c r="B369" s="430"/>
      <c r="C369" s="431" t="s">
        <v>487</v>
      </c>
      <c r="D369" s="432">
        <v>0</v>
      </c>
      <c r="E369" s="432"/>
      <c r="F369" s="433" t="e">
        <f>E369/D369*100</f>
        <v>#DIV/0!</v>
      </c>
      <c r="G369" s="426"/>
    </row>
    <row r="370" spans="1:7" s="434" customFormat="1" ht="18.75" customHeight="1">
      <c r="A370" s="442"/>
      <c r="B370" s="439"/>
      <c r="C370" s="287" t="s">
        <v>515</v>
      </c>
      <c r="D370" s="288">
        <v>3286200</v>
      </c>
      <c r="E370" s="288">
        <v>802425.45</v>
      </c>
      <c r="F370" s="475">
        <f aca="true" t="shared" si="18" ref="F370:F416">E370/D370*100</f>
        <v>24.418034507942302</v>
      </c>
      <c r="G370" s="426"/>
    </row>
    <row r="371" spans="1:8" s="435" customFormat="1" ht="31.5" customHeight="1">
      <c r="A371" s="448" t="s">
        <v>1205</v>
      </c>
      <c r="B371" s="449"/>
      <c r="C371" s="470" t="s">
        <v>640</v>
      </c>
      <c r="D371" s="95">
        <f>SUM(D372,D379,D386,D393,D398)</f>
        <v>5942615</v>
      </c>
      <c r="E371" s="95">
        <f>SUM(E372,E379,E386,E393,E398)</f>
        <v>3404772.23</v>
      </c>
      <c r="F371" s="471">
        <f t="shared" si="18"/>
        <v>57.294174870827064</v>
      </c>
      <c r="G371" s="426"/>
      <c r="H371" s="434"/>
    </row>
    <row r="372" spans="1:7" s="98" customFormat="1" ht="18.75" customHeight="1">
      <c r="A372" s="450"/>
      <c r="B372" s="451" t="s">
        <v>641</v>
      </c>
      <c r="C372" s="473" t="s">
        <v>642</v>
      </c>
      <c r="D372" s="100">
        <f>D373+D376</f>
        <v>2419000</v>
      </c>
      <c r="E372" s="100">
        <f>E373+E376</f>
        <v>1246591.88</v>
      </c>
      <c r="F372" s="474">
        <f t="shared" si="18"/>
        <v>51.533355932203385</v>
      </c>
      <c r="G372" s="177"/>
    </row>
    <row r="373" spans="1:7" s="434" customFormat="1" ht="18.75" customHeight="1">
      <c r="A373" s="442"/>
      <c r="B373" s="439"/>
      <c r="C373" s="287" t="s">
        <v>495</v>
      </c>
      <c r="D373" s="288">
        <v>1329000</v>
      </c>
      <c r="E373" s="288">
        <v>668000</v>
      </c>
      <c r="F373" s="475">
        <f t="shared" si="18"/>
        <v>50.26335590669676</v>
      </c>
      <c r="G373" s="426"/>
    </row>
    <row r="374" spans="1:7" s="434" customFormat="1" ht="12" customHeight="1">
      <c r="A374" s="442"/>
      <c r="B374" s="439"/>
      <c r="C374" s="476" t="s">
        <v>511</v>
      </c>
      <c r="D374" s="288"/>
      <c r="E374" s="288"/>
      <c r="F374" s="477"/>
      <c r="G374" s="426"/>
    </row>
    <row r="375" spans="1:7" s="427" customFormat="1" ht="18.75" customHeight="1">
      <c r="A375" s="443"/>
      <c r="B375" s="422"/>
      <c r="C375" s="423" t="s">
        <v>514</v>
      </c>
      <c r="D375" s="424">
        <v>1329000</v>
      </c>
      <c r="E375" s="424">
        <v>668000</v>
      </c>
      <c r="F375" s="425">
        <f t="shared" si="18"/>
        <v>50.26335590669676</v>
      </c>
      <c r="G375" s="426"/>
    </row>
    <row r="376" spans="1:7" s="434" customFormat="1" ht="18.75" customHeight="1">
      <c r="A376" s="442"/>
      <c r="B376" s="439"/>
      <c r="C376" s="287" t="s">
        <v>515</v>
      </c>
      <c r="D376" s="288">
        <v>1090000</v>
      </c>
      <c r="E376" s="288">
        <v>578591.88</v>
      </c>
      <c r="F376" s="475">
        <f>E376/D376*100</f>
        <v>53.081823853211006</v>
      </c>
      <c r="G376" s="426"/>
    </row>
    <row r="377" spans="1:8" s="435" customFormat="1" ht="12" customHeight="1">
      <c r="A377" s="442"/>
      <c r="B377" s="439"/>
      <c r="C377" s="476" t="s">
        <v>511</v>
      </c>
      <c r="D377" s="288"/>
      <c r="E377" s="288"/>
      <c r="F377" s="475"/>
      <c r="G377" s="426"/>
      <c r="H377" s="434"/>
    </row>
    <row r="378" spans="1:7" s="212" customFormat="1" ht="18.75" customHeight="1">
      <c r="A378" s="441"/>
      <c r="B378" s="437"/>
      <c r="C378" s="423" t="s">
        <v>514</v>
      </c>
      <c r="D378" s="424">
        <v>1090000</v>
      </c>
      <c r="E378" s="424">
        <v>578591.88</v>
      </c>
      <c r="F378" s="425">
        <f>E378/D378*100</f>
        <v>53.081823853211006</v>
      </c>
      <c r="G378" s="177"/>
    </row>
    <row r="379" spans="1:7" s="434" customFormat="1" ht="18.75" customHeight="1">
      <c r="A379" s="450"/>
      <c r="B379" s="451" t="s">
        <v>643</v>
      </c>
      <c r="C379" s="480" t="s">
        <v>644</v>
      </c>
      <c r="D379" s="100">
        <f>SUM(D380,D383)</f>
        <v>1205000</v>
      </c>
      <c r="E379" s="100">
        <f>SUM(E380,E383)</f>
        <v>879000</v>
      </c>
      <c r="F379" s="474">
        <f t="shared" si="18"/>
        <v>72.9460580912863</v>
      </c>
      <c r="G379" s="426"/>
    </row>
    <row r="380" spans="1:7" s="434" customFormat="1" ht="18.75" customHeight="1">
      <c r="A380" s="442"/>
      <c r="B380" s="439"/>
      <c r="C380" s="287" t="s">
        <v>495</v>
      </c>
      <c r="D380" s="288">
        <v>1156000</v>
      </c>
      <c r="E380" s="288">
        <v>830000</v>
      </c>
      <c r="F380" s="475">
        <f t="shared" si="18"/>
        <v>71.79930795847751</v>
      </c>
      <c r="G380" s="426"/>
    </row>
    <row r="381" spans="1:8" s="435" customFormat="1" ht="12" customHeight="1">
      <c r="A381" s="440"/>
      <c r="B381" s="430"/>
      <c r="C381" s="476" t="s">
        <v>511</v>
      </c>
      <c r="D381" s="432"/>
      <c r="E381" s="432"/>
      <c r="F381" s="477"/>
      <c r="G381" s="426"/>
      <c r="H381" s="434"/>
    </row>
    <row r="382" spans="1:7" s="427" customFormat="1" ht="18.75" customHeight="1">
      <c r="A382" s="443"/>
      <c r="B382" s="422"/>
      <c r="C382" s="423" t="s">
        <v>514</v>
      </c>
      <c r="D382" s="424">
        <v>1156000</v>
      </c>
      <c r="E382" s="424">
        <v>830000</v>
      </c>
      <c r="F382" s="425">
        <f t="shared" si="18"/>
        <v>71.79930795847751</v>
      </c>
      <c r="G382" s="426"/>
    </row>
    <row r="383" spans="1:7" s="434" customFormat="1" ht="18.75" customHeight="1">
      <c r="A383" s="442"/>
      <c r="B383" s="439"/>
      <c r="C383" s="287" t="s">
        <v>515</v>
      </c>
      <c r="D383" s="288">
        <v>49000</v>
      </c>
      <c r="E383" s="288">
        <v>49000</v>
      </c>
      <c r="F383" s="475">
        <f>E383/D383*100</f>
        <v>100</v>
      </c>
      <c r="G383" s="426"/>
    </row>
    <row r="384" spans="1:8" s="435" customFormat="1" ht="12" customHeight="1">
      <c r="A384" s="442"/>
      <c r="B384" s="439"/>
      <c r="C384" s="476" t="s">
        <v>511</v>
      </c>
      <c r="D384" s="288"/>
      <c r="E384" s="288"/>
      <c r="F384" s="475"/>
      <c r="G384" s="426"/>
      <c r="H384" s="434"/>
    </row>
    <row r="385" spans="1:7" s="212" customFormat="1" ht="18.75" customHeight="1">
      <c r="A385" s="441"/>
      <c r="B385" s="437"/>
      <c r="C385" s="423" t="s">
        <v>514</v>
      </c>
      <c r="D385" s="424">
        <v>49000</v>
      </c>
      <c r="E385" s="424">
        <v>49000</v>
      </c>
      <c r="F385" s="425">
        <f>E385/D385*100</f>
        <v>100</v>
      </c>
      <c r="G385" s="177"/>
    </row>
    <row r="386" spans="1:7" s="434" customFormat="1" ht="18.75" customHeight="1">
      <c r="A386" s="450"/>
      <c r="B386" s="451" t="s">
        <v>645</v>
      </c>
      <c r="C386" s="480" t="s">
        <v>646</v>
      </c>
      <c r="D386" s="100">
        <f>SUM(D387,D390)</f>
        <v>501965</v>
      </c>
      <c r="E386" s="100">
        <f>SUM(E387,E390)</f>
        <v>200000</v>
      </c>
      <c r="F386" s="474">
        <f t="shared" si="18"/>
        <v>39.84341537756617</v>
      </c>
      <c r="G386" s="426"/>
    </row>
    <row r="387" spans="1:8" s="435" customFormat="1" ht="17.25" customHeight="1">
      <c r="A387" s="442"/>
      <c r="B387" s="439"/>
      <c r="C387" s="287" t="s">
        <v>495</v>
      </c>
      <c r="D387" s="288">
        <v>392465</v>
      </c>
      <c r="E387" s="288">
        <v>200000</v>
      </c>
      <c r="F387" s="475">
        <f t="shared" si="18"/>
        <v>50.959958212834266</v>
      </c>
      <c r="G387" s="426"/>
      <c r="H387" s="434"/>
    </row>
    <row r="388" spans="1:8" s="435" customFormat="1" ht="12" customHeight="1">
      <c r="A388" s="440"/>
      <c r="B388" s="430"/>
      <c r="C388" s="476" t="s">
        <v>511</v>
      </c>
      <c r="D388" s="432"/>
      <c r="E388" s="432"/>
      <c r="F388" s="477"/>
      <c r="G388" s="426"/>
      <c r="H388" s="434"/>
    </row>
    <row r="389" spans="1:8" s="428" customFormat="1" ht="18.75" customHeight="1">
      <c r="A389" s="443"/>
      <c r="B389" s="422"/>
      <c r="C389" s="423" t="s">
        <v>514</v>
      </c>
      <c r="D389" s="424">
        <v>392465</v>
      </c>
      <c r="E389" s="424">
        <v>200000</v>
      </c>
      <c r="F389" s="425">
        <f t="shared" si="18"/>
        <v>50.959958212834266</v>
      </c>
      <c r="G389" s="426"/>
      <c r="H389" s="427"/>
    </row>
    <row r="390" spans="1:7" s="434" customFormat="1" ht="18.75" customHeight="1">
      <c r="A390" s="442"/>
      <c r="B390" s="439"/>
      <c r="C390" s="287" t="s">
        <v>515</v>
      </c>
      <c r="D390" s="288">
        <v>109500</v>
      </c>
      <c r="E390" s="288">
        <v>0</v>
      </c>
      <c r="F390" s="475">
        <f>E390/D390*100</f>
        <v>0</v>
      </c>
      <c r="G390" s="426"/>
    </row>
    <row r="391" spans="1:8" s="435" customFormat="1" ht="12" customHeight="1">
      <c r="A391" s="442"/>
      <c r="B391" s="439"/>
      <c r="C391" s="476" t="s">
        <v>511</v>
      </c>
      <c r="D391" s="288"/>
      <c r="E391" s="288"/>
      <c r="F391" s="475"/>
      <c r="G391" s="426"/>
      <c r="H391" s="434"/>
    </row>
    <row r="392" spans="1:7" s="212" customFormat="1" ht="18.75" customHeight="1">
      <c r="A392" s="441"/>
      <c r="B392" s="437"/>
      <c r="C392" s="423" t="s">
        <v>514</v>
      </c>
      <c r="D392" s="424">
        <v>109500</v>
      </c>
      <c r="E392" s="424">
        <v>0</v>
      </c>
      <c r="F392" s="425">
        <f>E392/D392*100</f>
        <v>0</v>
      </c>
      <c r="G392" s="177"/>
    </row>
    <row r="393" spans="1:7" s="98" customFormat="1" ht="18.75" customHeight="1">
      <c r="A393" s="450"/>
      <c r="B393" s="451" t="s">
        <v>293</v>
      </c>
      <c r="C393" s="473" t="s">
        <v>294</v>
      </c>
      <c r="D393" s="100">
        <f>SUM(D394,D397)</f>
        <v>318350</v>
      </c>
      <c r="E393" s="100">
        <f>SUM(E394,E397)</f>
        <v>0</v>
      </c>
      <c r="F393" s="475">
        <f t="shared" si="18"/>
        <v>0</v>
      </c>
      <c r="G393" s="177"/>
    </row>
    <row r="394" spans="1:7" s="98" customFormat="1" ht="18.75" customHeight="1">
      <c r="A394" s="450"/>
      <c r="B394" s="451"/>
      <c r="C394" s="287" t="s">
        <v>495</v>
      </c>
      <c r="D394" s="288">
        <v>198350</v>
      </c>
      <c r="E394" s="288">
        <v>0</v>
      </c>
      <c r="F394" s="475">
        <f>E394/D394*100</f>
        <v>0</v>
      </c>
      <c r="G394" s="177"/>
    </row>
    <row r="395" spans="1:7" s="98" customFormat="1" ht="18.75" customHeight="1">
      <c r="A395" s="450"/>
      <c r="B395" s="451"/>
      <c r="C395" s="476" t="s">
        <v>511</v>
      </c>
      <c r="D395" s="432"/>
      <c r="E395" s="432"/>
      <c r="F395" s="477"/>
      <c r="G395" s="177"/>
    </row>
    <row r="396" spans="1:7" s="98" customFormat="1" ht="18.75" customHeight="1">
      <c r="A396" s="450"/>
      <c r="B396" s="451"/>
      <c r="C396" s="423" t="s">
        <v>514</v>
      </c>
      <c r="D396" s="424">
        <v>198350</v>
      </c>
      <c r="E396" s="424">
        <v>0</v>
      </c>
      <c r="F396" s="425">
        <f>E396/D396*100</f>
        <v>0</v>
      </c>
      <c r="G396" s="177"/>
    </row>
    <row r="397" spans="1:7" s="212" customFormat="1" ht="18.75" customHeight="1">
      <c r="A397" s="441"/>
      <c r="B397" s="437"/>
      <c r="C397" s="287" t="s">
        <v>515</v>
      </c>
      <c r="D397" s="288">
        <v>120000</v>
      </c>
      <c r="E397" s="288">
        <v>0</v>
      </c>
      <c r="F397" s="475">
        <f t="shared" si="18"/>
        <v>0</v>
      </c>
      <c r="G397" s="177"/>
    </row>
    <row r="398" spans="1:8" s="435" customFormat="1" ht="18.75" customHeight="1">
      <c r="A398" s="450"/>
      <c r="B398" s="451" t="s">
        <v>647</v>
      </c>
      <c r="C398" s="480" t="s">
        <v>1042</v>
      </c>
      <c r="D398" s="100">
        <f>SUM(D399,D404)</f>
        <v>1498300</v>
      </c>
      <c r="E398" s="100">
        <f>SUM(E399,E404)</f>
        <v>1079180.35</v>
      </c>
      <c r="F398" s="474">
        <f t="shared" si="18"/>
        <v>72.02698725221919</v>
      </c>
      <c r="G398" s="426"/>
      <c r="H398" s="434"/>
    </row>
    <row r="399" spans="1:8" s="435" customFormat="1" ht="17.25" customHeight="1">
      <c r="A399" s="442"/>
      <c r="B399" s="439"/>
      <c r="C399" s="287" t="s">
        <v>495</v>
      </c>
      <c r="D399" s="288">
        <v>1498300</v>
      </c>
      <c r="E399" s="288">
        <v>1079180.35</v>
      </c>
      <c r="F399" s="475">
        <f t="shared" si="18"/>
        <v>72.02698725221919</v>
      </c>
      <c r="G399" s="426"/>
      <c r="H399" s="434"/>
    </row>
    <row r="400" spans="1:7" s="98" customFormat="1" ht="12" customHeight="1">
      <c r="A400" s="440"/>
      <c r="B400" s="430"/>
      <c r="C400" s="476" t="s">
        <v>511</v>
      </c>
      <c r="D400" s="432"/>
      <c r="E400" s="432"/>
      <c r="F400" s="477"/>
      <c r="G400" s="177"/>
    </row>
    <row r="401" spans="1:7" s="427" customFormat="1" ht="18.75" customHeight="1">
      <c r="A401" s="443"/>
      <c r="B401" s="422"/>
      <c r="C401" s="423" t="s">
        <v>513</v>
      </c>
      <c r="D401" s="424">
        <f>SUM(D402)</f>
        <v>6000</v>
      </c>
      <c r="E401" s="424">
        <f>SUM(E402)</f>
        <v>0</v>
      </c>
      <c r="F401" s="425">
        <f>E401/D401*100</f>
        <v>0</v>
      </c>
      <c r="G401" s="426"/>
    </row>
    <row r="402" spans="1:7" s="434" customFormat="1" ht="18.75" customHeight="1">
      <c r="A402" s="429"/>
      <c r="B402" s="430"/>
      <c r="C402" s="431" t="s">
        <v>487</v>
      </c>
      <c r="D402" s="432">
        <v>6000</v>
      </c>
      <c r="E402" s="432">
        <v>0</v>
      </c>
      <c r="F402" s="433">
        <f>E402/D402*100</f>
        <v>0</v>
      </c>
      <c r="G402" s="426"/>
    </row>
    <row r="403" spans="1:7" s="427" customFormat="1" ht="18.75" customHeight="1">
      <c r="A403" s="421"/>
      <c r="B403" s="422"/>
      <c r="C403" s="423" t="s">
        <v>514</v>
      </c>
      <c r="D403" s="424">
        <v>56800</v>
      </c>
      <c r="E403" s="424">
        <v>21450</v>
      </c>
      <c r="F403" s="425">
        <f t="shared" si="18"/>
        <v>37.764084507042256</v>
      </c>
      <c r="G403" s="426"/>
    </row>
    <row r="404" spans="1:7" s="434" customFormat="1" ht="17.25" customHeight="1" hidden="1">
      <c r="A404" s="429"/>
      <c r="B404" s="430"/>
      <c r="C404" s="287" t="s">
        <v>515</v>
      </c>
      <c r="D404" s="288"/>
      <c r="E404" s="288"/>
      <c r="F404" s="475" t="e">
        <f>E404/D404*100</f>
        <v>#DIV/0!</v>
      </c>
      <c r="G404" s="426"/>
    </row>
    <row r="405" spans="1:7" s="434" customFormat="1" ht="10.5" customHeight="1" hidden="1">
      <c r="A405" s="429"/>
      <c r="B405" s="430"/>
      <c r="C405" s="476" t="s">
        <v>511</v>
      </c>
      <c r="D405" s="432"/>
      <c r="E405" s="432"/>
      <c r="F405" s="477"/>
      <c r="G405" s="426"/>
    </row>
    <row r="406" spans="1:7" s="427" customFormat="1" ht="18.75" customHeight="1" hidden="1">
      <c r="A406" s="421"/>
      <c r="B406" s="422"/>
      <c r="C406" s="423" t="s">
        <v>514</v>
      </c>
      <c r="D406" s="424"/>
      <c r="E406" s="424"/>
      <c r="F406" s="425" t="e">
        <f>E406/D406*100</f>
        <v>#DIV/0!</v>
      </c>
      <c r="G406" s="426"/>
    </row>
    <row r="407" spans="1:8" s="435" customFormat="1" ht="18.75" customHeight="1">
      <c r="A407" s="469" t="s">
        <v>1206</v>
      </c>
      <c r="B407" s="449"/>
      <c r="C407" s="481" t="s">
        <v>1207</v>
      </c>
      <c r="D407" s="95">
        <f>SUM(D408,D411,D420)</f>
        <v>15751468</v>
      </c>
      <c r="E407" s="95">
        <f>SUM(E408,E411,E420)</f>
        <v>9738027.91</v>
      </c>
      <c r="F407" s="471">
        <f t="shared" si="18"/>
        <v>61.82298634006684</v>
      </c>
      <c r="G407" s="426"/>
      <c r="H407" s="434"/>
    </row>
    <row r="408" spans="1:8" s="435" customFormat="1" ht="18.75" customHeight="1">
      <c r="A408" s="472"/>
      <c r="B408" s="451" t="s">
        <v>1211</v>
      </c>
      <c r="C408" s="480" t="s">
        <v>1212</v>
      </c>
      <c r="D408" s="100">
        <f>SUM(D409,D410)</f>
        <v>12320000</v>
      </c>
      <c r="E408" s="100">
        <f>E410</f>
        <v>7452246.11</v>
      </c>
      <c r="F408" s="474">
        <f t="shared" si="18"/>
        <v>60.48901063311689</v>
      </c>
      <c r="G408" s="426"/>
      <c r="H408" s="434"/>
    </row>
    <row r="409" spans="1:8" s="435" customFormat="1" ht="17.25" customHeight="1">
      <c r="A409" s="442"/>
      <c r="B409" s="439"/>
      <c r="C409" s="287" t="s">
        <v>495</v>
      </c>
      <c r="D409" s="288">
        <v>300000</v>
      </c>
      <c r="E409" s="288">
        <v>0</v>
      </c>
      <c r="F409" s="475">
        <f>E409/D409*100</f>
        <v>0</v>
      </c>
      <c r="G409" s="426"/>
      <c r="H409" s="434"/>
    </row>
    <row r="410" spans="1:7" s="98" customFormat="1" ht="18.75" customHeight="1">
      <c r="A410" s="438"/>
      <c r="B410" s="439"/>
      <c r="C410" s="287" t="s">
        <v>515</v>
      </c>
      <c r="D410" s="288">
        <v>12020000</v>
      </c>
      <c r="E410" s="288">
        <v>7452246.11</v>
      </c>
      <c r="F410" s="475">
        <f t="shared" si="18"/>
        <v>61.99871971713811</v>
      </c>
      <c r="G410" s="177"/>
    </row>
    <row r="411" spans="1:8" s="435" customFormat="1" ht="18.75" customHeight="1">
      <c r="A411" s="472"/>
      <c r="B411" s="451" t="s">
        <v>1213</v>
      </c>
      <c r="C411" s="473" t="s">
        <v>1214</v>
      </c>
      <c r="D411" s="100">
        <f>SUM(D412,D417)</f>
        <v>3431468</v>
      </c>
      <c r="E411" s="100">
        <f>SUM(E412,E417)</f>
        <v>2285781.8</v>
      </c>
      <c r="F411" s="474">
        <f t="shared" si="18"/>
        <v>66.61235949162283</v>
      </c>
      <c r="G411" s="426"/>
      <c r="H411" s="434"/>
    </row>
    <row r="412" spans="1:8" s="435" customFormat="1" ht="18.75" customHeight="1">
      <c r="A412" s="438"/>
      <c r="B412" s="439"/>
      <c r="C412" s="287" t="s">
        <v>495</v>
      </c>
      <c r="D412" s="288">
        <v>3191468</v>
      </c>
      <c r="E412" s="288">
        <v>2045781.8</v>
      </c>
      <c r="F412" s="475">
        <f t="shared" si="18"/>
        <v>64.10159211998993</v>
      </c>
      <c r="G412" s="426"/>
      <c r="H412" s="434"/>
    </row>
    <row r="413" spans="1:8" s="435" customFormat="1" ht="12" customHeight="1">
      <c r="A413" s="429"/>
      <c r="B413" s="430"/>
      <c r="C413" s="476" t="s">
        <v>511</v>
      </c>
      <c r="D413" s="432"/>
      <c r="E413" s="432"/>
      <c r="F413" s="477"/>
      <c r="G413" s="426"/>
      <c r="H413" s="434"/>
    </row>
    <row r="414" spans="1:7" s="212" customFormat="1" ht="18.75" customHeight="1">
      <c r="A414" s="421"/>
      <c r="B414" s="422"/>
      <c r="C414" s="423" t="s">
        <v>825</v>
      </c>
      <c r="D414" s="424">
        <f>SUM(D415)</f>
        <v>170848</v>
      </c>
      <c r="E414" s="424">
        <f>SUM(E415)</f>
        <v>99355.77</v>
      </c>
      <c r="F414" s="425">
        <f t="shared" si="18"/>
        <v>58.154482346881444</v>
      </c>
      <c r="G414" s="177"/>
    </row>
    <row r="415" spans="1:7" s="212" customFormat="1" ht="18.75" customHeight="1" hidden="1">
      <c r="A415" s="429"/>
      <c r="B415" s="430"/>
      <c r="C415" s="431" t="s">
        <v>825</v>
      </c>
      <c r="D415" s="432">
        <v>170848</v>
      </c>
      <c r="E415" s="432">
        <v>99355.77</v>
      </c>
      <c r="F415" s="433">
        <f t="shared" si="18"/>
        <v>58.154482346881444</v>
      </c>
      <c r="G415" s="177"/>
    </row>
    <row r="416" spans="1:7" s="212" customFormat="1" ht="18.75" customHeight="1">
      <c r="A416" s="421"/>
      <c r="B416" s="422"/>
      <c r="C416" s="423" t="s">
        <v>514</v>
      </c>
      <c r="D416" s="424">
        <v>1140000</v>
      </c>
      <c r="E416" s="424">
        <v>719243.28</v>
      </c>
      <c r="F416" s="425">
        <f t="shared" si="18"/>
        <v>63.09151578947368</v>
      </c>
      <c r="G416" s="177"/>
    </row>
    <row r="417" spans="1:7" s="98" customFormat="1" ht="18.75" customHeight="1">
      <c r="A417" s="429"/>
      <c r="B417" s="430"/>
      <c r="C417" s="287" t="s">
        <v>515</v>
      </c>
      <c r="D417" s="288">
        <v>240000</v>
      </c>
      <c r="E417" s="288">
        <v>240000</v>
      </c>
      <c r="F417" s="475">
        <f>E417/D417*100</f>
        <v>100</v>
      </c>
      <c r="G417" s="177"/>
    </row>
    <row r="418" spans="1:7" s="98" customFormat="1" ht="13.5" customHeight="1">
      <c r="A418" s="429"/>
      <c r="B418" s="430"/>
      <c r="C418" s="476" t="s">
        <v>511</v>
      </c>
      <c r="D418" s="288"/>
      <c r="E418" s="288"/>
      <c r="F418" s="475"/>
      <c r="G418" s="177"/>
    </row>
    <row r="419" spans="1:7" s="212" customFormat="1" ht="18.75" customHeight="1">
      <c r="A419" s="443"/>
      <c r="B419" s="492"/>
      <c r="C419" s="423" t="s">
        <v>514</v>
      </c>
      <c r="D419" s="424">
        <v>240000</v>
      </c>
      <c r="E419" s="424">
        <v>240000</v>
      </c>
      <c r="F419" s="425">
        <f>E419/D419*100</f>
        <v>100</v>
      </c>
      <c r="G419" s="177"/>
    </row>
    <row r="420" spans="1:8" s="435" customFormat="1" ht="18.75" customHeight="1" hidden="1">
      <c r="A420" s="472"/>
      <c r="B420" s="451" t="s">
        <v>623</v>
      </c>
      <c r="C420" s="473" t="s">
        <v>1042</v>
      </c>
      <c r="D420" s="100">
        <f>SUM(D421)</f>
        <v>0</v>
      </c>
      <c r="E420" s="100">
        <f>SUM(E421)</f>
        <v>0</v>
      </c>
      <c r="F420" s="474" t="e">
        <f>E420/D420*100</f>
        <v>#DIV/0!</v>
      </c>
      <c r="G420" s="426"/>
      <c r="H420" s="434"/>
    </row>
    <row r="421" spans="1:8" s="435" customFormat="1" ht="18.75" customHeight="1" hidden="1">
      <c r="A421" s="438"/>
      <c r="B421" s="439"/>
      <c r="C421" s="287" t="s">
        <v>495</v>
      </c>
      <c r="D421" s="288">
        <v>0</v>
      </c>
      <c r="E421" s="288"/>
      <c r="F421" s="475" t="e">
        <f>E421/D421*100</f>
        <v>#DIV/0!</v>
      </c>
      <c r="G421" s="426"/>
      <c r="H421" s="434"/>
    </row>
    <row r="422" spans="1:7" s="212" customFormat="1" ht="18.75" customHeight="1">
      <c r="A422" s="1397" t="s">
        <v>1074</v>
      </c>
      <c r="B422" s="1398"/>
      <c r="C422" s="1399"/>
      <c r="D422" s="743">
        <f>SUM(D423,D426,D436,D440,D455,D474,D493,D548,D567,D596,D625,D677)</f>
        <v>73770110</v>
      </c>
      <c r="E422" s="743">
        <f>SUM(E423,E426,E436,E440,E455,E474,E493,E548,E567,E596,E625,E677)</f>
        <v>33364958.500000004</v>
      </c>
      <c r="F422" s="744">
        <f aca="true" t="shared" si="19" ref="F422:F430">E422/D422*100</f>
        <v>45.228288937077636</v>
      </c>
      <c r="G422" s="177"/>
    </row>
    <row r="423" spans="1:7" s="98" customFormat="1" ht="18.75" customHeight="1" hidden="1">
      <c r="A423" s="469" t="s">
        <v>1041</v>
      </c>
      <c r="B423" s="449"/>
      <c r="C423" s="470" t="s">
        <v>492</v>
      </c>
      <c r="D423" s="95">
        <f>SUM(D424)</f>
        <v>0</v>
      </c>
      <c r="E423" s="95">
        <f>SUM(E424)</f>
        <v>0</v>
      </c>
      <c r="F423" s="471" t="e">
        <f t="shared" si="19"/>
        <v>#DIV/0!</v>
      </c>
      <c r="G423" s="177"/>
    </row>
    <row r="424" spans="1:7" s="98" customFormat="1" ht="27.75" customHeight="1" hidden="1">
      <c r="A424" s="472"/>
      <c r="B424" s="451" t="s">
        <v>149</v>
      </c>
      <c r="C424" s="473" t="s">
        <v>151</v>
      </c>
      <c r="D424" s="100">
        <f>D425</f>
        <v>0</v>
      </c>
      <c r="E424" s="100">
        <f>E425</f>
        <v>0</v>
      </c>
      <c r="F424" s="474" t="e">
        <f t="shared" si="19"/>
        <v>#DIV/0!</v>
      </c>
      <c r="G424" s="177"/>
    </row>
    <row r="425" spans="1:7" s="98" customFormat="1" ht="18.75" customHeight="1" hidden="1">
      <c r="A425" s="438"/>
      <c r="B425" s="439"/>
      <c r="C425" s="287" t="s">
        <v>495</v>
      </c>
      <c r="D425" s="288"/>
      <c r="E425" s="288"/>
      <c r="F425" s="475" t="e">
        <f t="shared" si="19"/>
        <v>#DIV/0!</v>
      </c>
      <c r="G425" s="177"/>
    </row>
    <row r="426" spans="1:7" s="212" customFormat="1" ht="18.75" customHeight="1">
      <c r="A426" s="469" t="s">
        <v>1046</v>
      </c>
      <c r="B426" s="449"/>
      <c r="C426" s="481" t="s">
        <v>1047</v>
      </c>
      <c r="D426" s="95">
        <f>SUM(D427,D429)</f>
        <v>42127383</v>
      </c>
      <c r="E426" s="95">
        <f>SUM(E427,E429)</f>
        <v>17962910.73</v>
      </c>
      <c r="F426" s="471">
        <f t="shared" si="19"/>
        <v>42.639512475769024</v>
      </c>
      <c r="G426" s="177"/>
    </row>
    <row r="427" spans="1:7" s="98" customFormat="1" ht="18.75" customHeight="1">
      <c r="A427" s="472"/>
      <c r="B427" s="451" t="s">
        <v>1076</v>
      </c>
      <c r="C427" s="480" t="s">
        <v>1183</v>
      </c>
      <c r="D427" s="100">
        <f>SUM(D428)</f>
        <v>567000</v>
      </c>
      <c r="E427" s="100">
        <f>SUM(E428)</f>
        <v>120972.76</v>
      </c>
      <c r="F427" s="474">
        <f t="shared" si="19"/>
        <v>21.33558377425044</v>
      </c>
      <c r="G427" s="177"/>
    </row>
    <row r="428" spans="1:7" s="434" customFormat="1" ht="18.75" customHeight="1">
      <c r="A428" s="438"/>
      <c r="B428" s="439"/>
      <c r="C428" s="287" t="s">
        <v>515</v>
      </c>
      <c r="D428" s="288">
        <v>567000</v>
      </c>
      <c r="E428" s="288">
        <v>120972.76</v>
      </c>
      <c r="F428" s="475">
        <f t="shared" si="19"/>
        <v>21.33558377425044</v>
      </c>
      <c r="G428" s="426"/>
    </row>
    <row r="429" spans="1:7" s="98" customFormat="1" ht="39" customHeight="1">
      <c r="A429" s="472"/>
      <c r="B429" s="451" t="s">
        <v>1048</v>
      </c>
      <c r="C429" s="473" t="s">
        <v>245</v>
      </c>
      <c r="D429" s="100">
        <f>D430+D435</f>
        <v>41560383</v>
      </c>
      <c r="E429" s="100">
        <f>E430+E435</f>
        <v>17841937.97</v>
      </c>
      <c r="F429" s="474">
        <f t="shared" si="19"/>
        <v>42.93015771774769</v>
      </c>
      <c r="G429" s="177"/>
    </row>
    <row r="430" spans="1:7" s="434" customFormat="1" ht="16.5" customHeight="1">
      <c r="A430" s="438"/>
      <c r="B430" s="439"/>
      <c r="C430" s="287" t="s">
        <v>495</v>
      </c>
      <c r="D430" s="288">
        <v>24514383</v>
      </c>
      <c r="E430" s="288">
        <v>12499845.98</v>
      </c>
      <c r="F430" s="475">
        <f t="shared" si="19"/>
        <v>50.98984534915686</v>
      </c>
      <c r="G430" s="426"/>
    </row>
    <row r="431" spans="1:8" s="435" customFormat="1" ht="11.25" customHeight="1">
      <c r="A431" s="429"/>
      <c r="B431" s="430"/>
      <c r="C431" s="476" t="s">
        <v>511</v>
      </c>
      <c r="D431" s="432"/>
      <c r="E431" s="432"/>
      <c r="F431" s="477"/>
      <c r="G431" s="426"/>
      <c r="H431" s="434"/>
    </row>
    <row r="432" spans="1:8" s="428" customFormat="1" ht="18.75" customHeight="1">
      <c r="A432" s="421"/>
      <c r="B432" s="422"/>
      <c r="C432" s="423" t="s">
        <v>513</v>
      </c>
      <c r="D432" s="424">
        <f>SUM(D433,D434)</f>
        <v>11507420</v>
      </c>
      <c r="E432" s="424">
        <f>SUM(E433,E434)</f>
        <v>5865378.85</v>
      </c>
      <c r="F432" s="425">
        <f aca="true" t="shared" si="20" ref="F432:F457">E432/D432*100</f>
        <v>50.97040735455906</v>
      </c>
      <c r="G432" s="426"/>
      <c r="H432" s="427"/>
    </row>
    <row r="433" spans="1:8" s="435" customFormat="1" ht="15.75" customHeight="1">
      <c r="A433" s="429"/>
      <c r="B433" s="430"/>
      <c r="C433" s="431" t="s">
        <v>487</v>
      </c>
      <c r="D433" s="432">
        <v>9809700</v>
      </c>
      <c r="E433" s="432">
        <v>4977270.21</v>
      </c>
      <c r="F433" s="433">
        <f t="shared" si="20"/>
        <v>50.73825101685067</v>
      </c>
      <c r="G433" s="426"/>
      <c r="H433" s="434"/>
    </row>
    <row r="434" spans="1:8" s="435" customFormat="1" ht="15.75" customHeight="1">
      <c r="A434" s="429"/>
      <c r="B434" s="430"/>
      <c r="C434" s="431" t="s">
        <v>488</v>
      </c>
      <c r="D434" s="432">
        <v>1697720</v>
      </c>
      <c r="E434" s="432">
        <v>888108.64</v>
      </c>
      <c r="F434" s="433">
        <f t="shared" si="20"/>
        <v>52.31184412034965</v>
      </c>
      <c r="G434" s="426"/>
      <c r="H434" s="434"/>
    </row>
    <row r="435" spans="1:7" s="434" customFormat="1" ht="18.75" customHeight="1">
      <c r="A435" s="438"/>
      <c r="B435" s="439"/>
      <c r="C435" s="287" t="s">
        <v>515</v>
      </c>
      <c r="D435" s="288">
        <v>17046000</v>
      </c>
      <c r="E435" s="288">
        <v>5342091.99</v>
      </c>
      <c r="F435" s="475">
        <f t="shared" si="20"/>
        <v>31.33927015135516</v>
      </c>
      <c r="G435" s="426"/>
    </row>
    <row r="436" spans="1:7" s="212" customFormat="1" ht="18" customHeight="1">
      <c r="A436" s="469" t="s">
        <v>1053</v>
      </c>
      <c r="B436" s="449"/>
      <c r="C436" s="481" t="s">
        <v>1054</v>
      </c>
      <c r="D436" s="95">
        <f>SUM(D437)</f>
        <v>106500</v>
      </c>
      <c r="E436" s="95">
        <f>SUM(E437)</f>
        <v>13447.04</v>
      </c>
      <c r="F436" s="471">
        <f t="shared" si="20"/>
        <v>12.626328638497652</v>
      </c>
      <c r="G436" s="177"/>
    </row>
    <row r="437" spans="1:7" s="98" customFormat="1" ht="17.25" customHeight="1">
      <c r="A437" s="472"/>
      <c r="B437" s="451" t="s">
        <v>1055</v>
      </c>
      <c r="C437" s="473" t="s">
        <v>1056</v>
      </c>
      <c r="D437" s="100">
        <f>SUM(D438,D439)</f>
        <v>106500</v>
      </c>
      <c r="E437" s="100">
        <f>SUM(E438,E439)</f>
        <v>13447.04</v>
      </c>
      <c r="F437" s="474">
        <f t="shared" si="20"/>
        <v>12.626328638497652</v>
      </c>
      <c r="G437" s="177"/>
    </row>
    <row r="438" spans="1:7" s="434" customFormat="1" ht="18.75" customHeight="1">
      <c r="A438" s="438"/>
      <c r="B438" s="439"/>
      <c r="C438" s="287" t="s">
        <v>495</v>
      </c>
      <c r="D438" s="288">
        <v>96500</v>
      </c>
      <c r="E438" s="288">
        <v>13447.04</v>
      </c>
      <c r="F438" s="475">
        <f t="shared" si="20"/>
        <v>13.934756476683937</v>
      </c>
      <c r="G438" s="426"/>
    </row>
    <row r="439" spans="1:7" s="434" customFormat="1" ht="18.75" customHeight="1">
      <c r="A439" s="438"/>
      <c r="B439" s="439"/>
      <c r="C439" s="287" t="s">
        <v>515</v>
      </c>
      <c r="D439" s="288">
        <v>10000</v>
      </c>
      <c r="E439" s="288">
        <v>0</v>
      </c>
      <c r="F439" s="475">
        <f t="shared" si="20"/>
        <v>0</v>
      </c>
      <c r="G439" s="426"/>
    </row>
    <row r="440" spans="1:7" s="212" customFormat="1" ht="18.75" customHeight="1">
      <c r="A440" s="469" t="s">
        <v>1057</v>
      </c>
      <c r="B440" s="449"/>
      <c r="C440" s="470" t="s">
        <v>1058</v>
      </c>
      <c r="D440" s="95">
        <f>SUM(D441,D447,D449)</f>
        <v>475895</v>
      </c>
      <c r="E440" s="95">
        <f>SUM(E441,E447,E449)</f>
        <v>202843.53</v>
      </c>
      <c r="F440" s="471">
        <f t="shared" si="20"/>
        <v>42.623589237121635</v>
      </c>
      <c r="G440" s="177"/>
    </row>
    <row r="441" spans="1:7" s="98" customFormat="1" ht="18.75" customHeight="1">
      <c r="A441" s="472"/>
      <c r="B441" s="451" t="s">
        <v>1059</v>
      </c>
      <c r="C441" s="284" t="s">
        <v>33</v>
      </c>
      <c r="D441" s="100">
        <f>D442</f>
        <v>45000</v>
      </c>
      <c r="E441" s="100">
        <f>E442</f>
        <v>0</v>
      </c>
      <c r="F441" s="474">
        <f t="shared" si="20"/>
        <v>0</v>
      </c>
      <c r="G441" s="177"/>
    </row>
    <row r="442" spans="1:7" s="434" customFormat="1" ht="18.75" customHeight="1">
      <c r="A442" s="438"/>
      <c r="B442" s="439"/>
      <c r="C442" s="287" t="s">
        <v>495</v>
      </c>
      <c r="D442" s="288">
        <v>45000</v>
      </c>
      <c r="E442" s="288">
        <v>0</v>
      </c>
      <c r="F442" s="475">
        <f t="shared" si="20"/>
        <v>0</v>
      </c>
      <c r="G442" s="426"/>
    </row>
    <row r="443" spans="1:8" s="435" customFormat="1" ht="11.25" customHeight="1" hidden="1">
      <c r="A443" s="429"/>
      <c r="B443" s="430"/>
      <c r="C443" s="476" t="s">
        <v>511</v>
      </c>
      <c r="D443" s="432"/>
      <c r="E443" s="432"/>
      <c r="F443" s="477"/>
      <c r="G443" s="426"/>
      <c r="H443" s="434"/>
    </row>
    <row r="444" spans="1:8" s="428" customFormat="1" ht="18.75" customHeight="1" hidden="1">
      <c r="A444" s="421"/>
      <c r="B444" s="422"/>
      <c r="C444" s="423" t="s">
        <v>513</v>
      </c>
      <c r="D444" s="424">
        <f>SUM(D445,D446)</f>
        <v>0</v>
      </c>
      <c r="E444" s="424">
        <f>SUM(E445,E446)</f>
        <v>0</v>
      </c>
      <c r="F444" s="425" t="e">
        <f>E444/D444*100</f>
        <v>#DIV/0!</v>
      </c>
      <c r="G444" s="426"/>
      <c r="H444" s="427"/>
    </row>
    <row r="445" spans="1:8" s="435" customFormat="1" ht="15.75" customHeight="1" hidden="1">
      <c r="A445" s="429"/>
      <c r="B445" s="430"/>
      <c r="C445" s="431" t="s">
        <v>487</v>
      </c>
      <c r="D445" s="432">
        <v>0</v>
      </c>
      <c r="E445" s="432">
        <v>0</v>
      </c>
      <c r="F445" s="433" t="e">
        <f>E445/D445*100</f>
        <v>#DIV/0!</v>
      </c>
      <c r="G445" s="426"/>
      <c r="H445" s="434"/>
    </row>
    <row r="446" spans="1:8" s="435" customFormat="1" ht="15.75" customHeight="1" hidden="1">
      <c r="A446" s="429"/>
      <c r="B446" s="430"/>
      <c r="C446" s="431" t="s">
        <v>488</v>
      </c>
      <c r="D446" s="432">
        <v>0</v>
      </c>
      <c r="E446" s="432">
        <v>0</v>
      </c>
      <c r="F446" s="433" t="e">
        <f>E446/D446*100</f>
        <v>#DIV/0!</v>
      </c>
      <c r="G446" s="426"/>
      <c r="H446" s="434"/>
    </row>
    <row r="447" spans="1:7" s="98" customFormat="1" ht="18.75" customHeight="1">
      <c r="A447" s="472"/>
      <c r="B447" s="451" t="s">
        <v>1060</v>
      </c>
      <c r="C447" s="473" t="s">
        <v>1061</v>
      </c>
      <c r="D447" s="100">
        <f>D448</f>
        <v>31000</v>
      </c>
      <c r="E447" s="100">
        <f>E448</f>
        <v>0</v>
      </c>
      <c r="F447" s="474">
        <f t="shared" si="20"/>
        <v>0</v>
      </c>
      <c r="G447" s="177"/>
    </row>
    <row r="448" spans="1:7" s="434" customFormat="1" ht="18.75" customHeight="1">
      <c r="A448" s="438"/>
      <c r="B448" s="439"/>
      <c r="C448" s="287" t="s">
        <v>495</v>
      </c>
      <c r="D448" s="288">
        <v>31000</v>
      </c>
      <c r="E448" s="288">
        <v>0</v>
      </c>
      <c r="F448" s="475">
        <f t="shared" si="20"/>
        <v>0</v>
      </c>
      <c r="G448" s="426"/>
    </row>
    <row r="449" spans="1:7" s="98" customFormat="1" ht="18.75" customHeight="1">
      <c r="A449" s="450"/>
      <c r="B449" s="451" t="s">
        <v>1062</v>
      </c>
      <c r="C449" s="284" t="s">
        <v>1066</v>
      </c>
      <c r="D449" s="100">
        <f>SUM(D450)</f>
        <v>399895</v>
      </c>
      <c r="E449" s="100">
        <f>SUM(E450)</f>
        <v>202843.53</v>
      </c>
      <c r="F449" s="474">
        <f>E449/D449*100</f>
        <v>50.72419760187049</v>
      </c>
      <c r="G449" s="177"/>
    </row>
    <row r="450" spans="1:7" s="434" customFormat="1" ht="18.75" customHeight="1">
      <c r="A450" s="442"/>
      <c r="B450" s="439"/>
      <c r="C450" s="287" t="s">
        <v>495</v>
      </c>
      <c r="D450" s="288">
        <v>399895</v>
      </c>
      <c r="E450" s="288">
        <v>202843.53</v>
      </c>
      <c r="F450" s="475">
        <f>E450/D450*100</f>
        <v>50.72419760187049</v>
      </c>
      <c r="G450" s="426"/>
    </row>
    <row r="451" spans="1:8" s="435" customFormat="1" ht="12" customHeight="1">
      <c r="A451" s="440"/>
      <c r="B451" s="430"/>
      <c r="C451" s="476" t="s">
        <v>511</v>
      </c>
      <c r="D451" s="432"/>
      <c r="E451" s="432"/>
      <c r="F451" s="477"/>
      <c r="G451" s="426"/>
      <c r="H451" s="434"/>
    </row>
    <row r="452" spans="1:8" s="428" customFormat="1" ht="18.75" customHeight="1">
      <c r="A452" s="443"/>
      <c r="B452" s="422"/>
      <c r="C452" s="423" t="s">
        <v>513</v>
      </c>
      <c r="D452" s="424">
        <f>SUM(D453,D454)</f>
        <v>352795</v>
      </c>
      <c r="E452" s="424">
        <f>SUM(E453,E454)</f>
        <v>189040.08</v>
      </c>
      <c r="F452" s="425">
        <f>E452/D452*100</f>
        <v>53.58354851967856</v>
      </c>
      <c r="G452" s="426"/>
      <c r="H452" s="427"/>
    </row>
    <row r="453" spans="1:8" s="435" customFormat="1" ht="18.75" customHeight="1">
      <c r="A453" s="440"/>
      <c r="B453" s="430"/>
      <c r="C453" s="431" t="s">
        <v>487</v>
      </c>
      <c r="D453" s="432">
        <v>305739</v>
      </c>
      <c r="E453" s="432">
        <v>168453.96</v>
      </c>
      <c r="F453" s="433">
        <f>E453/D453*100</f>
        <v>55.097308488612825</v>
      </c>
      <c r="G453" s="426"/>
      <c r="H453" s="434"/>
    </row>
    <row r="454" spans="1:8" s="435" customFormat="1" ht="18.75" customHeight="1">
      <c r="A454" s="440"/>
      <c r="B454" s="430"/>
      <c r="C454" s="431" t="s">
        <v>488</v>
      </c>
      <c r="D454" s="432">
        <v>47056</v>
      </c>
      <c r="E454" s="432">
        <v>20586.12</v>
      </c>
      <c r="F454" s="433">
        <f>E454/D454*100</f>
        <v>43.74812988779326</v>
      </c>
      <c r="G454" s="426"/>
      <c r="H454" s="434"/>
    </row>
    <row r="455" spans="1:7" s="212" customFormat="1" ht="18.75" customHeight="1">
      <c r="A455" s="448" t="s">
        <v>1069</v>
      </c>
      <c r="B455" s="449"/>
      <c r="C455" s="481" t="s">
        <v>1070</v>
      </c>
      <c r="D455" s="95">
        <f>SUM(D456,D462,D468)</f>
        <v>1819023</v>
      </c>
      <c r="E455" s="95">
        <f>SUM(E456,E462,E468)</f>
        <v>1012646.5</v>
      </c>
      <c r="F455" s="471">
        <f t="shared" si="20"/>
        <v>55.669801866166615</v>
      </c>
      <c r="G455" s="177"/>
    </row>
    <row r="456" spans="1:7" s="98" customFormat="1" ht="18.75" customHeight="1">
      <c r="A456" s="450"/>
      <c r="B456" s="451" t="s">
        <v>1071</v>
      </c>
      <c r="C456" s="284" t="s">
        <v>1077</v>
      </c>
      <c r="D456" s="100">
        <f>D457</f>
        <v>82100</v>
      </c>
      <c r="E456" s="100">
        <f>E457</f>
        <v>40696</v>
      </c>
      <c r="F456" s="474">
        <f t="shared" si="20"/>
        <v>49.568818514007305</v>
      </c>
      <c r="G456" s="177"/>
    </row>
    <row r="457" spans="1:7" s="434" customFormat="1" ht="18.75" customHeight="1">
      <c r="A457" s="442"/>
      <c r="B457" s="439"/>
      <c r="C457" s="287" t="s">
        <v>495</v>
      </c>
      <c r="D457" s="288">
        <v>82100</v>
      </c>
      <c r="E457" s="288">
        <v>40696</v>
      </c>
      <c r="F457" s="475">
        <f t="shared" si="20"/>
        <v>49.568818514007305</v>
      </c>
      <c r="G457" s="426"/>
    </row>
    <row r="458" spans="1:8" s="435" customFormat="1" ht="12" customHeight="1">
      <c r="A458" s="440"/>
      <c r="B458" s="430"/>
      <c r="C458" s="476" t="s">
        <v>511</v>
      </c>
      <c r="D458" s="432"/>
      <c r="E458" s="432"/>
      <c r="F458" s="477"/>
      <c r="G458" s="426"/>
      <c r="H458" s="434"/>
    </row>
    <row r="459" spans="1:8" s="428" customFormat="1" ht="18.75" customHeight="1">
      <c r="A459" s="443"/>
      <c r="B459" s="422"/>
      <c r="C459" s="423" t="s">
        <v>513</v>
      </c>
      <c r="D459" s="424">
        <f>SUM(D460,D461)</f>
        <v>80240</v>
      </c>
      <c r="E459" s="424">
        <f>SUM(E460,E461)</f>
        <v>38836</v>
      </c>
      <c r="F459" s="425">
        <f>E459/D459*100</f>
        <v>48.39980059820538</v>
      </c>
      <c r="G459" s="426"/>
      <c r="H459" s="427"/>
    </row>
    <row r="460" spans="1:8" s="435" customFormat="1" ht="18.75" customHeight="1">
      <c r="A460" s="440"/>
      <c r="B460" s="430"/>
      <c r="C460" s="431" t="s">
        <v>487</v>
      </c>
      <c r="D460" s="432">
        <v>68131</v>
      </c>
      <c r="E460" s="432">
        <v>31946.39</v>
      </c>
      <c r="F460" s="433">
        <f>E460/D460*100</f>
        <v>46.88965375526559</v>
      </c>
      <c r="G460" s="426"/>
      <c r="H460" s="434"/>
    </row>
    <row r="461" spans="1:8" s="435" customFormat="1" ht="18.75" customHeight="1">
      <c r="A461" s="440"/>
      <c r="B461" s="430"/>
      <c r="C461" s="431" t="s">
        <v>488</v>
      </c>
      <c r="D461" s="432">
        <v>12109</v>
      </c>
      <c r="E461" s="432">
        <v>6889.61</v>
      </c>
      <c r="F461" s="433">
        <f>E461/D461*100</f>
        <v>56.8966058303741</v>
      </c>
      <c r="G461" s="426"/>
      <c r="H461" s="434"/>
    </row>
    <row r="462" spans="1:7" s="98" customFormat="1" ht="18.75" customHeight="1">
      <c r="A462" s="450"/>
      <c r="B462" s="451" t="s">
        <v>1078</v>
      </c>
      <c r="C462" s="480" t="s">
        <v>1079</v>
      </c>
      <c r="D462" s="100">
        <f>D463</f>
        <v>1716923</v>
      </c>
      <c r="E462" s="100">
        <f>E463</f>
        <v>959248.94</v>
      </c>
      <c r="F462" s="474">
        <f>E462/D462*100</f>
        <v>55.87023646372027</v>
      </c>
      <c r="G462" s="177"/>
    </row>
    <row r="463" spans="1:7" s="434" customFormat="1" ht="18.75" customHeight="1">
      <c r="A463" s="442"/>
      <c r="B463" s="439"/>
      <c r="C463" s="287" t="s">
        <v>495</v>
      </c>
      <c r="D463" s="288">
        <v>1716923</v>
      </c>
      <c r="E463" s="288">
        <v>959248.94</v>
      </c>
      <c r="F463" s="475">
        <f>E463/D463*100</f>
        <v>55.87023646372027</v>
      </c>
      <c r="G463" s="426"/>
    </row>
    <row r="464" spans="1:8" s="435" customFormat="1" ht="12" customHeight="1">
      <c r="A464" s="440"/>
      <c r="B464" s="430"/>
      <c r="C464" s="476" t="s">
        <v>511</v>
      </c>
      <c r="D464" s="432"/>
      <c r="E464" s="432"/>
      <c r="F464" s="477"/>
      <c r="G464" s="426"/>
      <c r="H464" s="434"/>
    </row>
    <row r="465" spans="1:8" s="428" customFormat="1" ht="18.75" customHeight="1">
      <c r="A465" s="443"/>
      <c r="B465" s="422"/>
      <c r="C465" s="423" t="s">
        <v>513</v>
      </c>
      <c r="D465" s="424">
        <f>SUM(D466,D467)</f>
        <v>1392822</v>
      </c>
      <c r="E465" s="424">
        <f>SUM(E466,E467)</f>
        <v>766579.74</v>
      </c>
      <c r="F465" s="425">
        <f>E465/D465*100</f>
        <v>55.03788280196608</v>
      </c>
      <c r="G465" s="426"/>
      <c r="H465" s="427"/>
    </row>
    <row r="466" spans="1:8" s="435" customFormat="1" ht="18.75" customHeight="1">
      <c r="A466" s="440"/>
      <c r="B466" s="430"/>
      <c r="C466" s="431" t="s">
        <v>487</v>
      </c>
      <c r="D466" s="432">
        <v>1165705</v>
      </c>
      <c r="E466" s="432">
        <v>651801.87</v>
      </c>
      <c r="F466" s="433">
        <f>E466/D466*100</f>
        <v>55.91482150286736</v>
      </c>
      <c r="G466" s="426"/>
      <c r="H466" s="434"/>
    </row>
    <row r="467" spans="1:8" s="435" customFormat="1" ht="18.75" customHeight="1">
      <c r="A467" s="440"/>
      <c r="B467" s="430"/>
      <c r="C467" s="431" t="s">
        <v>488</v>
      </c>
      <c r="D467" s="432">
        <v>227117</v>
      </c>
      <c r="E467" s="432">
        <v>114777.87</v>
      </c>
      <c r="F467" s="433">
        <f>E467/D467*100</f>
        <v>50.53689067749222</v>
      </c>
      <c r="G467" s="426"/>
      <c r="H467" s="434"/>
    </row>
    <row r="468" spans="1:7" s="98" customFormat="1" ht="18.75" customHeight="1">
      <c r="A468" s="450"/>
      <c r="B468" s="451" t="s">
        <v>1081</v>
      </c>
      <c r="C468" s="284" t="s">
        <v>1082</v>
      </c>
      <c r="D468" s="100">
        <f>D469</f>
        <v>20000</v>
      </c>
      <c r="E468" s="100">
        <f>E469</f>
        <v>12701.56</v>
      </c>
      <c r="F468" s="474">
        <f>E468/D468*100</f>
        <v>63.50779999999999</v>
      </c>
      <c r="G468" s="177"/>
    </row>
    <row r="469" spans="1:7" s="434" customFormat="1" ht="18.75" customHeight="1">
      <c r="A469" s="442"/>
      <c r="B469" s="439"/>
      <c r="C469" s="287" t="s">
        <v>495</v>
      </c>
      <c r="D469" s="288">
        <v>20000</v>
      </c>
      <c r="E469" s="288">
        <v>12701.56</v>
      </c>
      <c r="F469" s="475">
        <f>E469/D469*100</f>
        <v>63.50779999999999</v>
      </c>
      <c r="G469" s="426"/>
    </row>
    <row r="470" spans="1:8" s="435" customFormat="1" ht="12" customHeight="1">
      <c r="A470" s="440"/>
      <c r="B470" s="430"/>
      <c r="C470" s="476" t="s">
        <v>511</v>
      </c>
      <c r="D470" s="432"/>
      <c r="E470" s="432"/>
      <c r="F470" s="477"/>
      <c r="G470" s="426"/>
      <c r="H470" s="434"/>
    </row>
    <row r="471" spans="1:8" s="428" customFormat="1" ht="18.75" customHeight="1">
      <c r="A471" s="443"/>
      <c r="B471" s="422"/>
      <c r="C471" s="423" t="s">
        <v>513</v>
      </c>
      <c r="D471" s="424">
        <f>SUM(D472,D473)</f>
        <v>5755</v>
      </c>
      <c r="E471" s="424">
        <f>SUM(E472,E473)</f>
        <v>5754.6</v>
      </c>
      <c r="F471" s="425">
        <f aca="true" t="shared" si="21" ref="F471:F487">E471/D471*100</f>
        <v>99.99304952215465</v>
      </c>
      <c r="G471" s="426"/>
      <c r="H471" s="427"/>
    </row>
    <row r="472" spans="1:8" s="428" customFormat="1" ht="18.75" customHeight="1">
      <c r="A472" s="443"/>
      <c r="B472" s="422"/>
      <c r="C472" s="431" t="s">
        <v>487</v>
      </c>
      <c r="D472" s="432">
        <v>5445</v>
      </c>
      <c r="E472" s="432">
        <v>5445</v>
      </c>
      <c r="F472" s="433">
        <f t="shared" si="21"/>
        <v>100</v>
      </c>
      <c r="G472" s="426"/>
      <c r="H472" s="427"/>
    </row>
    <row r="473" spans="1:8" s="428" customFormat="1" ht="18.75" customHeight="1">
      <c r="A473" s="443"/>
      <c r="B473" s="422"/>
      <c r="C473" s="431" t="s">
        <v>488</v>
      </c>
      <c r="D473" s="432">
        <v>310</v>
      </c>
      <c r="E473" s="432">
        <v>309.6</v>
      </c>
      <c r="F473" s="433">
        <f t="shared" si="21"/>
        <v>99.87096774193549</v>
      </c>
      <c r="G473" s="426"/>
      <c r="H473" s="427"/>
    </row>
    <row r="474" spans="1:8" s="435" customFormat="1" ht="27.75" customHeight="1">
      <c r="A474" s="484" t="s">
        <v>1085</v>
      </c>
      <c r="B474" s="449"/>
      <c r="C474" s="470" t="s">
        <v>74</v>
      </c>
      <c r="D474" s="95">
        <f>SUM(D475,D482,D486)</f>
        <v>3919949</v>
      </c>
      <c r="E474" s="95">
        <f>SUM(E475,E482,E486)</f>
        <v>2121663.15</v>
      </c>
      <c r="F474" s="471">
        <f t="shared" si="21"/>
        <v>54.1247641232067</v>
      </c>
      <c r="G474" s="426"/>
      <c r="H474" s="434"/>
    </row>
    <row r="475" spans="1:8" s="435" customFormat="1" ht="18.75" customHeight="1">
      <c r="A475" s="450"/>
      <c r="B475" s="451" t="s">
        <v>528</v>
      </c>
      <c r="C475" s="480" t="s">
        <v>529</v>
      </c>
      <c r="D475" s="100">
        <f>SUM(D476,D479)</f>
        <v>102500</v>
      </c>
      <c r="E475" s="100">
        <f>SUM(E476,E479)</f>
        <v>102500</v>
      </c>
      <c r="F475" s="474">
        <f t="shared" si="21"/>
        <v>100</v>
      </c>
      <c r="G475" s="426"/>
      <c r="H475" s="434"/>
    </row>
    <row r="476" spans="1:8" s="435" customFormat="1" ht="18.75" customHeight="1">
      <c r="A476" s="442"/>
      <c r="B476" s="439"/>
      <c r="C476" s="287" t="s">
        <v>495</v>
      </c>
      <c r="D476" s="288">
        <v>102500</v>
      </c>
      <c r="E476" s="288">
        <v>102500</v>
      </c>
      <c r="F476" s="475">
        <f t="shared" si="21"/>
        <v>100</v>
      </c>
      <c r="G476" s="426"/>
      <c r="H476" s="528"/>
    </row>
    <row r="477" spans="1:8" s="435" customFormat="1" ht="12" customHeight="1">
      <c r="A477" s="440"/>
      <c r="B477" s="430"/>
      <c r="C477" s="476" t="s">
        <v>511</v>
      </c>
      <c r="D477" s="432"/>
      <c r="E477" s="432"/>
      <c r="F477" s="477"/>
      <c r="G477" s="426"/>
      <c r="H477" s="434"/>
    </row>
    <row r="478" spans="1:8" s="428" customFormat="1" ht="18.75" customHeight="1">
      <c r="A478" s="443"/>
      <c r="B478" s="422"/>
      <c r="C478" s="423" t="s">
        <v>514</v>
      </c>
      <c r="D478" s="424">
        <v>102500</v>
      </c>
      <c r="E478" s="424">
        <v>102500</v>
      </c>
      <c r="F478" s="425">
        <f>E478/D478*100</f>
        <v>100</v>
      </c>
      <c r="G478" s="426"/>
      <c r="H478" s="427"/>
    </row>
    <row r="479" spans="1:7" s="98" customFormat="1" ht="18.75" customHeight="1" hidden="1">
      <c r="A479" s="429"/>
      <c r="B479" s="430"/>
      <c r="C479" s="287" t="s">
        <v>515</v>
      </c>
      <c r="D479" s="288">
        <v>0</v>
      </c>
      <c r="E479" s="288"/>
      <c r="F479" s="475" t="e">
        <f>E479/D479*100</f>
        <v>#DIV/0!</v>
      </c>
      <c r="G479" s="177"/>
    </row>
    <row r="480" spans="1:7" s="98" customFormat="1" ht="13.5" customHeight="1" hidden="1">
      <c r="A480" s="429"/>
      <c r="B480" s="430"/>
      <c r="C480" s="476" t="s">
        <v>511</v>
      </c>
      <c r="D480" s="288"/>
      <c r="E480" s="288"/>
      <c r="F480" s="475"/>
      <c r="G480" s="177"/>
    </row>
    <row r="481" spans="1:7" s="212" customFormat="1" ht="18.75" customHeight="1" hidden="1">
      <c r="A481" s="443"/>
      <c r="B481" s="492"/>
      <c r="C481" s="423" t="s">
        <v>514</v>
      </c>
      <c r="D481" s="424">
        <v>0</v>
      </c>
      <c r="E481" s="424"/>
      <c r="F481" s="425" t="e">
        <f>E481/D481*100</f>
        <v>#DIV/0!</v>
      </c>
      <c r="G481" s="177"/>
    </row>
    <row r="482" spans="1:8" s="530" customFormat="1" ht="18.75" customHeight="1">
      <c r="A482" s="450"/>
      <c r="B482" s="451" t="s">
        <v>1026</v>
      </c>
      <c r="C482" s="473" t="s">
        <v>1027</v>
      </c>
      <c r="D482" s="100">
        <f>SUM(D483)</f>
        <v>7000</v>
      </c>
      <c r="E482" s="100">
        <f>SUM(E483)</f>
        <v>7000</v>
      </c>
      <c r="F482" s="474">
        <f t="shared" si="21"/>
        <v>100</v>
      </c>
      <c r="G482" s="177"/>
      <c r="H482" s="529"/>
    </row>
    <row r="483" spans="1:8" s="435" customFormat="1" ht="18.75" customHeight="1">
      <c r="A483" s="442"/>
      <c r="B483" s="439"/>
      <c r="C483" s="287" t="s">
        <v>495</v>
      </c>
      <c r="D483" s="288">
        <v>7000</v>
      </c>
      <c r="E483" s="288">
        <v>7000</v>
      </c>
      <c r="F483" s="475">
        <f>E483/D483*100</f>
        <v>100</v>
      </c>
      <c r="G483" s="426"/>
      <c r="H483" s="528"/>
    </row>
    <row r="484" spans="1:8" s="435" customFormat="1" ht="12" customHeight="1">
      <c r="A484" s="440"/>
      <c r="B484" s="430"/>
      <c r="C484" s="476" t="s">
        <v>511</v>
      </c>
      <c r="D484" s="432"/>
      <c r="E484" s="432"/>
      <c r="F484" s="477"/>
      <c r="G484" s="426"/>
      <c r="H484" s="434"/>
    </row>
    <row r="485" spans="1:8" s="428" customFormat="1" ht="18.75" customHeight="1">
      <c r="A485" s="443"/>
      <c r="B485" s="422"/>
      <c r="C485" s="423" t="s">
        <v>514</v>
      </c>
      <c r="D485" s="424">
        <v>7000</v>
      </c>
      <c r="E485" s="424">
        <v>7000</v>
      </c>
      <c r="F485" s="425">
        <f>E485/D485*100</f>
        <v>100</v>
      </c>
      <c r="G485" s="426"/>
      <c r="H485" s="427"/>
    </row>
    <row r="486" spans="1:8" s="435" customFormat="1" ht="18.75" customHeight="1">
      <c r="A486" s="450"/>
      <c r="B486" s="451" t="s">
        <v>1086</v>
      </c>
      <c r="C486" s="473" t="s">
        <v>44</v>
      </c>
      <c r="D486" s="100">
        <f>SUM(D487,D492)</f>
        <v>3810449</v>
      </c>
      <c r="E486" s="100">
        <f>SUM(E487,E492)</f>
        <v>2012163.15</v>
      </c>
      <c r="F486" s="474">
        <f t="shared" si="21"/>
        <v>52.80645797909905</v>
      </c>
      <c r="G486" s="426"/>
      <c r="H486" s="434"/>
    </row>
    <row r="487" spans="1:8" s="435" customFormat="1" ht="18.75" customHeight="1">
      <c r="A487" s="442"/>
      <c r="B487" s="439"/>
      <c r="C487" s="287" t="s">
        <v>495</v>
      </c>
      <c r="D487" s="288">
        <v>3810449</v>
      </c>
      <c r="E487" s="288">
        <v>2012163.15</v>
      </c>
      <c r="F487" s="475">
        <f t="shared" si="21"/>
        <v>52.80645797909905</v>
      </c>
      <c r="G487" s="426"/>
      <c r="H487" s="434"/>
    </row>
    <row r="488" spans="1:8" s="435" customFormat="1" ht="12" customHeight="1">
      <c r="A488" s="440"/>
      <c r="B488" s="430"/>
      <c r="C488" s="476" t="s">
        <v>511</v>
      </c>
      <c r="D488" s="432"/>
      <c r="E488" s="432"/>
      <c r="F488" s="477"/>
      <c r="G488" s="426"/>
      <c r="H488" s="434"/>
    </row>
    <row r="489" spans="1:7" s="212" customFormat="1" ht="18.75" customHeight="1">
      <c r="A489" s="443"/>
      <c r="B489" s="422"/>
      <c r="C489" s="423" t="s">
        <v>513</v>
      </c>
      <c r="D489" s="424">
        <f>SUM(D490,D491)</f>
        <v>3128682</v>
      </c>
      <c r="E489" s="424">
        <f>SUM(E490,E491)</f>
        <v>1541143.72</v>
      </c>
      <c r="F489" s="425">
        <f aca="true" t="shared" si="22" ref="F489:F495">E489/D489*100</f>
        <v>49.25856063351916</v>
      </c>
      <c r="G489" s="177"/>
    </row>
    <row r="490" spans="1:7" s="98" customFormat="1" ht="18.75" customHeight="1">
      <c r="A490" s="440"/>
      <c r="B490" s="430"/>
      <c r="C490" s="431" t="s">
        <v>487</v>
      </c>
      <c r="D490" s="432">
        <v>3119367</v>
      </c>
      <c r="E490" s="432">
        <v>1536972.03</v>
      </c>
      <c r="F490" s="433">
        <f t="shared" si="22"/>
        <v>49.27192055311222</v>
      </c>
      <c r="G490" s="177"/>
    </row>
    <row r="491" spans="1:7" s="98" customFormat="1" ht="18.75" customHeight="1">
      <c r="A491" s="440"/>
      <c r="B491" s="453"/>
      <c r="C491" s="454" t="s">
        <v>488</v>
      </c>
      <c r="D491" s="455">
        <v>9315</v>
      </c>
      <c r="E491" s="455">
        <v>4171.69</v>
      </c>
      <c r="F491" s="456">
        <f t="shared" si="22"/>
        <v>44.78464841653247</v>
      </c>
      <c r="G491" s="177"/>
    </row>
    <row r="492" spans="1:8" s="435" customFormat="1" ht="18.75" customHeight="1" hidden="1">
      <c r="A492" s="438"/>
      <c r="B492" s="439"/>
      <c r="C492" s="287" t="s">
        <v>515</v>
      </c>
      <c r="D492" s="288">
        <v>0</v>
      </c>
      <c r="E492" s="288"/>
      <c r="F492" s="475" t="e">
        <f t="shared" si="22"/>
        <v>#DIV/0!</v>
      </c>
      <c r="G492" s="426"/>
      <c r="H492" s="434"/>
    </row>
    <row r="493" spans="1:7" s="98" customFormat="1" ht="18.75" customHeight="1">
      <c r="A493" s="448" t="s">
        <v>1092</v>
      </c>
      <c r="B493" s="449"/>
      <c r="C493" s="481" t="s">
        <v>1093</v>
      </c>
      <c r="D493" s="95">
        <f>SUM(D494,D500,D506,D514,D520,D527,D533,D539,D541)</f>
        <v>13424787</v>
      </c>
      <c r="E493" s="95">
        <f>SUM(E494,E500,E506,E514,E520,E527,E533,E539,E541)</f>
        <v>6721937.08</v>
      </c>
      <c r="F493" s="471">
        <f t="shared" si="22"/>
        <v>50.07108924707707</v>
      </c>
      <c r="G493" s="177"/>
    </row>
    <row r="494" spans="1:8" s="435" customFormat="1" ht="18.75" customHeight="1">
      <c r="A494" s="450"/>
      <c r="B494" s="451" t="s">
        <v>553</v>
      </c>
      <c r="C494" s="480" t="s">
        <v>554</v>
      </c>
      <c r="D494" s="100">
        <f>D495</f>
        <v>812813</v>
      </c>
      <c r="E494" s="100">
        <f>E495</f>
        <v>472722.01</v>
      </c>
      <c r="F494" s="474">
        <f t="shared" si="22"/>
        <v>58.158765915407365</v>
      </c>
      <c r="G494" s="426"/>
      <c r="H494" s="434"/>
    </row>
    <row r="495" spans="1:7" s="434" customFormat="1" ht="18.75" customHeight="1">
      <c r="A495" s="442"/>
      <c r="B495" s="439"/>
      <c r="C495" s="287" t="s">
        <v>495</v>
      </c>
      <c r="D495" s="288">
        <v>812813</v>
      </c>
      <c r="E495" s="288">
        <v>472722.01</v>
      </c>
      <c r="F495" s="475">
        <f t="shared" si="22"/>
        <v>58.158765915407365</v>
      </c>
      <c r="G495" s="426"/>
    </row>
    <row r="496" spans="1:8" s="435" customFormat="1" ht="12" customHeight="1">
      <c r="A496" s="440"/>
      <c r="B496" s="430"/>
      <c r="C496" s="476" t="s">
        <v>511</v>
      </c>
      <c r="D496" s="432"/>
      <c r="E496" s="432"/>
      <c r="F496" s="477"/>
      <c r="G496" s="426"/>
      <c r="H496" s="434"/>
    </row>
    <row r="497" spans="1:7" s="212" customFormat="1" ht="18.75" customHeight="1">
      <c r="A497" s="443"/>
      <c r="B497" s="422"/>
      <c r="C497" s="423" t="s">
        <v>513</v>
      </c>
      <c r="D497" s="424">
        <f>SUM(D498,D499)</f>
        <v>672093</v>
      </c>
      <c r="E497" s="424">
        <f>SUM(E498,E499)</f>
        <v>379602.65</v>
      </c>
      <c r="F497" s="425">
        <f>E497/D497*100</f>
        <v>56.480673061614986</v>
      </c>
      <c r="G497" s="177"/>
    </row>
    <row r="498" spans="1:7" s="98" customFormat="1" ht="18.75" customHeight="1">
      <c r="A498" s="440"/>
      <c r="B498" s="430"/>
      <c r="C498" s="431" t="s">
        <v>487</v>
      </c>
      <c r="D498" s="432">
        <v>576958</v>
      </c>
      <c r="E498" s="432">
        <v>324429.18</v>
      </c>
      <c r="F498" s="433">
        <f>E498/D498*100</f>
        <v>56.23098735089902</v>
      </c>
      <c r="G498" s="177"/>
    </row>
    <row r="499" spans="1:7" s="98" customFormat="1" ht="18.75" customHeight="1">
      <c r="A499" s="440"/>
      <c r="B499" s="430"/>
      <c r="C499" s="431" t="s">
        <v>488</v>
      </c>
      <c r="D499" s="432">
        <v>95135</v>
      </c>
      <c r="E499" s="432">
        <v>55173.47</v>
      </c>
      <c r="F499" s="433">
        <f>E499/D499*100</f>
        <v>57.994923004152</v>
      </c>
      <c r="G499" s="177"/>
    </row>
    <row r="500" spans="1:8" s="435" customFormat="1" ht="18.75" customHeight="1">
      <c r="A500" s="450"/>
      <c r="B500" s="451" t="s">
        <v>573</v>
      </c>
      <c r="C500" s="480" t="s">
        <v>574</v>
      </c>
      <c r="D500" s="100">
        <f>D501</f>
        <v>611776</v>
      </c>
      <c r="E500" s="100">
        <f>E501</f>
        <v>314722.7</v>
      </c>
      <c r="F500" s="474">
        <f>E500/D500*100</f>
        <v>51.444106993409356</v>
      </c>
      <c r="G500" s="426"/>
      <c r="H500" s="434"/>
    </row>
    <row r="501" spans="1:6" ht="15.75" customHeight="1">
      <c r="A501" s="442"/>
      <c r="B501" s="439"/>
      <c r="C501" s="287" t="s">
        <v>495</v>
      </c>
      <c r="D501" s="288">
        <v>611776</v>
      </c>
      <c r="E501" s="288">
        <v>314722.7</v>
      </c>
      <c r="F501" s="475">
        <f>E501/D501*100</f>
        <v>51.444106993409356</v>
      </c>
    </row>
    <row r="502" spans="1:6" ht="12" customHeight="1">
      <c r="A502" s="440"/>
      <c r="B502" s="430"/>
      <c r="C502" s="476" t="s">
        <v>511</v>
      </c>
      <c r="D502" s="432"/>
      <c r="E502" s="432"/>
      <c r="F502" s="477"/>
    </row>
    <row r="503" spans="1:7" s="212" customFormat="1" ht="17.25" customHeight="1">
      <c r="A503" s="443"/>
      <c r="B503" s="422"/>
      <c r="C503" s="423" t="s">
        <v>513</v>
      </c>
      <c r="D503" s="424">
        <f>SUM(D504,D505)</f>
        <v>545693</v>
      </c>
      <c r="E503" s="424">
        <f>SUM(E504,E505)</f>
        <v>274245.93</v>
      </c>
      <c r="F503" s="425">
        <f>E503/D503*100</f>
        <v>50.256450055250845</v>
      </c>
      <c r="G503" s="177"/>
    </row>
    <row r="504" spans="1:7" s="98" customFormat="1" ht="17.25" customHeight="1">
      <c r="A504" s="440"/>
      <c r="B504" s="430"/>
      <c r="C504" s="431" t="s">
        <v>487</v>
      </c>
      <c r="D504" s="432">
        <v>465281</v>
      </c>
      <c r="E504" s="432">
        <v>233240.44</v>
      </c>
      <c r="F504" s="433">
        <f>E504/D504*100</f>
        <v>50.12894143539066</v>
      </c>
      <c r="G504" s="177"/>
    </row>
    <row r="505" spans="1:7" s="98" customFormat="1" ht="17.25" customHeight="1">
      <c r="A505" s="440"/>
      <c r="B505" s="430"/>
      <c r="C505" s="431" t="s">
        <v>488</v>
      </c>
      <c r="D505" s="432">
        <v>80412</v>
      </c>
      <c r="E505" s="432">
        <v>41005.49</v>
      </c>
      <c r="F505" s="433">
        <f>E505/D505*100</f>
        <v>50.99424215291249</v>
      </c>
      <c r="G505" s="177"/>
    </row>
    <row r="506" spans="1:8" s="435" customFormat="1" ht="18.75" customHeight="1">
      <c r="A506" s="450"/>
      <c r="B506" s="451" t="s">
        <v>1098</v>
      </c>
      <c r="C506" s="480" t="s">
        <v>576</v>
      </c>
      <c r="D506" s="100">
        <f>SUM(D507,D513)</f>
        <v>4620914</v>
      </c>
      <c r="E506" s="100">
        <f>SUM(E507,E513)</f>
        <v>2162938.3</v>
      </c>
      <c r="F506" s="474">
        <f>E506/D506*100</f>
        <v>46.80758611824414</v>
      </c>
      <c r="G506" s="426"/>
      <c r="H506" s="434"/>
    </row>
    <row r="507" spans="1:8" s="435" customFormat="1" ht="18.75" customHeight="1">
      <c r="A507" s="442"/>
      <c r="B507" s="439"/>
      <c r="C507" s="287" t="s">
        <v>495</v>
      </c>
      <c r="D507" s="288">
        <v>4620914</v>
      </c>
      <c r="E507" s="288">
        <v>2162938.3</v>
      </c>
      <c r="F507" s="475">
        <f>E507/D507*100</f>
        <v>46.80758611824414</v>
      </c>
      <c r="G507" s="426"/>
      <c r="H507" s="434"/>
    </row>
    <row r="508" spans="1:8" s="435" customFormat="1" ht="12" customHeight="1">
      <c r="A508" s="440"/>
      <c r="B508" s="430"/>
      <c r="C508" s="476" t="s">
        <v>511</v>
      </c>
      <c r="D508" s="432"/>
      <c r="E508" s="432"/>
      <c r="F508" s="477"/>
      <c r="G508" s="426"/>
      <c r="H508" s="434"/>
    </row>
    <row r="509" spans="1:7" s="212" customFormat="1" ht="18.75" customHeight="1">
      <c r="A509" s="443"/>
      <c r="B509" s="422"/>
      <c r="C509" s="423" t="s">
        <v>513</v>
      </c>
      <c r="D509" s="424">
        <f>SUM(D510,D511)</f>
        <v>2611780</v>
      </c>
      <c r="E509" s="424">
        <f>SUM(E510,E511)</f>
        <v>1308748.4</v>
      </c>
      <c r="F509" s="425">
        <f aca="true" t="shared" si="23" ref="F509:F515">E509/D509*100</f>
        <v>50.10944260236314</v>
      </c>
      <c r="G509" s="177"/>
    </row>
    <row r="510" spans="1:7" s="98" customFormat="1" ht="18.75" customHeight="1">
      <c r="A510" s="440"/>
      <c r="B510" s="430"/>
      <c r="C510" s="431" t="s">
        <v>487</v>
      </c>
      <c r="D510" s="432">
        <v>2226180</v>
      </c>
      <c r="E510" s="432">
        <v>1129059.17</v>
      </c>
      <c r="F510" s="433">
        <f t="shared" si="23"/>
        <v>50.71733507622923</v>
      </c>
      <c r="G510" s="177"/>
    </row>
    <row r="511" spans="1:7" s="98" customFormat="1" ht="18.75" customHeight="1">
      <c r="A511" s="440"/>
      <c r="B511" s="430"/>
      <c r="C511" s="431" t="s">
        <v>488</v>
      </c>
      <c r="D511" s="432">
        <v>385600</v>
      </c>
      <c r="E511" s="432">
        <v>179689.23</v>
      </c>
      <c r="F511" s="433">
        <f t="shared" si="23"/>
        <v>46.59990404564315</v>
      </c>
      <c r="G511" s="177"/>
    </row>
    <row r="512" spans="1:7" s="427" customFormat="1" ht="18.75" customHeight="1">
      <c r="A512" s="443"/>
      <c r="B512" s="422"/>
      <c r="C512" s="423" t="s">
        <v>514</v>
      </c>
      <c r="D512" s="424">
        <v>1139005</v>
      </c>
      <c r="E512" s="424">
        <v>498501.43</v>
      </c>
      <c r="F512" s="425">
        <f t="shared" si="23"/>
        <v>43.766395230925234</v>
      </c>
      <c r="G512" s="426"/>
    </row>
    <row r="513" spans="1:8" s="435" customFormat="1" ht="18.75" customHeight="1" hidden="1">
      <c r="A513" s="442"/>
      <c r="B513" s="439"/>
      <c r="C513" s="287" t="s">
        <v>515</v>
      </c>
      <c r="D513" s="288">
        <v>0</v>
      </c>
      <c r="E513" s="288">
        <v>0</v>
      </c>
      <c r="F513" s="475" t="e">
        <f>E513/D513*100</f>
        <v>#DIV/0!</v>
      </c>
      <c r="G513" s="426"/>
      <c r="H513" s="434"/>
    </row>
    <row r="514" spans="1:8" s="435" customFormat="1" ht="18.75" customHeight="1">
      <c r="A514" s="450"/>
      <c r="B514" s="451" t="s">
        <v>577</v>
      </c>
      <c r="C514" s="480" t="s">
        <v>578</v>
      </c>
      <c r="D514" s="100">
        <f>D515</f>
        <v>54173</v>
      </c>
      <c r="E514" s="100">
        <f>E515</f>
        <v>37732.33</v>
      </c>
      <c r="F514" s="474">
        <f t="shared" si="23"/>
        <v>69.6515422812102</v>
      </c>
      <c r="G514" s="426"/>
      <c r="H514" s="434"/>
    </row>
    <row r="515" spans="1:7" s="434" customFormat="1" ht="18.75" customHeight="1">
      <c r="A515" s="442"/>
      <c r="B515" s="439"/>
      <c r="C515" s="287" t="s">
        <v>495</v>
      </c>
      <c r="D515" s="288">
        <v>54173</v>
      </c>
      <c r="E515" s="288">
        <v>37732.33</v>
      </c>
      <c r="F515" s="475">
        <f t="shared" si="23"/>
        <v>69.6515422812102</v>
      </c>
      <c r="G515" s="426"/>
    </row>
    <row r="516" spans="1:8" s="435" customFormat="1" ht="12" customHeight="1">
      <c r="A516" s="440"/>
      <c r="B516" s="430"/>
      <c r="C516" s="476" t="s">
        <v>511</v>
      </c>
      <c r="D516" s="432"/>
      <c r="E516" s="432"/>
      <c r="F516" s="477"/>
      <c r="G516" s="426"/>
      <c r="H516" s="434"/>
    </row>
    <row r="517" spans="1:7" s="212" customFormat="1" ht="18.75" customHeight="1">
      <c r="A517" s="443"/>
      <c r="B517" s="422"/>
      <c r="C517" s="423" t="s">
        <v>513</v>
      </c>
      <c r="D517" s="424">
        <f>SUM(D518,D519)</f>
        <v>48493</v>
      </c>
      <c r="E517" s="424">
        <f>SUM(E518,E519)</f>
        <v>37257.57</v>
      </c>
      <c r="F517" s="425">
        <f>E517/D517*100</f>
        <v>76.83082094322891</v>
      </c>
      <c r="G517" s="177"/>
    </row>
    <row r="518" spans="1:7" s="98" customFormat="1" ht="18.75" customHeight="1">
      <c r="A518" s="440"/>
      <c r="B518" s="430"/>
      <c r="C518" s="431" t="s">
        <v>487</v>
      </c>
      <c r="D518" s="432">
        <v>40302</v>
      </c>
      <c r="E518" s="432">
        <v>32429.26</v>
      </c>
      <c r="F518" s="433">
        <f>E518/D518*100</f>
        <v>80.4656344598283</v>
      </c>
      <c r="G518" s="177"/>
    </row>
    <row r="519" spans="1:7" s="98" customFormat="1" ht="18.75" customHeight="1">
      <c r="A519" s="440"/>
      <c r="B519" s="430"/>
      <c r="C519" s="431" t="s">
        <v>488</v>
      </c>
      <c r="D519" s="432">
        <v>8191</v>
      </c>
      <c r="E519" s="432">
        <v>4828.31</v>
      </c>
      <c r="F519" s="433">
        <f>E519/D519*100</f>
        <v>58.946526675619594</v>
      </c>
      <c r="G519" s="177"/>
    </row>
    <row r="520" spans="1:8" s="435" customFormat="1" ht="18.75" customHeight="1">
      <c r="A520" s="450"/>
      <c r="B520" s="451" t="s">
        <v>1099</v>
      </c>
      <c r="C520" s="480" t="s">
        <v>1100</v>
      </c>
      <c r="D520" s="100">
        <f>SUM(D521)</f>
        <v>6134157</v>
      </c>
      <c r="E520" s="100">
        <f>SUM(E521)</f>
        <v>3091182.74</v>
      </c>
      <c r="F520" s="474">
        <f>E520/D520*100</f>
        <v>50.392951142267805</v>
      </c>
      <c r="G520" s="426"/>
      <c r="H520" s="434"/>
    </row>
    <row r="521" spans="1:8" s="435" customFormat="1" ht="18.75" customHeight="1">
      <c r="A521" s="442"/>
      <c r="B521" s="439"/>
      <c r="C521" s="287" t="s">
        <v>495</v>
      </c>
      <c r="D521" s="288">
        <v>6134157</v>
      </c>
      <c r="E521" s="288">
        <v>3091182.74</v>
      </c>
      <c r="F521" s="475">
        <f>E521/D521*100</f>
        <v>50.392951142267805</v>
      </c>
      <c r="G521" s="426"/>
      <c r="H521" s="434"/>
    </row>
    <row r="522" spans="1:8" s="435" customFormat="1" ht="12" customHeight="1">
      <c r="A522" s="440"/>
      <c r="B522" s="430"/>
      <c r="C522" s="476" t="s">
        <v>511</v>
      </c>
      <c r="D522" s="432"/>
      <c r="E522" s="432"/>
      <c r="F522" s="477"/>
      <c r="G522" s="426"/>
      <c r="H522" s="434"/>
    </row>
    <row r="523" spans="1:7" s="212" customFormat="1" ht="18.75" customHeight="1">
      <c r="A523" s="443"/>
      <c r="B523" s="422"/>
      <c r="C523" s="423" t="s">
        <v>513</v>
      </c>
      <c r="D523" s="424">
        <f>SUM(D524,D525)</f>
        <v>3706080</v>
      </c>
      <c r="E523" s="424">
        <f>SUM(E524,E525)</f>
        <v>2087483.3800000001</v>
      </c>
      <c r="F523" s="425">
        <f aca="true" t="shared" si="24" ref="F523:F528">E523/D523*100</f>
        <v>56.32591255450503</v>
      </c>
      <c r="G523" s="177"/>
    </row>
    <row r="524" spans="1:7" s="98" customFormat="1" ht="18.75" customHeight="1">
      <c r="A524" s="440"/>
      <c r="B524" s="430"/>
      <c r="C524" s="431" t="s">
        <v>487</v>
      </c>
      <c r="D524" s="432">
        <v>3152328</v>
      </c>
      <c r="E524" s="432">
        <v>1799467.82</v>
      </c>
      <c r="F524" s="433">
        <f t="shared" si="24"/>
        <v>57.08377491174777</v>
      </c>
      <c r="G524" s="177"/>
    </row>
    <row r="525" spans="1:7" s="98" customFormat="1" ht="18.75" customHeight="1">
      <c r="A525" s="440"/>
      <c r="B525" s="430"/>
      <c r="C525" s="431" t="s">
        <v>488</v>
      </c>
      <c r="D525" s="432">
        <v>553752</v>
      </c>
      <c r="E525" s="432">
        <v>288015.56</v>
      </c>
      <c r="F525" s="433">
        <f t="shared" si="24"/>
        <v>52.01165142518672</v>
      </c>
      <c r="G525" s="177"/>
    </row>
    <row r="526" spans="1:7" s="427" customFormat="1" ht="16.5" customHeight="1">
      <c r="A526" s="443"/>
      <c r="B526" s="422"/>
      <c r="C526" s="423" t="s">
        <v>514</v>
      </c>
      <c r="D526" s="424">
        <v>1005202</v>
      </c>
      <c r="E526" s="424">
        <v>456329.25</v>
      </c>
      <c r="F526" s="425">
        <f t="shared" si="24"/>
        <v>45.39677099727219</v>
      </c>
      <c r="G526" s="426"/>
    </row>
    <row r="527" spans="1:8" s="435" customFormat="1" ht="18.75" customHeight="1">
      <c r="A527" s="450"/>
      <c r="B527" s="451" t="s">
        <v>579</v>
      </c>
      <c r="C527" s="480" t="s">
        <v>580</v>
      </c>
      <c r="D527" s="100">
        <f>SUM(D528)</f>
        <v>700206</v>
      </c>
      <c r="E527" s="100">
        <f>SUM(E528)</f>
        <v>415939.21</v>
      </c>
      <c r="F527" s="474">
        <f t="shared" si="24"/>
        <v>59.40240586341734</v>
      </c>
      <c r="G527" s="426"/>
      <c r="H527" s="434"/>
    </row>
    <row r="528" spans="1:8" s="435" customFormat="1" ht="18.75" customHeight="1">
      <c r="A528" s="442"/>
      <c r="B528" s="439"/>
      <c r="C528" s="287" t="s">
        <v>495</v>
      </c>
      <c r="D528" s="288">
        <v>700206</v>
      </c>
      <c r="E528" s="288">
        <v>415939.21</v>
      </c>
      <c r="F528" s="475">
        <f t="shared" si="24"/>
        <v>59.40240586341734</v>
      </c>
      <c r="G528" s="426"/>
      <c r="H528" s="434"/>
    </row>
    <row r="529" spans="1:8" s="435" customFormat="1" ht="12" customHeight="1">
      <c r="A529" s="440"/>
      <c r="B529" s="430"/>
      <c r="C529" s="476" t="s">
        <v>511</v>
      </c>
      <c r="D529" s="432"/>
      <c r="E529" s="432"/>
      <c r="F529" s="477"/>
      <c r="G529" s="426"/>
      <c r="H529" s="434"/>
    </row>
    <row r="530" spans="1:7" s="212" customFormat="1" ht="18.75" customHeight="1">
      <c r="A530" s="443"/>
      <c r="B530" s="422"/>
      <c r="C530" s="423" t="s">
        <v>513</v>
      </c>
      <c r="D530" s="424">
        <f>SUM(D531,D532)</f>
        <v>615663</v>
      </c>
      <c r="E530" s="424">
        <f>SUM(E531,E532)</f>
        <v>367090.68</v>
      </c>
      <c r="F530" s="425">
        <f>E530/D530*100</f>
        <v>59.625262521866674</v>
      </c>
      <c r="G530" s="177"/>
    </row>
    <row r="531" spans="1:7" s="98" customFormat="1" ht="18.75" customHeight="1">
      <c r="A531" s="440"/>
      <c r="B531" s="430"/>
      <c r="C531" s="431" t="s">
        <v>487</v>
      </c>
      <c r="D531" s="432">
        <v>527758</v>
      </c>
      <c r="E531" s="432">
        <v>314773.45</v>
      </c>
      <c r="F531" s="433">
        <f>E531/D531*100</f>
        <v>59.64352032560378</v>
      </c>
      <c r="G531" s="177"/>
    </row>
    <row r="532" spans="1:7" s="98" customFormat="1" ht="18.75" customHeight="1">
      <c r="A532" s="440"/>
      <c r="B532" s="430"/>
      <c r="C532" s="431" t="s">
        <v>488</v>
      </c>
      <c r="D532" s="432">
        <v>87905</v>
      </c>
      <c r="E532" s="432">
        <v>52317.23</v>
      </c>
      <c r="F532" s="433">
        <f>E532/D532*100</f>
        <v>59.51564757408566</v>
      </c>
      <c r="G532" s="177"/>
    </row>
    <row r="533" spans="1:8" s="435" customFormat="1" ht="28.5" customHeight="1">
      <c r="A533" s="450"/>
      <c r="B533" s="486" t="s">
        <v>581</v>
      </c>
      <c r="C533" s="473" t="s">
        <v>582</v>
      </c>
      <c r="D533" s="100">
        <f>D534</f>
        <v>410087</v>
      </c>
      <c r="E533" s="100">
        <f>E534</f>
        <v>195804.31</v>
      </c>
      <c r="F533" s="474">
        <f>E533/D533*100</f>
        <v>47.74701709637223</v>
      </c>
      <c r="G533" s="426"/>
      <c r="H533" s="434"/>
    </row>
    <row r="534" spans="1:8" s="435" customFormat="1" ht="18.75" customHeight="1">
      <c r="A534" s="442"/>
      <c r="B534" s="439"/>
      <c r="C534" s="287" t="s">
        <v>495</v>
      </c>
      <c r="D534" s="288">
        <v>410087</v>
      </c>
      <c r="E534" s="288">
        <v>195804.31</v>
      </c>
      <c r="F534" s="475">
        <f>E534/D534*100</f>
        <v>47.74701709637223</v>
      </c>
      <c r="G534" s="426"/>
      <c r="H534" s="434"/>
    </row>
    <row r="535" spans="1:8" s="435" customFormat="1" ht="12" customHeight="1">
      <c r="A535" s="440"/>
      <c r="B535" s="430"/>
      <c r="C535" s="476" t="s">
        <v>511</v>
      </c>
      <c r="D535" s="432"/>
      <c r="E535" s="432"/>
      <c r="F535" s="477"/>
      <c r="G535" s="426"/>
      <c r="H535" s="434"/>
    </row>
    <row r="536" spans="1:8" s="428" customFormat="1" ht="18.75" customHeight="1">
      <c r="A536" s="443"/>
      <c r="B536" s="422"/>
      <c r="C536" s="423" t="s">
        <v>513</v>
      </c>
      <c r="D536" s="424">
        <f>SUM(D537,D538)</f>
        <v>246466</v>
      </c>
      <c r="E536" s="424">
        <f>SUM(E537,E538)</f>
        <v>133988.61000000002</v>
      </c>
      <c r="F536" s="425">
        <f aca="true" t="shared" si="25" ref="F536:F550">E536/D536*100</f>
        <v>54.36393255053436</v>
      </c>
      <c r="G536" s="426"/>
      <c r="H536" s="427"/>
    </row>
    <row r="537" spans="1:8" s="435" customFormat="1" ht="18.75" customHeight="1">
      <c r="A537" s="440"/>
      <c r="B537" s="430"/>
      <c r="C537" s="431" t="s">
        <v>487</v>
      </c>
      <c r="D537" s="432">
        <v>209753</v>
      </c>
      <c r="E537" s="432">
        <v>117303.32</v>
      </c>
      <c r="F537" s="433">
        <f t="shared" si="25"/>
        <v>55.92450167578057</v>
      </c>
      <c r="G537" s="426"/>
      <c r="H537" s="434"/>
    </row>
    <row r="538" spans="1:8" s="435" customFormat="1" ht="18.75" customHeight="1">
      <c r="A538" s="440"/>
      <c r="B538" s="430"/>
      <c r="C538" s="431" t="s">
        <v>488</v>
      </c>
      <c r="D538" s="432">
        <v>36713</v>
      </c>
      <c r="E538" s="432">
        <v>16685.29</v>
      </c>
      <c r="F538" s="433">
        <f t="shared" si="25"/>
        <v>45.44790673603356</v>
      </c>
      <c r="G538" s="426"/>
      <c r="H538" s="434"/>
    </row>
    <row r="539" spans="1:7" s="98" customFormat="1" ht="18.75" customHeight="1">
      <c r="A539" s="450"/>
      <c r="B539" s="451" t="s">
        <v>583</v>
      </c>
      <c r="C539" s="480" t="s">
        <v>584</v>
      </c>
      <c r="D539" s="100">
        <f>D540</f>
        <v>58687</v>
      </c>
      <c r="E539" s="100">
        <f>E540</f>
        <v>20055.48</v>
      </c>
      <c r="F539" s="474">
        <f t="shared" si="25"/>
        <v>34.1736330021981</v>
      </c>
      <c r="G539" s="177"/>
    </row>
    <row r="540" spans="1:7" s="434" customFormat="1" ht="18.75" customHeight="1">
      <c r="A540" s="442"/>
      <c r="B540" s="439"/>
      <c r="C540" s="287" t="s">
        <v>495</v>
      </c>
      <c r="D540" s="288">
        <v>58687</v>
      </c>
      <c r="E540" s="288">
        <v>20055.48</v>
      </c>
      <c r="F540" s="475">
        <f t="shared" si="25"/>
        <v>34.1736330021981</v>
      </c>
      <c r="G540" s="426"/>
    </row>
    <row r="541" spans="1:8" s="435" customFormat="1" ht="18.75" customHeight="1">
      <c r="A541" s="450"/>
      <c r="B541" s="451" t="s">
        <v>585</v>
      </c>
      <c r="C541" s="480" t="s">
        <v>1042</v>
      </c>
      <c r="D541" s="100">
        <f>SUM(D542,D547)</f>
        <v>21974</v>
      </c>
      <c r="E541" s="100">
        <f>SUM(E542,E547)</f>
        <v>10840</v>
      </c>
      <c r="F541" s="474">
        <f t="shared" si="25"/>
        <v>49.33102757804678</v>
      </c>
      <c r="G541" s="426"/>
      <c r="H541" s="434"/>
    </row>
    <row r="542" spans="1:8" s="435" customFormat="1" ht="18.75" customHeight="1">
      <c r="A542" s="442"/>
      <c r="B542" s="439"/>
      <c r="C542" s="287" t="s">
        <v>495</v>
      </c>
      <c r="D542" s="288">
        <v>21974</v>
      </c>
      <c r="E542" s="288">
        <v>10840</v>
      </c>
      <c r="F542" s="475">
        <f t="shared" si="25"/>
        <v>49.33102757804678</v>
      </c>
      <c r="G542" s="426"/>
      <c r="H542" s="434"/>
    </row>
    <row r="543" spans="1:8" s="435" customFormat="1" ht="12" customHeight="1" hidden="1">
      <c r="A543" s="440"/>
      <c r="B543" s="430"/>
      <c r="C543" s="476" t="s">
        <v>511</v>
      </c>
      <c r="D543" s="432"/>
      <c r="E543" s="432"/>
      <c r="F543" s="477"/>
      <c r="G543" s="426"/>
      <c r="H543" s="434"/>
    </row>
    <row r="544" spans="1:8" s="428" customFormat="1" ht="18.75" customHeight="1" hidden="1">
      <c r="A544" s="443"/>
      <c r="B544" s="422"/>
      <c r="C544" s="423" t="s">
        <v>513</v>
      </c>
      <c r="D544" s="424">
        <f>SUM(D545,D546)</f>
        <v>0</v>
      </c>
      <c r="E544" s="424">
        <f>SUM(E545,E546)</f>
        <v>0</v>
      </c>
      <c r="F544" s="425" t="e">
        <f>E544/D544*100</f>
        <v>#DIV/0!</v>
      </c>
      <c r="G544" s="426"/>
      <c r="H544" s="427"/>
    </row>
    <row r="545" spans="1:8" s="435" customFormat="1" ht="18.75" customHeight="1" hidden="1">
      <c r="A545" s="440"/>
      <c r="B545" s="430"/>
      <c r="C545" s="431" t="s">
        <v>487</v>
      </c>
      <c r="D545" s="432">
        <v>0</v>
      </c>
      <c r="E545" s="432"/>
      <c r="F545" s="433" t="e">
        <f>E545/D545*100</f>
        <v>#DIV/0!</v>
      </c>
      <c r="G545" s="426"/>
      <c r="H545" s="434"/>
    </row>
    <row r="546" spans="1:8" s="435" customFormat="1" ht="18.75" customHeight="1" hidden="1">
      <c r="A546" s="440"/>
      <c r="B546" s="430"/>
      <c r="C546" s="431" t="s">
        <v>488</v>
      </c>
      <c r="D546" s="432">
        <v>0</v>
      </c>
      <c r="E546" s="432"/>
      <c r="F546" s="433" t="e">
        <f>E546/D546*100</f>
        <v>#DIV/0!</v>
      </c>
      <c r="G546" s="426"/>
      <c r="H546" s="434"/>
    </row>
    <row r="547" spans="1:8" s="435" customFormat="1" ht="18.75" customHeight="1" hidden="1">
      <c r="A547" s="442"/>
      <c r="B547" s="439"/>
      <c r="C547" s="287" t="s">
        <v>515</v>
      </c>
      <c r="D547" s="288">
        <v>0</v>
      </c>
      <c r="E547" s="288">
        <v>0</v>
      </c>
      <c r="F547" s="475" t="e">
        <f>E547/D547*100</f>
        <v>#DIV/0!</v>
      </c>
      <c r="G547" s="426"/>
      <c r="H547" s="434"/>
    </row>
    <row r="548" spans="1:7" s="98" customFormat="1" ht="18.75" customHeight="1">
      <c r="A548" s="448" t="s">
        <v>1101</v>
      </c>
      <c r="B548" s="449"/>
      <c r="C548" s="481" t="s">
        <v>1102</v>
      </c>
      <c r="D548" s="95">
        <f>SUM(D549,D556,D565)</f>
        <v>1350090</v>
      </c>
      <c r="E548" s="95">
        <f>SUM(E549,E556,E565)</f>
        <v>492164.62</v>
      </c>
      <c r="F548" s="471">
        <f t="shared" si="25"/>
        <v>36.45420823796932</v>
      </c>
      <c r="G548" s="177"/>
    </row>
    <row r="549" spans="1:7" s="434" customFormat="1" ht="18.75" customHeight="1">
      <c r="A549" s="450"/>
      <c r="B549" s="451" t="s">
        <v>586</v>
      </c>
      <c r="C549" s="480" t="s">
        <v>587</v>
      </c>
      <c r="D549" s="100">
        <f>SUM(D550,D553)</f>
        <v>500000</v>
      </c>
      <c r="E549" s="100">
        <f>SUM(E550,E553)</f>
        <v>26770</v>
      </c>
      <c r="F549" s="474">
        <f t="shared" si="25"/>
        <v>5.354</v>
      </c>
      <c r="G549" s="426"/>
    </row>
    <row r="550" spans="1:8" s="435" customFormat="1" ht="18.75" customHeight="1">
      <c r="A550" s="442"/>
      <c r="B550" s="439"/>
      <c r="C550" s="287" t="s">
        <v>495</v>
      </c>
      <c r="D550" s="288">
        <v>162400</v>
      </c>
      <c r="E550" s="288">
        <v>26770</v>
      </c>
      <c r="F550" s="475">
        <f t="shared" si="25"/>
        <v>16.48399014778325</v>
      </c>
      <c r="G550" s="426"/>
      <c r="H550" s="434"/>
    </row>
    <row r="551" spans="1:8" s="435" customFormat="1" ht="12" customHeight="1">
      <c r="A551" s="440"/>
      <c r="B551" s="430"/>
      <c r="C551" s="476" t="s">
        <v>511</v>
      </c>
      <c r="D551" s="432"/>
      <c r="E551" s="432"/>
      <c r="F551" s="477"/>
      <c r="G551" s="426"/>
      <c r="H551" s="434"/>
    </row>
    <row r="552" spans="1:8" s="428" customFormat="1" ht="17.25" customHeight="1">
      <c r="A552" s="443"/>
      <c r="B552" s="422"/>
      <c r="C552" s="423" t="s">
        <v>514</v>
      </c>
      <c r="D552" s="424">
        <v>162400</v>
      </c>
      <c r="E552" s="424">
        <v>26770</v>
      </c>
      <c r="F552" s="425">
        <f>E552/D552*100</f>
        <v>16.48399014778325</v>
      </c>
      <c r="G552" s="426"/>
      <c r="H552" s="427"/>
    </row>
    <row r="553" spans="1:8" s="435" customFormat="1" ht="18.75" customHeight="1">
      <c r="A553" s="440"/>
      <c r="B553" s="430"/>
      <c r="C553" s="287" t="s">
        <v>515</v>
      </c>
      <c r="D553" s="288">
        <v>337600</v>
      </c>
      <c r="E553" s="288">
        <v>0</v>
      </c>
      <c r="F553" s="475">
        <f>E553/D553*100</f>
        <v>0</v>
      </c>
      <c r="G553" s="426"/>
      <c r="H553" s="434"/>
    </row>
    <row r="554" spans="1:7" s="98" customFormat="1" ht="12" customHeight="1">
      <c r="A554" s="440"/>
      <c r="B554" s="430"/>
      <c r="C554" s="476" t="s">
        <v>511</v>
      </c>
      <c r="D554" s="432"/>
      <c r="E554" s="432"/>
      <c r="F554" s="477"/>
      <c r="G554" s="177"/>
    </row>
    <row r="555" spans="1:7" s="427" customFormat="1" ht="18.75" customHeight="1">
      <c r="A555" s="443"/>
      <c r="B555" s="422"/>
      <c r="C555" s="423" t="s">
        <v>514</v>
      </c>
      <c r="D555" s="424">
        <v>337600</v>
      </c>
      <c r="E555" s="424">
        <v>0</v>
      </c>
      <c r="F555" s="425">
        <f>E555/D555*100</f>
        <v>0</v>
      </c>
      <c r="G555" s="426"/>
    </row>
    <row r="556" spans="1:7" s="98" customFormat="1" ht="27" customHeight="1">
      <c r="A556" s="450"/>
      <c r="B556" s="451" t="s">
        <v>588</v>
      </c>
      <c r="C556" s="473" t="s">
        <v>589</v>
      </c>
      <c r="D556" s="100">
        <f>D557+D562</f>
        <v>196090</v>
      </c>
      <c r="E556" s="100">
        <f>E557+E562</f>
        <v>73932.75</v>
      </c>
      <c r="F556" s="474">
        <f>E556/D556*100</f>
        <v>37.703477994798305</v>
      </c>
      <c r="G556" s="177"/>
    </row>
    <row r="557" spans="1:7" s="434" customFormat="1" ht="18.75" customHeight="1">
      <c r="A557" s="442"/>
      <c r="B557" s="439"/>
      <c r="C557" s="287" t="s">
        <v>495</v>
      </c>
      <c r="D557" s="288">
        <v>72040</v>
      </c>
      <c r="E557" s="288">
        <v>37332.75</v>
      </c>
      <c r="F557" s="1302">
        <f>E557/D557*100</f>
        <v>51.822251526929485</v>
      </c>
      <c r="G557" s="426"/>
    </row>
    <row r="558" spans="1:8" s="435" customFormat="1" ht="12" customHeight="1">
      <c r="A558" s="440"/>
      <c r="B558" s="430"/>
      <c r="C558" s="476" t="s">
        <v>511</v>
      </c>
      <c r="D558" s="432"/>
      <c r="E558" s="432"/>
      <c r="F558" s="477"/>
      <c r="G558" s="426"/>
      <c r="H558" s="434"/>
    </row>
    <row r="559" spans="1:8" s="428" customFormat="1" ht="18" customHeight="1">
      <c r="A559" s="443"/>
      <c r="B559" s="422"/>
      <c r="C559" s="423" t="s">
        <v>513</v>
      </c>
      <c r="D559" s="424">
        <f>SUM(D560)</f>
        <v>4900</v>
      </c>
      <c r="E559" s="424">
        <f>SUM(E560)</f>
        <v>2332.75</v>
      </c>
      <c r="F559" s="425">
        <f>E559/D559*100</f>
        <v>47.60714285714286</v>
      </c>
      <c r="G559" s="426"/>
      <c r="H559" s="427"/>
    </row>
    <row r="560" spans="1:8" s="435" customFormat="1" ht="18" customHeight="1">
      <c r="A560" s="440"/>
      <c r="B560" s="430"/>
      <c r="C560" s="431" t="s">
        <v>487</v>
      </c>
      <c r="D560" s="432">
        <v>4900</v>
      </c>
      <c r="E560" s="432">
        <v>2332.75</v>
      </c>
      <c r="F560" s="433">
        <f>E560/D560*100</f>
        <v>47.60714285714286</v>
      </c>
      <c r="G560" s="426"/>
      <c r="H560" s="434"/>
    </row>
    <row r="561" spans="1:8" s="428" customFormat="1" ht="16.5" customHeight="1">
      <c r="A561" s="443"/>
      <c r="B561" s="422"/>
      <c r="C561" s="423" t="s">
        <v>514</v>
      </c>
      <c r="D561" s="424">
        <v>67140</v>
      </c>
      <c r="E561" s="424">
        <v>35000</v>
      </c>
      <c r="F561" s="425">
        <f>E561/D561*100</f>
        <v>52.12987786714328</v>
      </c>
      <c r="G561" s="426"/>
      <c r="H561" s="427"/>
    </row>
    <row r="562" spans="1:8" s="435" customFormat="1" ht="18.75" customHeight="1">
      <c r="A562" s="442"/>
      <c r="B562" s="439"/>
      <c r="C562" s="287" t="s">
        <v>515</v>
      </c>
      <c r="D562" s="288">
        <v>124050</v>
      </c>
      <c r="E562" s="288">
        <v>36600</v>
      </c>
      <c r="F562" s="475">
        <f>E562/D562*100</f>
        <v>29.504232164449817</v>
      </c>
      <c r="G562" s="426"/>
      <c r="H562" s="434"/>
    </row>
    <row r="563" spans="1:7" s="98" customFormat="1" ht="12" customHeight="1">
      <c r="A563" s="440"/>
      <c r="B563" s="430"/>
      <c r="C563" s="476" t="s">
        <v>511</v>
      </c>
      <c r="D563" s="432"/>
      <c r="E563" s="432"/>
      <c r="F563" s="477"/>
      <c r="G563" s="177"/>
    </row>
    <row r="564" spans="1:7" s="427" customFormat="1" ht="18.75" customHeight="1">
      <c r="A564" s="443"/>
      <c r="B564" s="422"/>
      <c r="C564" s="423" t="s">
        <v>514</v>
      </c>
      <c r="D564" s="424">
        <v>69050</v>
      </c>
      <c r="E564" s="424">
        <v>36600</v>
      </c>
      <c r="F564" s="425">
        <f aca="true" t="shared" si="26" ref="F564:F569">E564/D564*100</f>
        <v>53.00506879073136</v>
      </c>
      <c r="G564" s="426"/>
    </row>
    <row r="565" spans="1:8" s="435" customFormat="1" ht="40.5" customHeight="1">
      <c r="A565" s="450"/>
      <c r="B565" s="486" t="s">
        <v>1285</v>
      </c>
      <c r="C565" s="479" t="s">
        <v>489</v>
      </c>
      <c r="D565" s="100">
        <f>D566</f>
        <v>654000</v>
      </c>
      <c r="E565" s="100">
        <f>E566</f>
        <v>391461.87</v>
      </c>
      <c r="F565" s="474">
        <f t="shared" si="26"/>
        <v>59.85655504587156</v>
      </c>
      <c r="G565" s="426"/>
      <c r="H565" s="434"/>
    </row>
    <row r="566" spans="1:8" s="435" customFormat="1" ht="18.75" customHeight="1">
      <c r="A566" s="442"/>
      <c r="B566" s="439"/>
      <c r="C566" s="287" t="s">
        <v>495</v>
      </c>
      <c r="D566" s="288">
        <v>654000</v>
      </c>
      <c r="E566" s="288">
        <v>391461.87</v>
      </c>
      <c r="F566" s="1303">
        <f t="shared" si="26"/>
        <v>59.85655504587156</v>
      </c>
      <c r="G566" s="426"/>
      <c r="H566" s="434"/>
    </row>
    <row r="567" spans="1:8" s="435" customFormat="1" ht="18.75" customHeight="1">
      <c r="A567" s="448" t="s">
        <v>264</v>
      </c>
      <c r="B567" s="449"/>
      <c r="C567" s="481" t="s">
        <v>597</v>
      </c>
      <c r="D567" s="95">
        <f>SUM(D568,D573,D579,D586,D592,D594)</f>
        <v>3025511</v>
      </c>
      <c r="E567" s="95">
        <f>SUM(E568,E573,E579,E586,E592,E594)</f>
        <v>1335173.2699999998</v>
      </c>
      <c r="F567" s="471">
        <f t="shared" si="26"/>
        <v>44.130504566005534</v>
      </c>
      <c r="G567" s="426"/>
      <c r="H567" s="434"/>
    </row>
    <row r="568" spans="1:7" s="98" customFormat="1" ht="18.75" customHeight="1">
      <c r="A568" s="450"/>
      <c r="B568" s="451" t="s">
        <v>265</v>
      </c>
      <c r="C568" s="480" t="s">
        <v>598</v>
      </c>
      <c r="D568" s="100">
        <f>SUM(D569,D572)</f>
        <v>833233</v>
      </c>
      <c r="E568" s="100">
        <f>SUM(E569,E572)</f>
        <v>450817.18</v>
      </c>
      <c r="F568" s="474">
        <f t="shared" si="26"/>
        <v>54.104575790925225</v>
      </c>
      <c r="G568" s="177"/>
    </row>
    <row r="569" spans="1:7" s="434" customFormat="1" ht="18.75" customHeight="1">
      <c r="A569" s="442"/>
      <c r="B569" s="439"/>
      <c r="C569" s="287" t="s">
        <v>495</v>
      </c>
      <c r="D569" s="288">
        <v>833233</v>
      </c>
      <c r="E569" s="288">
        <v>450817.18</v>
      </c>
      <c r="F569" s="475">
        <f t="shared" si="26"/>
        <v>54.104575790925225</v>
      </c>
      <c r="G569" s="426"/>
    </row>
    <row r="570" spans="1:7" s="434" customFormat="1" ht="12" customHeight="1">
      <c r="A570" s="442"/>
      <c r="B570" s="439"/>
      <c r="C570" s="476" t="s">
        <v>511</v>
      </c>
      <c r="D570" s="432"/>
      <c r="E570" s="432"/>
      <c r="F570" s="477"/>
      <c r="G570" s="426"/>
    </row>
    <row r="571" spans="1:7" s="427" customFormat="1" ht="18.75" customHeight="1">
      <c r="A571" s="441"/>
      <c r="B571" s="437"/>
      <c r="C571" s="423" t="s">
        <v>514</v>
      </c>
      <c r="D571" s="424">
        <v>744295</v>
      </c>
      <c r="E571" s="424">
        <v>413843.84</v>
      </c>
      <c r="F571" s="425">
        <f>E571/D571*100</f>
        <v>55.602125501313324</v>
      </c>
      <c r="G571" s="426"/>
    </row>
    <row r="572" spans="1:7" s="434" customFormat="1" ht="18.75" customHeight="1" hidden="1">
      <c r="A572" s="442"/>
      <c r="B572" s="439"/>
      <c r="C572" s="287" t="s">
        <v>515</v>
      </c>
      <c r="D572" s="288">
        <v>0</v>
      </c>
      <c r="E572" s="288">
        <v>0</v>
      </c>
      <c r="F572" s="475" t="e">
        <f>E572/D572*100</f>
        <v>#DIV/0!</v>
      </c>
      <c r="G572" s="426"/>
    </row>
    <row r="573" spans="1:7" s="434" customFormat="1" ht="18.75" customHeight="1">
      <c r="A573" s="450"/>
      <c r="B573" s="451" t="s">
        <v>276</v>
      </c>
      <c r="C573" s="480" t="s">
        <v>46</v>
      </c>
      <c r="D573" s="100">
        <f>SUM(D574)</f>
        <v>430900</v>
      </c>
      <c r="E573" s="100">
        <f>SUM(E574)</f>
        <v>135743</v>
      </c>
      <c r="F573" s="474">
        <f>E573/D573*100</f>
        <v>31.502204687862612</v>
      </c>
      <c r="G573" s="426"/>
    </row>
    <row r="574" spans="1:8" s="435" customFormat="1" ht="18.75" customHeight="1">
      <c r="A574" s="442"/>
      <c r="B574" s="439"/>
      <c r="C574" s="287" t="s">
        <v>495</v>
      </c>
      <c r="D574" s="288">
        <v>430900</v>
      </c>
      <c r="E574" s="288">
        <v>135743</v>
      </c>
      <c r="F574" s="475">
        <f>E574/D574*100</f>
        <v>31.502204687862612</v>
      </c>
      <c r="G574" s="426"/>
      <c r="H574" s="434"/>
    </row>
    <row r="575" spans="1:8" s="435" customFormat="1" ht="9.75" customHeight="1">
      <c r="A575" s="442"/>
      <c r="B575" s="439"/>
      <c r="C575" s="476" t="s">
        <v>511</v>
      </c>
      <c r="D575" s="432"/>
      <c r="E575" s="432"/>
      <c r="F575" s="477"/>
      <c r="G575" s="426"/>
      <c r="H575" s="434"/>
    </row>
    <row r="576" spans="1:8" s="428" customFormat="1" ht="18" customHeight="1">
      <c r="A576" s="441"/>
      <c r="B576" s="437"/>
      <c r="C576" s="423" t="s">
        <v>513</v>
      </c>
      <c r="D576" s="424">
        <f>SUM(D577,D578)</f>
        <v>243449</v>
      </c>
      <c r="E576" s="424">
        <f>SUM(E577,E578)</f>
        <v>100477.09</v>
      </c>
      <c r="F576" s="425">
        <f>E576/D576*100</f>
        <v>41.2723363004161</v>
      </c>
      <c r="G576" s="426"/>
      <c r="H576" s="427"/>
    </row>
    <row r="577" spans="1:8" s="435" customFormat="1" ht="18" customHeight="1">
      <c r="A577" s="442"/>
      <c r="B577" s="439"/>
      <c r="C577" s="431" t="s">
        <v>487</v>
      </c>
      <c r="D577" s="432">
        <v>212263</v>
      </c>
      <c r="E577" s="432">
        <v>89327.87</v>
      </c>
      <c r="F577" s="433">
        <f>E577/D577*100</f>
        <v>42.08358027541305</v>
      </c>
      <c r="G577" s="426"/>
      <c r="H577" s="434"/>
    </row>
    <row r="578" spans="1:8" s="435" customFormat="1" ht="18" customHeight="1">
      <c r="A578" s="442"/>
      <c r="B578" s="439"/>
      <c r="C578" s="431" t="s">
        <v>488</v>
      </c>
      <c r="D578" s="432">
        <v>31186</v>
      </c>
      <c r="E578" s="432">
        <v>11149.22</v>
      </c>
      <c r="F578" s="433">
        <f>E578/D578*100</f>
        <v>35.7507214775861</v>
      </c>
      <c r="G578" s="426"/>
      <c r="H578" s="434"/>
    </row>
    <row r="579" spans="1:8" s="435" customFormat="1" ht="18.75" customHeight="1">
      <c r="A579" s="450"/>
      <c r="B579" s="451" t="s">
        <v>601</v>
      </c>
      <c r="C579" s="480" t="s">
        <v>602</v>
      </c>
      <c r="D579" s="100">
        <f>D580</f>
        <v>1547556</v>
      </c>
      <c r="E579" s="100">
        <f>E580</f>
        <v>651614.87</v>
      </c>
      <c r="F579" s="474">
        <f>E579/D579*100</f>
        <v>42.10606078229156</v>
      </c>
      <c r="G579" s="426"/>
      <c r="H579" s="434"/>
    </row>
    <row r="580" spans="1:8" s="435" customFormat="1" ht="18.75" customHeight="1">
      <c r="A580" s="442"/>
      <c r="B580" s="439"/>
      <c r="C580" s="287" t="s">
        <v>495</v>
      </c>
      <c r="D580" s="288">
        <v>1547556</v>
      </c>
      <c r="E580" s="288">
        <v>651614.87</v>
      </c>
      <c r="F580" s="475">
        <f>E580/D580*100</f>
        <v>42.10606078229156</v>
      </c>
      <c r="G580" s="426"/>
      <c r="H580" s="434"/>
    </row>
    <row r="581" spans="1:7" s="98" customFormat="1" ht="12" customHeight="1">
      <c r="A581" s="440"/>
      <c r="B581" s="430"/>
      <c r="C581" s="476" t="s">
        <v>511</v>
      </c>
      <c r="D581" s="432"/>
      <c r="E581" s="432"/>
      <c r="F581" s="498"/>
      <c r="G581" s="177"/>
    </row>
    <row r="582" spans="1:7" s="427" customFormat="1" ht="18.75" customHeight="1">
      <c r="A582" s="443"/>
      <c r="B582" s="422"/>
      <c r="C582" s="423" t="s">
        <v>513</v>
      </c>
      <c r="D582" s="424">
        <f>SUM(D583,D584)</f>
        <v>222263</v>
      </c>
      <c r="E582" s="424">
        <f>SUM(E583,E584)</f>
        <v>69303.11</v>
      </c>
      <c r="F582" s="425">
        <f aca="true" t="shared" si="27" ref="F582:F587">E582/D582*100</f>
        <v>31.180677845615328</v>
      </c>
      <c r="G582" s="426"/>
    </row>
    <row r="583" spans="1:7" s="434" customFormat="1" ht="18.75" customHeight="1">
      <c r="A583" s="440"/>
      <c r="B583" s="430"/>
      <c r="C583" s="431" t="s">
        <v>487</v>
      </c>
      <c r="D583" s="432">
        <v>188420</v>
      </c>
      <c r="E583" s="432">
        <v>65183.25</v>
      </c>
      <c r="F583" s="433">
        <f t="shared" si="27"/>
        <v>34.594655556734956</v>
      </c>
      <c r="G583" s="426"/>
    </row>
    <row r="584" spans="1:7" s="434" customFormat="1" ht="18.75" customHeight="1">
      <c r="A584" s="440"/>
      <c r="B584" s="430"/>
      <c r="C584" s="431" t="s">
        <v>488</v>
      </c>
      <c r="D584" s="432">
        <v>33843</v>
      </c>
      <c r="E584" s="432">
        <v>4119.86</v>
      </c>
      <c r="F584" s="433">
        <f t="shared" si="27"/>
        <v>12.17344798037999</v>
      </c>
      <c r="G584" s="426"/>
    </row>
    <row r="585" spans="1:8" s="428" customFormat="1" ht="18.75" customHeight="1">
      <c r="A585" s="443"/>
      <c r="B585" s="422"/>
      <c r="C585" s="423" t="s">
        <v>514</v>
      </c>
      <c r="D585" s="424">
        <v>122015</v>
      </c>
      <c r="E585" s="424">
        <v>40304.8</v>
      </c>
      <c r="F585" s="425">
        <f t="shared" si="27"/>
        <v>33.032659918862436</v>
      </c>
      <c r="G585" s="426"/>
      <c r="H585" s="427"/>
    </row>
    <row r="586" spans="1:7" s="434" customFormat="1" ht="18.75" customHeight="1">
      <c r="A586" s="450"/>
      <c r="B586" s="451" t="s">
        <v>603</v>
      </c>
      <c r="C586" s="284" t="s">
        <v>604</v>
      </c>
      <c r="D586" s="100">
        <f>D587</f>
        <v>185350</v>
      </c>
      <c r="E586" s="100">
        <f>E587</f>
        <v>91241.92</v>
      </c>
      <c r="F586" s="474">
        <f t="shared" si="27"/>
        <v>49.22682492581602</v>
      </c>
      <c r="G586" s="426"/>
    </row>
    <row r="587" spans="1:7" s="434" customFormat="1" ht="18.75" customHeight="1">
      <c r="A587" s="442"/>
      <c r="B587" s="439"/>
      <c r="C587" s="287" t="s">
        <v>495</v>
      </c>
      <c r="D587" s="288">
        <v>185350</v>
      </c>
      <c r="E587" s="288">
        <v>91241.92</v>
      </c>
      <c r="F587" s="475">
        <f t="shared" si="27"/>
        <v>49.22682492581602</v>
      </c>
      <c r="G587" s="426"/>
    </row>
    <row r="588" spans="1:7" s="434" customFormat="1" ht="12" customHeight="1">
      <c r="A588" s="440"/>
      <c r="B588" s="430"/>
      <c r="C588" s="476" t="s">
        <v>511</v>
      </c>
      <c r="D588" s="432"/>
      <c r="E588" s="432"/>
      <c r="F588" s="477"/>
      <c r="G588" s="426"/>
    </row>
    <row r="589" spans="1:8" s="428" customFormat="1" ht="18.75" customHeight="1">
      <c r="A589" s="443"/>
      <c r="B589" s="422"/>
      <c r="C589" s="423" t="s">
        <v>513</v>
      </c>
      <c r="D589" s="424">
        <f>SUM(D590,D591)</f>
        <v>174642</v>
      </c>
      <c r="E589" s="424">
        <f>SUM(E590,E591)</f>
        <v>85511.06</v>
      </c>
      <c r="F589" s="425">
        <f>E589/D589*100</f>
        <v>48.96362845134618</v>
      </c>
      <c r="G589" s="426"/>
      <c r="H589" s="427"/>
    </row>
    <row r="590" spans="1:8" s="435" customFormat="1" ht="18.75" customHeight="1">
      <c r="A590" s="440"/>
      <c r="B590" s="430"/>
      <c r="C590" s="431" t="s">
        <v>487</v>
      </c>
      <c r="D590" s="432">
        <v>149323</v>
      </c>
      <c r="E590" s="432">
        <v>75085.25</v>
      </c>
      <c r="F590" s="433">
        <f>E590/D590*100</f>
        <v>50.28378079733196</v>
      </c>
      <c r="G590" s="426"/>
      <c r="H590" s="434"/>
    </row>
    <row r="591" spans="1:8" s="435" customFormat="1" ht="18.75" customHeight="1">
      <c r="A591" s="440"/>
      <c r="B591" s="430"/>
      <c r="C591" s="431" t="s">
        <v>488</v>
      </c>
      <c r="D591" s="432">
        <v>25319</v>
      </c>
      <c r="E591" s="432">
        <v>10425.81</v>
      </c>
      <c r="F591" s="433">
        <f>E591/D591*100</f>
        <v>41.177811129981436</v>
      </c>
      <c r="G591" s="426"/>
      <c r="H591" s="434"/>
    </row>
    <row r="592" spans="1:7" s="434" customFormat="1" ht="31.5" customHeight="1" hidden="1">
      <c r="A592" s="450"/>
      <c r="B592" s="451" t="s">
        <v>772</v>
      </c>
      <c r="C592" s="479" t="s">
        <v>773</v>
      </c>
      <c r="D592" s="100">
        <f>D593</f>
        <v>0</v>
      </c>
      <c r="E592" s="100">
        <f>E593</f>
        <v>0</v>
      </c>
      <c r="F592" s="474" t="e">
        <f>E592/D592*100</f>
        <v>#DIV/0!</v>
      </c>
      <c r="G592" s="426"/>
    </row>
    <row r="593" spans="1:7" s="434" customFormat="1" ht="18.75" customHeight="1" hidden="1">
      <c r="A593" s="442"/>
      <c r="B593" s="439"/>
      <c r="C593" s="287" t="s">
        <v>495</v>
      </c>
      <c r="D593" s="288">
        <v>0</v>
      </c>
      <c r="E593" s="288"/>
      <c r="F593" s="475" t="e">
        <f>E593/D593*100</f>
        <v>#DIV/0!</v>
      </c>
      <c r="G593" s="426"/>
    </row>
    <row r="594" spans="1:7" s="434" customFormat="1" ht="18.75" customHeight="1">
      <c r="A594" s="450"/>
      <c r="B594" s="451" t="s">
        <v>274</v>
      </c>
      <c r="C594" s="480" t="s">
        <v>1042</v>
      </c>
      <c r="D594" s="100">
        <f>D595</f>
        <v>28472</v>
      </c>
      <c r="E594" s="100">
        <f>E595</f>
        <v>5756.3</v>
      </c>
      <c r="F594" s="474">
        <f aca="true" t="shared" si="28" ref="F594:F600">E594/D594*100</f>
        <v>20.217406574880588</v>
      </c>
      <c r="G594" s="426"/>
    </row>
    <row r="595" spans="1:8" s="435" customFormat="1" ht="18.75" customHeight="1">
      <c r="A595" s="442"/>
      <c r="B595" s="439"/>
      <c r="C595" s="287" t="s">
        <v>495</v>
      </c>
      <c r="D595" s="288">
        <v>28472</v>
      </c>
      <c r="E595" s="288">
        <v>5756.3</v>
      </c>
      <c r="F595" s="475">
        <f t="shared" si="28"/>
        <v>20.217406574880588</v>
      </c>
      <c r="G595" s="426"/>
      <c r="H595" s="434"/>
    </row>
    <row r="596" spans="1:7" s="434" customFormat="1" ht="27" customHeight="1">
      <c r="A596" s="448" t="s">
        <v>1105</v>
      </c>
      <c r="B596" s="449"/>
      <c r="C596" s="470" t="s">
        <v>605</v>
      </c>
      <c r="D596" s="95">
        <f>SUM(D597,D601,D605,D611,D617,D619)</f>
        <v>2196953</v>
      </c>
      <c r="E596" s="95">
        <f>SUM(E597,E601,E605,E611,E617,E619)</f>
        <v>892312.87</v>
      </c>
      <c r="F596" s="471">
        <f t="shared" si="28"/>
        <v>40.615928970715345</v>
      </c>
      <c r="G596" s="426"/>
    </row>
    <row r="597" spans="1:7" s="434" customFormat="1" ht="30.75" customHeight="1">
      <c r="A597" s="450"/>
      <c r="B597" s="451" t="s">
        <v>1021</v>
      </c>
      <c r="C597" s="473" t="s">
        <v>1024</v>
      </c>
      <c r="D597" s="100">
        <f>SUM(D598)</f>
        <v>50302</v>
      </c>
      <c r="E597" s="100">
        <f>SUM(E598)</f>
        <v>13700</v>
      </c>
      <c r="F597" s="471">
        <f t="shared" si="28"/>
        <v>27.235497594529047</v>
      </c>
      <c r="G597" s="426"/>
    </row>
    <row r="598" spans="1:7" s="434" customFormat="1" ht="18" customHeight="1">
      <c r="A598" s="442"/>
      <c r="B598" s="439"/>
      <c r="C598" s="287" t="s">
        <v>495</v>
      </c>
      <c r="D598" s="288">
        <v>50302</v>
      </c>
      <c r="E598" s="288">
        <v>13700</v>
      </c>
      <c r="F598" s="475">
        <f t="shared" si="28"/>
        <v>27.235497594529047</v>
      </c>
      <c r="G598" s="426"/>
    </row>
    <row r="599" spans="1:7" s="434" customFormat="1" ht="12" customHeight="1">
      <c r="A599" s="450"/>
      <c r="B599" s="451"/>
      <c r="C599" s="476" t="s">
        <v>511</v>
      </c>
      <c r="D599" s="100"/>
      <c r="E599" s="100"/>
      <c r="F599" s="471"/>
      <c r="G599" s="426"/>
    </row>
    <row r="600" spans="1:8" s="428" customFormat="1" ht="18" customHeight="1">
      <c r="A600" s="443"/>
      <c r="B600" s="422"/>
      <c r="C600" s="423" t="s">
        <v>514</v>
      </c>
      <c r="D600" s="424">
        <v>50302</v>
      </c>
      <c r="E600" s="424">
        <v>13700</v>
      </c>
      <c r="F600" s="425">
        <f t="shared" si="28"/>
        <v>27.235497594529047</v>
      </c>
      <c r="G600" s="426"/>
      <c r="H600" s="427"/>
    </row>
    <row r="601" spans="1:7" s="434" customFormat="1" ht="18.75" customHeight="1">
      <c r="A601" s="450"/>
      <c r="B601" s="451" t="s">
        <v>1115</v>
      </c>
      <c r="C601" s="531" t="s">
        <v>52</v>
      </c>
      <c r="D601" s="497">
        <f>D602</f>
        <v>33000</v>
      </c>
      <c r="E601" s="497">
        <f>E602</f>
        <v>16500</v>
      </c>
      <c r="F601" s="474">
        <f>E601/D601*100</f>
        <v>50</v>
      </c>
      <c r="G601" s="426"/>
    </row>
    <row r="602" spans="1:7" s="212" customFormat="1" ht="18.75" customHeight="1">
      <c r="A602" s="442"/>
      <c r="B602" s="439"/>
      <c r="C602" s="287" t="s">
        <v>495</v>
      </c>
      <c r="D602" s="288">
        <v>33000</v>
      </c>
      <c r="E602" s="288">
        <v>16500</v>
      </c>
      <c r="F602" s="475">
        <f>E602/D602*100</f>
        <v>50</v>
      </c>
      <c r="G602" s="177"/>
    </row>
    <row r="603" spans="1:7" s="434" customFormat="1" ht="12" customHeight="1">
      <c r="A603" s="440"/>
      <c r="B603" s="430"/>
      <c r="C603" s="476" t="s">
        <v>511</v>
      </c>
      <c r="D603" s="432"/>
      <c r="E603" s="432"/>
      <c r="F603" s="477"/>
      <c r="G603" s="426"/>
    </row>
    <row r="604" spans="1:7" s="427" customFormat="1" ht="18.75" customHeight="1">
      <c r="A604" s="443"/>
      <c r="B604" s="422"/>
      <c r="C604" s="423" t="s">
        <v>514</v>
      </c>
      <c r="D604" s="424">
        <v>33000</v>
      </c>
      <c r="E604" s="424">
        <v>16500</v>
      </c>
      <c r="F604" s="425">
        <f>E604/D604*100</f>
        <v>50</v>
      </c>
      <c r="G604" s="426"/>
    </row>
    <row r="605" spans="1:7" s="434" customFormat="1" ht="25.5" customHeight="1">
      <c r="A605" s="450"/>
      <c r="B605" s="451" t="s">
        <v>1016</v>
      </c>
      <c r="C605" s="473" t="s">
        <v>1017</v>
      </c>
      <c r="D605" s="100">
        <f>SUM(D606)</f>
        <v>5922</v>
      </c>
      <c r="E605" s="100">
        <f>SUM(E606)</f>
        <v>0</v>
      </c>
      <c r="F605" s="474">
        <f>E605/D605*100</f>
        <v>0</v>
      </c>
      <c r="G605" s="426"/>
    </row>
    <row r="606" spans="1:7" s="434" customFormat="1" ht="18.75" customHeight="1">
      <c r="A606" s="442"/>
      <c r="B606" s="439"/>
      <c r="C606" s="287" t="s">
        <v>495</v>
      </c>
      <c r="D606" s="288">
        <v>5922</v>
      </c>
      <c r="E606" s="288">
        <v>0</v>
      </c>
      <c r="F606" s="475">
        <f>E606/D606*100</f>
        <v>0</v>
      </c>
      <c r="G606" s="426"/>
    </row>
    <row r="607" spans="1:7" s="434" customFormat="1" ht="12" customHeight="1">
      <c r="A607" s="440"/>
      <c r="B607" s="430"/>
      <c r="C607" s="476" t="s">
        <v>511</v>
      </c>
      <c r="D607" s="432"/>
      <c r="E607" s="432"/>
      <c r="F607" s="477"/>
      <c r="G607" s="426"/>
    </row>
    <row r="608" spans="1:7" s="427" customFormat="1" ht="18.75" customHeight="1">
      <c r="A608" s="443"/>
      <c r="B608" s="422"/>
      <c r="C608" s="423" t="s">
        <v>513</v>
      </c>
      <c r="D608" s="424">
        <f>SUM(D609,D610)</f>
        <v>4245</v>
      </c>
      <c r="E608" s="424">
        <f>SUM(E609,E610)</f>
        <v>0</v>
      </c>
      <c r="F608" s="425">
        <f>E608/D608*100</f>
        <v>0</v>
      </c>
      <c r="G608" s="426"/>
    </row>
    <row r="609" spans="1:7" s="434" customFormat="1" ht="18.75" customHeight="1">
      <c r="A609" s="440"/>
      <c r="B609" s="430"/>
      <c r="C609" s="431" t="s">
        <v>487</v>
      </c>
      <c r="D609" s="432">
        <v>3600</v>
      </c>
      <c r="E609" s="432">
        <v>0</v>
      </c>
      <c r="F609" s="433">
        <f>E609/D609*100</f>
        <v>0</v>
      </c>
      <c r="G609" s="426"/>
    </row>
    <row r="610" spans="1:7" s="434" customFormat="1" ht="18.75" customHeight="1">
      <c r="A610" s="440"/>
      <c r="B610" s="430"/>
      <c r="C610" s="431" t="s">
        <v>488</v>
      </c>
      <c r="D610" s="432">
        <v>645</v>
      </c>
      <c r="E610" s="432">
        <v>0</v>
      </c>
      <c r="F610" s="433">
        <f>E610/D610*100</f>
        <v>0</v>
      </c>
      <c r="G610" s="426"/>
    </row>
    <row r="611" spans="1:7" s="434" customFormat="1" ht="18.75" customHeight="1">
      <c r="A611" s="450"/>
      <c r="B611" s="451" t="s">
        <v>607</v>
      </c>
      <c r="C611" s="480" t="s">
        <v>608</v>
      </c>
      <c r="D611" s="100">
        <f>SUM(D612)</f>
        <v>858765</v>
      </c>
      <c r="E611" s="100">
        <f>SUM(E612)</f>
        <v>403491.98</v>
      </c>
      <c r="F611" s="474">
        <f>E611/D611*100</f>
        <v>46.98514494652204</v>
      </c>
      <c r="G611" s="426"/>
    </row>
    <row r="612" spans="1:7" s="434" customFormat="1" ht="18.75" customHeight="1">
      <c r="A612" s="442"/>
      <c r="B612" s="439"/>
      <c r="C612" s="287" t="s">
        <v>495</v>
      </c>
      <c r="D612" s="288">
        <v>858765</v>
      </c>
      <c r="E612" s="288">
        <v>403491.98</v>
      </c>
      <c r="F612" s="475">
        <f>E612/D612*100</f>
        <v>46.98514494652204</v>
      </c>
      <c r="G612" s="426"/>
    </row>
    <row r="613" spans="1:7" s="434" customFormat="1" ht="12" customHeight="1">
      <c r="A613" s="440"/>
      <c r="B613" s="430"/>
      <c r="C613" s="476" t="s">
        <v>511</v>
      </c>
      <c r="D613" s="432"/>
      <c r="E613" s="432"/>
      <c r="F613" s="477"/>
      <c r="G613" s="426"/>
    </row>
    <row r="614" spans="1:7" s="427" customFormat="1" ht="18.75" customHeight="1">
      <c r="A614" s="443"/>
      <c r="B614" s="422"/>
      <c r="C614" s="423" t="s">
        <v>513</v>
      </c>
      <c r="D614" s="424">
        <f>SUM(D615,D616)</f>
        <v>754351</v>
      </c>
      <c r="E614" s="424">
        <f>SUM(E615,E616)</f>
        <v>354441.68</v>
      </c>
      <c r="F614" s="425">
        <f aca="true" t="shared" si="29" ref="F614:F627">E614/D614*100</f>
        <v>46.98630743513298</v>
      </c>
      <c r="G614" s="426"/>
    </row>
    <row r="615" spans="1:7" s="434" customFormat="1" ht="18.75" customHeight="1">
      <c r="A615" s="440"/>
      <c r="B615" s="430"/>
      <c r="C615" s="431" t="s">
        <v>487</v>
      </c>
      <c r="D615" s="432">
        <v>638585</v>
      </c>
      <c r="E615" s="432">
        <v>302693.93</v>
      </c>
      <c r="F615" s="433">
        <f t="shared" si="29"/>
        <v>47.40072660648152</v>
      </c>
      <c r="G615" s="426"/>
    </row>
    <row r="616" spans="1:7" s="434" customFormat="1" ht="18.75" customHeight="1">
      <c r="A616" s="440"/>
      <c r="B616" s="430"/>
      <c r="C616" s="431" t="s">
        <v>488</v>
      </c>
      <c r="D616" s="432">
        <v>115766</v>
      </c>
      <c r="E616" s="432">
        <v>51747.75</v>
      </c>
      <c r="F616" s="433">
        <f t="shared" si="29"/>
        <v>44.70030060639566</v>
      </c>
      <c r="G616" s="426"/>
    </row>
    <row r="617" spans="1:7" s="434" customFormat="1" ht="18.75" customHeight="1">
      <c r="A617" s="450"/>
      <c r="B617" s="451" t="s">
        <v>358</v>
      </c>
      <c r="C617" s="480" t="s">
        <v>359</v>
      </c>
      <c r="D617" s="100">
        <f>SUM(D618)</f>
        <v>6325</v>
      </c>
      <c r="E617" s="100">
        <f>SUM(E618)</f>
        <v>6324.24</v>
      </c>
      <c r="F617" s="474">
        <f>E617/D617*100</f>
        <v>99.9879841897233</v>
      </c>
      <c r="G617" s="426"/>
    </row>
    <row r="618" spans="1:7" s="434" customFormat="1" ht="18.75" customHeight="1">
      <c r="A618" s="442"/>
      <c r="B618" s="439"/>
      <c r="C618" s="287" t="s">
        <v>495</v>
      </c>
      <c r="D618" s="288">
        <v>6325</v>
      </c>
      <c r="E618" s="288">
        <v>6324.24</v>
      </c>
      <c r="F618" s="475">
        <f>E618/D618*100</f>
        <v>99.9879841897233</v>
      </c>
      <c r="G618" s="426"/>
    </row>
    <row r="619" spans="1:7" s="434" customFormat="1" ht="18" customHeight="1">
      <c r="A619" s="450"/>
      <c r="B619" s="451" t="s">
        <v>609</v>
      </c>
      <c r="C619" s="473" t="s">
        <v>1042</v>
      </c>
      <c r="D619" s="100">
        <f>SUM(D620)</f>
        <v>1242639</v>
      </c>
      <c r="E619" s="100">
        <f>SUM(E620)</f>
        <v>452296.65</v>
      </c>
      <c r="F619" s="474">
        <f t="shared" si="29"/>
        <v>36.398072972118214</v>
      </c>
      <c r="G619" s="426"/>
    </row>
    <row r="620" spans="1:7" s="434" customFormat="1" ht="18.75" customHeight="1">
      <c r="A620" s="440"/>
      <c r="B620" s="430"/>
      <c r="C620" s="287" t="s">
        <v>495</v>
      </c>
      <c r="D620" s="288">
        <v>1242639</v>
      </c>
      <c r="E620" s="288">
        <v>452296.65</v>
      </c>
      <c r="F620" s="475">
        <f t="shared" si="29"/>
        <v>36.398072972118214</v>
      </c>
      <c r="G620" s="426"/>
    </row>
    <row r="621" spans="1:7" s="434" customFormat="1" ht="12" customHeight="1">
      <c r="A621" s="440"/>
      <c r="B621" s="430"/>
      <c r="C621" s="476" t="s">
        <v>511</v>
      </c>
      <c r="D621" s="432"/>
      <c r="E621" s="432"/>
      <c r="F621" s="477"/>
      <c r="G621" s="426"/>
    </row>
    <row r="622" spans="1:7" s="427" customFormat="1" ht="18.75" customHeight="1">
      <c r="A622" s="443"/>
      <c r="B622" s="422"/>
      <c r="C622" s="423" t="s">
        <v>513</v>
      </c>
      <c r="D622" s="424">
        <f>SUM(D623,D624)</f>
        <v>929663</v>
      </c>
      <c r="E622" s="424">
        <f>SUM(E623,E624)</f>
        <v>307562.46</v>
      </c>
      <c r="F622" s="425">
        <f>E622/D622*100</f>
        <v>33.08322047881867</v>
      </c>
      <c r="G622" s="426"/>
    </row>
    <row r="623" spans="1:7" s="434" customFormat="1" ht="18.75" customHeight="1">
      <c r="A623" s="440"/>
      <c r="B623" s="430"/>
      <c r="C623" s="431" t="s">
        <v>487</v>
      </c>
      <c r="D623" s="432">
        <v>852485</v>
      </c>
      <c r="E623" s="432">
        <v>280762.88</v>
      </c>
      <c r="F623" s="433">
        <f>E623/D623*100</f>
        <v>32.934641665249245</v>
      </c>
      <c r="G623" s="426"/>
    </row>
    <row r="624" spans="1:7" s="434" customFormat="1" ht="18.75" customHeight="1">
      <c r="A624" s="440"/>
      <c r="B624" s="430"/>
      <c r="C624" s="431" t="s">
        <v>488</v>
      </c>
      <c r="D624" s="432">
        <v>77178</v>
      </c>
      <c r="E624" s="432">
        <v>26799.58</v>
      </c>
      <c r="F624" s="433">
        <f>E624/D624*100</f>
        <v>34.72437741325248</v>
      </c>
      <c r="G624" s="426"/>
    </row>
    <row r="625" spans="1:7" s="434" customFormat="1" ht="18.75" customHeight="1">
      <c r="A625" s="448" t="s">
        <v>1117</v>
      </c>
      <c r="B625" s="449"/>
      <c r="C625" s="470" t="s">
        <v>1121</v>
      </c>
      <c r="D625" s="95">
        <f>SUM(D626,D633,D639,D650,D656,D658,D664,D668,D670)</f>
        <v>4562230</v>
      </c>
      <c r="E625" s="95">
        <f>SUM(E626,E633,E639,E650,E656,E658,E664,E668,E670)</f>
        <v>2216747.2800000003</v>
      </c>
      <c r="F625" s="471">
        <f t="shared" si="29"/>
        <v>48.58911716419384</v>
      </c>
      <c r="G625" s="426"/>
    </row>
    <row r="626" spans="1:8" s="435" customFormat="1" ht="18.75" customHeight="1">
      <c r="A626" s="450"/>
      <c r="B626" s="451" t="s">
        <v>1122</v>
      </c>
      <c r="C626" s="473" t="s">
        <v>1184</v>
      </c>
      <c r="D626" s="100">
        <f>SUM(D627,D632)</f>
        <v>2022097</v>
      </c>
      <c r="E626" s="100">
        <f>SUM(E627,E632)</f>
        <v>1041889.22</v>
      </c>
      <c r="F626" s="474">
        <f t="shared" si="29"/>
        <v>51.52518499359823</v>
      </c>
      <c r="G626" s="426"/>
      <c r="H626" s="434"/>
    </row>
    <row r="627" spans="1:7" s="212" customFormat="1" ht="18.75" customHeight="1">
      <c r="A627" s="442"/>
      <c r="B627" s="439"/>
      <c r="C627" s="287" t="s">
        <v>495</v>
      </c>
      <c r="D627" s="288">
        <v>2022097</v>
      </c>
      <c r="E627" s="288">
        <v>1041889.22</v>
      </c>
      <c r="F627" s="475">
        <f t="shared" si="29"/>
        <v>51.52518499359823</v>
      </c>
      <c r="G627" s="177"/>
    </row>
    <row r="628" spans="1:7" s="98" customFormat="1" ht="12" customHeight="1">
      <c r="A628" s="440"/>
      <c r="B628" s="430"/>
      <c r="C628" s="476" t="s">
        <v>511</v>
      </c>
      <c r="D628" s="432"/>
      <c r="E628" s="432"/>
      <c r="F628" s="477"/>
      <c r="G628" s="177"/>
    </row>
    <row r="629" spans="1:7" s="427" customFormat="1" ht="18.75" customHeight="1">
      <c r="A629" s="443"/>
      <c r="B629" s="422"/>
      <c r="C629" s="423" t="s">
        <v>513</v>
      </c>
      <c r="D629" s="424">
        <f>SUM(D630,D631)</f>
        <v>1610693</v>
      </c>
      <c r="E629" s="424">
        <f>SUM(E630,E631)</f>
        <v>848450.77</v>
      </c>
      <c r="F629" s="425">
        <f aca="true" t="shared" si="30" ref="F629:F634">E629/D629*100</f>
        <v>52.676131950657265</v>
      </c>
      <c r="G629" s="426"/>
    </row>
    <row r="630" spans="1:7" s="434" customFormat="1" ht="18.75" customHeight="1">
      <c r="A630" s="440"/>
      <c r="B630" s="430"/>
      <c r="C630" s="431" t="s">
        <v>487</v>
      </c>
      <c r="D630" s="432">
        <v>1367593</v>
      </c>
      <c r="E630" s="432">
        <v>732674.98</v>
      </c>
      <c r="F630" s="433">
        <f t="shared" si="30"/>
        <v>53.5740516367077</v>
      </c>
      <c r="G630" s="426"/>
    </row>
    <row r="631" spans="1:7" s="434" customFormat="1" ht="18.75" customHeight="1">
      <c r="A631" s="440"/>
      <c r="B631" s="430"/>
      <c r="C631" s="431" t="s">
        <v>488</v>
      </c>
      <c r="D631" s="432">
        <v>243100</v>
      </c>
      <c r="E631" s="432">
        <v>115775.79</v>
      </c>
      <c r="F631" s="433">
        <f t="shared" si="30"/>
        <v>47.62475935828876</v>
      </c>
      <c r="G631" s="426"/>
    </row>
    <row r="632" spans="1:7" s="434" customFormat="1" ht="18.75" customHeight="1" hidden="1">
      <c r="A632" s="440"/>
      <c r="B632" s="430"/>
      <c r="C632" s="287" t="s">
        <v>515</v>
      </c>
      <c r="D632" s="288">
        <v>0</v>
      </c>
      <c r="E632" s="288"/>
      <c r="F632" s="475" t="e">
        <f t="shared" si="30"/>
        <v>#DIV/0!</v>
      </c>
      <c r="G632" s="426"/>
    </row>
    <row r="633" spans="1:8" s="435" customFormat="1" ht="20.25" customHeight="1">
      <c r="A633" s="450"/>
      <c r="B633" s="486" t="s">
        <v>119</v>
      </c>
      <c r="C633" s="473" t="s">
        <v>120</v>
      </c>
      <c r="D633" s="100">
        <f>D634</f>
        <v>69499</v>
      </c>
      <c r="E633" s="100">
        <f>E634</f>
        <v>31762.81</v>
      </c>
      <c r="F633" s="474">
        <f t="shared" si="30"/>
        <v>45.70254248262565</v>
      </c>
      <c r="G633" s="426"/>
      <c r="H633" s="434"/>
    </row>
    <row r="634" spans="1:8" s="435" customFormat="1" ht="18.75" customHeight="1">
      <c r="A634" s="442"/>
      <c r="B634" s="439"/>
      <c r="C634" s="287" t="s">
        <v>495</v>
      </c>
      <c r="D634" s="288">
        <v>69499</v>
      </c>
      <c r="E634" s="288">
        <v>31762.81</v>
      </c>
      <c r="F634" s="475">
        <f t="shared" si="30"/>
        <v>45.70254248262565</v>
      </c>
      <c r="G634" s="426"/>
      <c r="H634" s="434"/>
    </row>
    <row r="635" spans="1:7" s="98" customFormat="1" ht="12" customHeight="1">
      <c r="A635" s="440"/>
      <c r="B635" s="430"/>
      <c r="C635" s="476" t="s">
        <v>511</v>
      </c>
      <c r="D635" s="432"/>
      <c r="E635" s="432"/>
      <c r="F635" s="477"/>
      <c r="G635" s="177"/>
    </row>
    <row r="636" spans="1:7" s="427" customFormat="1" ht="18.75" customHeight="1">
      <c r="A636" s="443"/>
      <c r="B636" s="422"/>
      <c r="C636" s="423" t="s">
        <v>513</v>
      </c>
      <c r="D636" s="424">
        <f>SUM(D637,D638)</f>
        <v>55851</v>
      </c>
      <c r="E636" s="424">
        <f>SUM(E637,E638)</f>
        <v>29801.809999999998</v>
      </c>
      <c r="F636" s="425">
        <f>E636/D636*100</f>
        <v>53.35949222037206</v>
      </c>
      <c r="G636" s="426"/>
    </row>
    <row r="637" spans="1:7" s="434" customFormat="1" ht="18.75" customHeight="1">
      <c r="A637" s="440"/>
      <c r="B637" s="430"/>
      <c r="C637" s="431" t="s">
        <v>487</v>
      </c>
      <c r="D637" s="432">
        <v>47320</v>
      </c>
      <c r="E637" s="432">
        <v>25753.87</v>
      </c>
      <c r="F637" s="433">
        <f>E637/D637*100</f>
        <v>54.42491546914624</v>
      </c>
      <c r="G637" s="426"/>
    </row>
    <row r="638" spans="1:7" s="434" customFormat="1" ht="18.75" customHeight="1">
      <c r="A638" s="440"/>
      <c r="B638" s="430"/>
      <c r="C638" s="431" t="s">
        <v>488</v>
      </c>
      <c r="D638" s="432">
        <v>8531</v>
      </c>
      <c r="E638" s="432">
        <v>4047.94</v>
      </c>
      <c r="F638" s="433">
        <f>E638/D638*100</f>
        <v>47.44977142187317</v>
      </c>
      <c r="G638" s="426"/>
    </row>
    <row r="639" spans="1:8" s="435" customFormat="1" ht="27" customHeight="1">
      <c r="A639" s="450"/>
      <c r="B639" s="486" t="s">
        <v>1123</v>
      </c>
      <c r="C639" s="473" t="s">
        <v>612</v>
      </c>
      <c r="D639" s="100">
        <f>D640</f>
        <v>839040</v>
      </c>
      <c r="E639" s="100">
        <f>E640</f>
        <v>442072.42</v>
      </c>
      <c r="F639" s="474">
        <f>E639/D639*100</f>
        <v>52.68788377192982</v>
      </c>
      <c r="G639" s="426"/>
      <c r="H639" s="434"/>
    </row>
    <row r="640" spans="1:8" s="435" customFormat="1" ht="18.75" customHeight="1">
      <c r="A640" s="442"/>
      <c r="B640" s="439"/>
      <c r="C640" s="287" t="s">
        <v>495</v>
      </c>
      <c r="D640" s="288">
        <v>839040</v>
      </c>
      <c r="E640" s="288">
        <v>442072.42</v>
      </c>
      <c r="F640" s="475">
        <f>E640/D640*100</f>
        <v>52.68788377192982</v>
      </c>
      <c r="G640" s="426"/>
      <c r="H640" s="434"/>
    </row>
    <row r="641" spans="1:7" s="98" customFormat="1" ht="12" customHeight="1">
      <c r="A641" s="440"/>
      <c r="B641" s="430"/>
      <c r="C641" s="476" t="s">
        <v>511</v>
      </c>
      <c r="D641" s="432"/>
      <c r="E641" s="432"/>
      <c r="F641" s="477"/>
      <c r="G641" s="177"/>
    </row>
    <row r="642" spans="1:7" s="427" customFormat="1" ht="18.75" customHeight="1">
      <c r="A642" s="443"/>
      <c r="B642" s="422"/>
      <c r="C642" s="423" t="s">
        <v>513</v>
      </c>
      <c r="D642" s="424">
        <f>SUM(D643,D644)</f>
        <v>759760</v>
      </c>
      <c r="E642" s="424">
        <f>SUM(E643,E644)</f>
        <v>391754.23</v>
      </c>
      <c r="F642" s="425">
        <f>E642/D642*100</f>
        <v>51.56289222912498</v>
      </c>
      <c r="G642" s="426"/>
    </row>
    <row r="643" spans="1:7" s="434" customFormat="1" ht="18.75" customHeight="1">
      <c r="A643" s="440"/>
      <c r="B643" s="430"/>
      <c r="C643" s="431" t="s">
        <v>487</v>
      </c>
      <c r="D643" s="432">
        <v>636980</v>
      </c>
      <c r="E643" s="432">
        <v>338706.47</v>
      </c>
      <c r="F643" s="433">
        <f>E643/D643*100</f>
        <v>53.1737998053314</v>
      </c>
      <c r="G643" s="426"/>
    </row>
    <row r="644" spans="1:7" s="434" customFormat="1" ht="18.75" customHeight="1">
      <c r="A644" s="440"/>
      <c r="B644" s="430"/>
      <c r="C644" s="431" t="s">
        <v>488</v>
      </c>
      <c r="D644" s="432">
        <v>122780</v>
      </c>
      <c r="E644" s="432">
        <v>53047.76</v>
      </c>
      <c r="F644" s="433">
        <f>E644/D644*100</f>
        <v>43.20553836129663</v>
      </c>
      <c r="G644" s="426"/>
    </row>
    <row r="645" spans="1:8" s="435" customFormat="1" ht="21" customHeight="1" hidden="1">
      <c r="A645" s="450"/>
      <c r="B645" s="486" t="s">
        <v>1171</v>
      </c>
      <c r="C645" s="473" t="s">
        <v>613</v>
      </c>
      <c r="D645" s="100">
        <f>D646</f>
        <v>0</v>
      </c>
      <c r="E645" s="100">
        <f>E646</f>
        <v>0</v>
      </c>
      <c r="F645" s="474" t="e">
        <f>E645/D645*100</f>
        <v>#DIV/0!</v>
      </c>
      <c r="G645" s="426"/>
      <c r="H645" s="434"/>
    </row>
    <row r="646" spans="1:8" s="435" customFormat="1" ht="18.75" customHeight="1" hidden="1">
      <c r="A646" s="442"/>
      <c r="B646" s="439"/>
      <c r="C646" s="287" t="s">
        <v>495</v>
      </c>
      <c r="D646" s="288"/>
      <c r="E646" s="288"/>
      <c r="F646" s="475" t="e">
        <f>E646/D646*100</f>
        <v>#DIV/0!</v>
      </c>
      <c r="G646" s="426"/>
      <c r="H646" s="434"/>
    </row>
    <row r="647" spans="1:7" s="98" customFormat="1" ht="12" customHeight="1" hidden="1">
      <c r="A647" s="440"/>
      <c r="B647" s="430"/>
      <c r="C647" s="476" t="s">
        <v>511</v>
      </c>
      <c r="D647" s="432"/>
      <c r="E647" s="432"/>
      <c r="F647" s="477"/>
      <c r="G647" s="177"/>
    </row>
    <row r="648" spans="1:7" s="427" customFormat="1" ht="18.75" customHeight="1" hidden="1">
      <c r="A648" s="443"/>
      <c r="B648" s="422"/>
      <c r="C648" s="423" t="s">
        <v>513</v>
      </c>
      <c r="D648" s="424">
        <f>SUM(D649)</f>
        <v>0</v>
      </c>
      <c r="E648" s="424">
        <f>SUM(E649)</f>
        <v>0</v>
      </c>
      <c r="F648" s="425" t="e">
        <f>E648/D648*100</f>
        <v>#DIV/0!</v>
      </c>
      <c r="G648" s="426"/>
    </row>
    <row r="649" spans="1:7" s="434" customFormat="1" ht="18.75" customHeight="1" hidden="1">
      <c r="A649" s="440"/>
      <c r="B649" s="430"/>
      <c r="C649" s="431" t="s">
        <v>487</v>
      </c>
      <c r="D649" s="432"/>
      <c r="E649" s="432"/>
      <c r="F649" s="433" t="e">
        <f>E649/D649*100</f>
        <v>#DIV/0!</v>
      </c>
      <c r="G649" s="426"/>
    </row>
    <row r="650" spans="1:8" s="435" customFormat="1" ht="18.75" customHeight="1">
      <c r="A650" s="450"/>
      <c r="B650" s="451" t="s">
        <v>1173</v>
      </c>
      <c r="C650" s="480" t="s">
        <v>614</v>
      </c>
      <c r="D650" s="100">
        <f>D651</f>
        <v>420896</v>
      </c>
      <c r="E650" s="100">
        <f>E651</f>
        <v>230609.48</v>
      </c>
      <c r="F650" s="474">
        <f>E650/D650*100</f>
        <v>54.79013342963582</v>
      </c>
      <c r="G650" s="426"/>
      <c r="H650" s="434"/>
    </row>
    <row r="651" spans="1:8" s="435" customFormat="1" ht="18" customHeight="1">
      <c r="A651" s="442"/>
      <c r="B651" s="439"/>
      <c r="C651" s="287" t="s">
        <v>495</v>
      </c>
      <c r="D651" s="288">
        <v>420896</v>
      </c>
      <c r="E651" s="288">
        <v>230609.48</v>
      </c>
      <c r="F651" s="475">
        <f>E651/D651*100</f>
        <v>54.79013342963582</v>
      </c>
      <c r="G651" s="426"/>
      <c r="H651" s="434"/>
    </row>
    <row r="652" spans="1:7" s="98" customFormat="1" ht="12" customHeight="1">
      <c r="A652" s="440"/>
      <c r="B652" s="430"/>
      <c r="C652" s="476" t="s">
        <v>511</v>
      </c>
      <c r="D652" s="432"/>
      <c r="E652" s="432"/>
      <c r="F652" s="477"/>
      <c r="G652" s="177"/>
    </row>
    <row r="653" spans="1:7" s="427" customFormat="1" ht="18.75" customHeight="1">
      <c r="A653" s="443"/>
      <c r="B653" s="422"/>
      <c r="C653" s="423" t="s">
        <v>513</v>
      </c>
      <c r="D653" s="424">
        <f>SUM(D654,D655)</f>
        <v>395215</v>
      </c>
      <c r="E653" s="424">
        <f>SUM(E654,E655)</f>
        <v>215607.48</v>
      </c>
      <c r="F653" s="425">
        <f aca="true" t="shared" si="31" ref="F653:F659">E653/D653*100</f>
        <v>54.554477942385795</v>
      </c>
      <c r="G653" s="426"/>
    </row>
    <row r="654" spans="1:7" s="434" customFormat="1" ht="18.75" customHeight="1">
      <c r="A654" s="440"/>
      <c r="B654" s="430"/>
      <c r="C654" s="431" t="s">
        <v>487</v>
      </c>
      <c r="D654" s="432">
        <v>338867</v>
      </c>
      <c r="E654" s="432">
        <v>203115.42</v>
      </c>
      <c r="F654" s="433">
        <f t="shared" si="31"/>
        <v>59.93956921151957</v>
      </c>
      <c r="G654" s="426"/>
    </row>
    <row r="655" spans="1:7" s="434" customFormat="1" ht="18.75" customHeight="1">
      <c r="A655" s="440"/>
      <c r="B655" s="430"/>
      <c r="C655" s="431" t="s">
        <v>488</v>
      </c>
      <c r="D655" s="432">
        <v>56348</v>
      </c>
      <c r="E655" s="432">
        <v>12492.06</v>
      </c>
      <c r="F655" s="433">
        <f t="shared" si="31"/>
        <v>22.169482501597216</v>
      </c>
      <c r="G655" s="426"/>
    </row>
    <row r="656" spans="1:8" s="435" customFormat="1" ht="18.75" customHeight="1">
      <c r="A656" s="450"/>
      <c r="B656" s="451" t="s">
        <v>1174</v>
      </c>
      <c r="C656" s="480" t="s">
        <v>1175</v>
      </c>
      <c r="D656" s="100">
        <f>D657</f>
        <v>190000</v>
      </c>
      <c r="E656" s="100">
        <f>E657</f>
        <v>44000</v>
      </c>
      <c r="F656" s="474">
        <f t="shared" si="31"/>
        <v>23.157894736842106</v>
      </c>
      <c r="G656" s="426"/>
      <c r="H656" s="434"/>
    </row>
    <row r="657" spans="1:8" s="435" customFormat="1" ht="18" customHeight="1">
      <c r="A657" s="442"/>
      <c r="B657" s="439"/>
      <c r="C657" s="287" t="s">
        <v>495</v>
      </c>
      <c r="D657" s="288">
        <v>190000</v>
      </c>
      <c r="E657" s="288">
        <v>44000</v>
      </c>
      <c r="F657" s="475">
        <f t="shared" si="31"/>
        <v>23.157894736842106</v>
      </c>
      <c r="G657" s="426"/>
      <c r="H657" s="434"/>
    </row>
    <row r="658" spans="1:7" s="434" customFormat="1" ht="18.75" customHeight="1">
      <c r="A658" s="450"/>
      <c r="B658" s="451" t="s">
        <v>1176</v>
      </c>
      <c r="C658" s="480" t="s">
        <v>615</v>
      </c>
      <c r="D658" s="100">
        <f>D659</f>
        <v>203089</v>
      </c>
      <c r="E658" s="100">
        <f>E659</f>
        <v>107579.35</v>
      </c>
      <c r="F658" s="474">
        <f t="shared" si="31"/>
        <v>52.97152972342175</v>
      </c>
      <c r="G658" s="426"/>
    </row>
    <row r="659" spans="1:8" s="435" customFormat="1" ht="17.25" customHeight="1">
      <c r="A659" s="442"/>
      <c r="B659" s="439"/>
      <c r="C659" s="287" t="s">
        <v>495</v>
      </c>
      <c r="D659" s="288">
        <v>203089</v>
      </c>
      <c r="E659" s="288">
        <v>107579.35</v>
      </c>
      <c r="F659" s="475">
        <f t="shared" si="31"/>
        <v>52.97152972342175</v>
      </c>
      <c r="G659" s="426"/>
      <c r="H659" s="434"/>
    </row>
    <row r="660" spans="1:8" s="435" customFormat="1" ht="12" customHeight="1">
      <c r="A660" s="440"/>
      <c r="B660" s="430"/>
      <c r="C660" s="476" t="s">
        <v>511</v>
      </c>
      <c r="D660" s="432"/>
      <c r="E660" s="432"/>
      <c r="F660" s="477"/>
      <c r="G660" s="426"/>
      <c r="H660" s="434"/>
    </row>
    <row r="661" spans="1:8" s="428" customFormat="1" ht="18.75" customHeight="1">
      <c r="A661" s="443"/>
      <c r="B661" s="422"/>
      <c r="C661" s="423" t="s">
        <v>513</v>
      </c>
      <c r="D661" s="424">
        <f>SUM(D662,D663)</f>
        <v>196138</v>
      </c>
      <c r="E661" s="424">
        <f>SUM(E662,E663)</f>
        <v>100628.35</v>
      </c>
      <c r="F661" s="425">
        <f>E661/D661*100</f>
        <v>51.30487207986214</v>
      </c>
      <c r="G661" s="426"/>
      <c r="H661" s="427"/>
    </row>
    <row r="662" spans="1:8" s="435" customFormat="1" ht="18.75" customHeight="1">
      <c r="A662" s="440"/>
      <c r="B662" s="430"/>
      <c r="C662" s="431" t="s">
        <v>487</v>
      </c>
      <c r="D662" s="432">
        <v>164827</v>
      </c>
      <c r="E662" s="432">
        <v>85771.69</v>
      </c>
      <c r="F662" s="433">
        <f>E662/D662*100</f>
        <v>52.037402852687975</v>
      </c>
      <c r="G662" s="426"/>
      <c r="H662" s="434"/>
    </row>
    <row r="663" spans="1:8" s="435" customFormat="1" ht="18.75" customHeight="1">
      <c r="A663" s="440"/>
      <c r="B663" s="430"/>
      <c r="C663" s="431" t="s">
        <v>488</v>
      </c>
      <c r="D663" s="432">
        <v>31311</v>
      </c>
      <c r="E663" s="432">
        <v>14856.66</v>
      </c>
      <c r="F663" s="433">
        <f>E663/D663*100</f>
        <v>47.4486921529175</v>
      </c>
      <c r="G663" s="426"/>
      <c r="H663" s="434"/>
    </row>
    <row r="664" spans="1:7" s="98" customFormat="1" ht="18.75" customHeight="1">
      <c r="A664" s="450"/>
      <c r="B664" s="451" t="s">
        <v>616</v>
      </c>
      <c r="C664" s="473" t="s">
        <v>490</v>
      </c>
      <c r="D664" s="100">
        <f>SUM(D665)</f>
        <v>799121</v>
      </c>
      <c r="E664" s="100">
        <f>SUM(E665)</f>
        <v>314782</v>
      </c>
      <c r="F664" s="475">
        <f>E664/D664*100</f>
        <v>39.391030895196096</v>
      </c>
      <c r="G664" s="177"/>
    </row>
    <row r="665" spans="1:7" s="434" customFormat="1" ht="16.5" customHeight="1">
      <c r="A665" s="450"/>
      <c r="B665" s="451"/>
      <c r="C665" s="287" t="s">
        <v>495</v>
      </c>
      <c r="D665" s="288">
        <v>799121</v>
      </c>
      <c r="E665" s="288">
        <v>314782</v>
      </c>
      <c r="F665" s="475">
        <f>E665/D665*100</f>
        <v>39.391030895196096</v>
      </c>
      <c r="G665" s="426"/>
    </row>
    <row r="666" spans="1:8" s="435" customFormat="1" ht="12" customHeight="1">
      <c r="A666" s="440"/>
      <c r="B666" s="430"/>
      <c r="C666" s="476" t="s">
        <v>511</v>
      </c>
      <c r="D666" s="432"/>
      <c r="E666" s="432"/>
      <c r="F666" s="433"/>
      <c r="G666" s="426"/>
      <c r="H666" s="434"/>
    </row>
    <row r="667" spans="1:8" s="428" customFormat="1" ht="18.75" customHeight="1">
      <c r="A667" s="443"/>
      <c r="B667" s="422"/>
      <c r="C667" s="423" t="s">
        <v>514</v>
      </c>
      <c r="D667" s="424">
        <v>799121</v>
      </c>
      <c r="E667" s="424">
        <v>314782</v>
      </c>
      <c r="F667" s="425">
        <f aca="true" t="shared" si="32" ref="F667:F683">E667/D667*100</f>
        <v>39.391030895196096</v>
      </c>
      <c r="G667" s="426"/>
      <c r="H667" s="427"/>
    </row>
    <row r="668" spans="1:8" s="435" customFormat="1" ht="18.75" customHeight="1">
      <c r="A668" s="450"/>
      <c r="B668" s="451" t="s">
        <v>617</v>
      </c>
      <c r="C668" s="480" t="s">
        <v>584</v>
      </c>
      <c r="D668" s="100">
        <f>D669</f>
        <v>14156</v>
      </c>
      <c r="E668" s="100">
        <f>E669</f>
        <v>2887</v>
      </c>
      <c r="F668" s="474">
        <f t="shared" si="32"/>
        <v>20.3941791466516</v>
      </c>
      <c r="G668" s="426"/>
      <c r="H668" s="434"/>
    </row>
    <row r="669" spans="1:8" s="435" customFormat="1" ht="18.75" customHeight="1">
      <c r="A669" s="442"/>
      <c r="B669" s="439"/>
      <c r="C669" s="287" t="s">
        <v>495</v>
      </c>
      <c r="D669" s="288">
        <v>14156</v>
      </c>
      <c r="E669" s="288">
        <v>2887</v>
      </c>
      <c r="F669" s="475">
        <f t="shared" si="32"/>
        <v>20.3941791466516</v>
      </c>
      <c r="G669" s="426"/>
      <c r="H669" s="434"/>
    </row>
    <row r="670" spans="1:8" s="435" customFormat="1" ht="18.75" customHeight="1">
      <c r="A670" s="450"/>
      <c r="B670" s="451" t="s">
        <v>618</v>
      </c>
      <c r="C670" s="480" t="s">
        <v>1042</v>
      </c>
      <c r="D670" s="100">
        <f>SUM(D671,D676)</f>
        <v>4332</v>
      </c>
      <c r="E670" s="100">
        <f>SUM(E671,E676)</f>
        <v>1165</v>
      </c>
      <c r="F670" s="474">
        <f t="shared" si="32"/>
        <v>26.892890120036935</v>
      </c>
      <c r="G670" s="426"/>
      <c r="H670" s="434"/>
    </row>
    <row r="671" spans="1:8" s="435" customFormat="1" ht="17.25" customHeight="1">
      <c r="A671" s="442"/>
      <c r="B671" s="439"/>
      <c r="C671" s="287" t="s">
        <v>495</v>
      </c>
      <c r="D671" s="288">
        <v>4332</v>
      </c>
      <c r="E671" s="288">
        <v>1165</v>
      </c>
      <c r="F671" s="475">
        <f t="shared" si="32"/>
        <v>26.892890120036935</v>
      </c>
      <c r="G671" s="426"/>
      <c r="H671" s="434"/>
    </row>
    <row r="672" spans="1:8" s="435" customFormat="1" ht="12" customHeight="1" hidden="1">
      <c r="A672" s="440"/>
      <c r="B672" s="430"/>
      <c r="C672" s="476" t="s">
        <v>511</v>
      </c>
      <c r="D672" s="432"/>
      <c r="E672" s="432"/>
      <c r="F672" s="477"/>
      <c r="G672" s="426"/>
      <c r="H672" s="434"/>
    </row>
    <row r="673" spans="1:8" s="428" customFormat="1" ht="18.75" customHeight="1" hidden="1">
      <c r="A673" s="443"/>
      <c r="B673" s="422"/>
      <c r="C673" s="423" t="s">
        <v>513</v>
      </c>
      <c r="D673" s="424">
        <f>SUM(D674,D675)</f>
        <v>0</v>
      </c>
      <c r="E673" s="424">
        <f>SUM(E674,E675)</f>
        <v>0</v>
      </c>
      <c r="F673" s="425" t="e">
        <f>E673/D673*100</f>
        <v>#DIV/0!</v>
      </c>
      <c r="G673" s="426"/>
      <c r="H673" s="427"/>
    </row>
    <row r="674" spans="1:8" s="435" customFormat="1" ht="18.75" customHeight="1" hidden="1">
      <c r="A674" s="440"/>
      <c r="B674" s="430"/>
      <c r="C674" s="431" t="s">
        <v>487</v>
      </c>
      <c r="D674" s="432">
        <v>0</v>
      </c>
      <c r="E674" s="432"/>
      <c r="F674" s="433" t="e">
        <f>E674/D674*100</f>
        <v>#DIV/0!</v>
      </c>
      <c r="G674" s="426"/>
      <c r="H674" s="434"/>
    </row>
    <row r="675" spans="1:8" s="435" customFormat="1" ht="16.5" customHeight="1" hidden="1">
      <c r="A675" s="440"/>
      <c r="B675" s="430"/>
      <c r="C675" s="431" t="s">
        <v>488</v>
      </c>
      <c r="D675" s="432">
        <v>0</v>
      </c>
      <c r="E675" s="432"/>
      <c r="F675" s="433" t="e">
        <f>E675/D675*100</f>
        <v>#DIV/0!</v>
      </c>
      <c r="G675" s="426"/>
      <c r="H675" s="434"/>
    </row>
    <row r="676" spans="1:8" s="435" customFormat="1" ht="17.25" customHeight="1" hidden="1">
      <c r="A676" s="442"/>
      <c r="B676" s="439"/>
      <c r="C676" s="287" t="s">
        <v>515</v>
      </c>
      <c r="D676" s="288">
        <v>0</v>
      </c>
      <c r="E676" s="288"/>
      <c r="F676" s="475" t="e">
        <f>E676/D676*100</f>
        <v>#DIV/0!</v>
      </c>
      <c r="G676" s="426"/>
      <c r="H676" s="434"/>
    </row>
    <row r="677" spans="1:7" s="434" customFormat="1" ht="24.75" customHeight="1">
      <c r="A677" s="448" t="s">
        <v>1177</v>
      </c>
      <c r="B677" s="449"/>
      <c r="C677" s="470" t="s">
        <v>629</v>
      </c>
      <c r="D677" s="95">
        <f>SUM(D678,D680)</f>
        <v>761789</v>
      </c>
      <c r="E677" s="95">
        <f>SUM(E678,E680)</f>
        <v>393112.43</v>
      </c>
      <c r="F677" s="471">
        <f t="shared" si="32"/>
        <v>51.60384699700311</v>
      </c>
      <c r="G677" s="426"/>
    </row>
    <row r="678" spans="1:7" s="434" customFormat="1" ht="18.75" customHeight="1">
      <c r="A678" s="450"/>
      <c r="B678" s="451" t="s">
        <v>632</v>
      </c>
      <c r="C678" s="473" t="s">
        <v>633</v>
      </c>
      <c r="D678" s="100">
        <f>SUM(D679)</f>
        <v>3389</v>
      </c>
      <c r="E678" s="100">
        <f>SUM(E679)</f>
        <v>2500</v>
      </c>
      <c r="F678" s="475">
        <f t="shared" si="32"/>
        <v>73.7680731779286</v>
      </c>
      <c r="G678" s="426"/>
    </row>
    <row r="679" spans="1:7" s="434" customFormat="1" ht="18.75" customHeight="1">
      <c r="A679" s="442"/>
      <c r="B679" s="439"/>
      <c r="C679" s="287" t="s">
        <v>495</v>
      </c>
      <c r="D679" s="288">
        <v>3389</v>
      </c>
      <c r="E679" s="288">
        <v>2500</v>
      </c>
      <c r="F679" s="475">
        <f t="shared" si="32"/>
        <v>73.7680731779286</v>
      </c>
      <c r="G679" s="426"/>
    </row>
    <row r="680" spans="1:8" s="435" customFormat="1" ht="18.75" customHeight="1">
      <c r="A680" s="450"/>
      <c r="B680" s="451" t="s">
        <v>1179</v>
      </c>
      <c r="C680" s="480" t="s">
        <v>1180</v>
      </c>
      <c r="D680" s="100">
        <f>SUM(D681)</f>
        <v>758400</v>
      </c>
      <c r="E680" s="100">
        <f>SUM(E681)</f>
        <v>390612.43</v>
      </c>
      <c r="F680" s="474">
        <f t="shared" si="32"/>
        <v>51.50480353375527</v>
      </c>
      <c r="G680" s="426"/>
      <c r="H680" s="434"/>
    </row>
    <row r="681" spans="1:8" s="435" customFormat="1" ht="18.75" customHeight="1" thickBot="1">
      <c r="A681" s="532"/>
      <c r="B681" s="533"/>
      <c r="C681" s="534" t="s">
        <v>495</v>
      </c>
      <c r="D681" s="535">
        <v>758400</v>
      </c>
      <c r="E681" s="535">
        <v>390612.43</v>
      </c>
      <c r="F681" s="536">
        <f t="shared" si="32"/>
        <v>51.50480353375527</v>
      </c>
      <c r="G681" s="426"/>
      <c r="H681" s="434"/>
    </row>
    <row r="682" spans="1:7" s="98" customFormat="1" ht="18.75" customHeight="1">
      <c r="A682" s="419"/>
      <c r="B682" s="420"/>
      <c r="C682" s="519" t="s">
        <v>1073</v>
      </c>
      <c r="D682" s="227">
        <f>SUM(D683,D690)</f>
        <v>134538667.75</v>
      </c>
      <c r="E682" s="227">
        <f>SUM(E683,E690)</f>
        <v>59660072.93</v>
      </c>
      <c r="F682" s="478">
        <f t="shared" si="32"/>
        <v>44.3441829235744</v>
      </c>
      <c r="G682" s="177"/>
    </row>
    <row r="683" spans="1:7" s="98" customFormat="1" ht="18.75" customHeight="1">
      <c r="A683" s="500"/>
      <c r="B683" s="501"/>
      <c r="C683" s="502" t="s">
        <v>495</v>
      </c>
      <c r="D683" s="288">
        <f>SUM(D10,D16,D18,D24,D27,D30,D37,D47,D40,D55,D61,D65,D72,D78,D84,D86,D90,D96,D98,D105,D111,D120,D126,D133,D139,D141,D148,D152)+D158+D163+D166+D169+D177+D184+D191+D199+D203+D205+D212+D221+D228+D235+D241+D249+D257+D265+D267+D271+D277+D279+D284+D286+D293+D299+D307+D314+D323+D329+D336+D338+D340+D347+D352+D354+D357+D361+D364+D366+D373+D380+D387+D394+D399+D409+D412+D420</f>
        <v>93272434.75</v>
      </c>
      <c r="E683" s="288">
        <f>SUM(E10,E16,E18,E24,E27,E30,E37,E47,E40,E55,E61,E65,E72,E78,E84,E86,E90,E96,E98,E105,E111,E120,E126,E133,E139,E141,E148,E152)+E158+E163+E166+E169+E177+E184+E191+E199+E203+E205+E212+E221+E228+E235+E241+E249+E257+E265+E267+E271+E277+E279+E284+E286+E293+E299+E307+E314+E323+E329+E336+E338+E340+E347+E352+E354+E357+E361+E364+E366+E373+E380+E387+E394+E399+E409+E412+E420</f>
        <v>45273219.36</v>
      </c>
      <c r="F683" s="503">
        <f t="shared" si="32"/>
        <v>48.53869150231441</v>
      </c>
      <c r="G683" s="177"/>
    </row>
    <row r="684" spans="1:7" s="434" customFormat="1" ht="12" customHeight="1">
      <c r="A684" s="500"/>
      <c r="B684" s="501"/>
      <c r="C684" s="504" t="s">
        <v>511</v>
      </c>
      <c r="D684" s="505"/>
      <c r="E684" s="505"/>
      <c r="F684" s="506"/>
      <c r="G684" s="426"/>
    </row>
    <row r="685" spans="1:8" s="462" customFormat="1" ht="18" customHeight="1">
      <c r="A685" s="457"/>
      <c r="B685" s="458"/>
      <c r="C685" s="459" t="s">
        <v>513</v>
      </c>
      <c r="D685" s="460">
        <f>SUM(D686,D687)</f>
        <v>32230481</v>
      </c>
      <c r="E685" s="460">
        <f>SUM(E686,E687)</f>
        <v>16899130.97</v>
      </c>
      <c r="F685" s="461">
        <f aca="true" t="shared" si="33" ref="F685:F690">E685/D685*100</f>
        <v>52.43214015329153</v>
      </c>
      <c r="G685" s="747"/>
      <c r="H685" s="746"/>
    </row>
    <row r="686" spans="1:8" s="435" customFormat="1" ht="18.75" customHeight="1">
      <c r="A686" s="457"/>
      <c r="B686" s="458"/>
      <c r="C686" s="463" t="s">
        <v>487</v>
      </c>
      <c r="D686" s="464">
        <f>SUM(D13,D21,D33,D43,D50,D58,D81,D93,D101,D108,D114,D123,D129,D136,D144,D155,D172,D180,D194,D208,D215,D224,D231,D238,D244,D252,D260,D274,D289,D296)+D302+D310+D317+D326++D332+D343+D369+D402</f>
        <v>27334770</v>
      </c>
      <c r="E686" s="464">
        <f>SUM(E13,E21,E33,E43,E50,E58,E81,E93,E101,E108,E114,E123,E129,E136,E144,E155,E172,E180,E194,E208,E215,E224,E231,E238,E244,E252,E260,E274,E289,E296)+E302+E310+E317+E326++E332+E343+E369+E402</f>
        <v>14553165.33</v>
      </c>
      <c r="F686" s="465">
        <f t="shared" si="33"/>
        <v>53.240489420617045</v>
      </c>
      <c r="G686" s="426"/>
      <c r="H686" s="434"/>
    </row>
    <row r="687" spans="1:8" s="435" customFormat="1" ht="18.75" customHeight="1">
      <c r="A687" s="466"/>
      <c r="B687" s="467"/>
      <c r="C687" s="468" t="s">
        <v>953</v>
      </c>
      <c r="D687" s="464">
        <f>SUM(D14,D34,D44,D51,D59,D82,D94,D109,D102,D115,D124,D130,D137,D145,D173,D181,D195,D209,D216,D225,D232,D245,D253,D261,D275,D282,D290,D297,D303,D311)+D318+D327+D333+D344</f>
        <v>4895711</v>
      </c>
      <c r="E687" s="464">
        <f>SUM(E14,E34,E44,E51,E59,E82,E94,E109,E102,E115,E124,E130,E137,E145,E173,E181,E195,E209,E216,E225,E232,E245,E253,E261,E275,E282,E290,E297,E303,E311)+E318+E327+E333+E344</f>
        <v>2345965.64</v>
      </c>
      <c r="F687" s="465">
        <f t="shared" si="33"/>
        <v>47.91879340916979</v>
      </c>
      <c r="G687" s="426"/>
      <c r="H687" s="434"/>
    </row>
    <row r="688" spans="1:8" s="428" customFormat="1" ht="17.25" customHeight="1">
      <c r="A688" s="466"/>
      <c r="B688" s="467"/>
      <c r="C688" s="507" t="s">
        <v>478</v>
      </c>
      <c r="D688" s="460">
        <f>SUM(D67,D116,D174,D182,D186,D196,D201,D217,D226,D233,D239,D246,D254,D262,D269,D319,D359,D375,D382,D389,D396,D403,D416)</f>
        <v>12285096</v>
      </c>
      <c r="E688" s="460">
        <f>SUM(E67,E116,E174,E182,E186,E196,E201,E217,E226,E233,E239,E246,E254,E262,E269,E319,E359,E375,E382,E389,E396,E403,E416)</f>
        <v>6909256.71</v>
      </c>
      <c r="F688" s="425">
        <f t="shared" si="33"/>
        <v>56.24096637095876</v>
      </c>
      <c r="G688" s="426"/>
      <c r="H688" s="427"/>
    </row>
    <row r="689" spans="1:8" s="428" customFormat="1" ht="18" customHeight="1">
      <c r="A689" s="466"/>
      <c r="B689" s="467"/>
      <c r="C689" s="507" t="s">
        <v>552</v>
      </c>
      <c r="D689" s="460">
        <f>SUM(D160)</f>
        <v>2190500</v>
      </c>
      <c r="E689" s="460">
        <f>SUM(E160)</f>
        <v>707400.89</v>
      </c>
      <c r="F689" s="425">
        <f t="shared" si="33"/>
        <v>32.29403743437572</v>
      </c>
      <c r="G689" s="426"/>
      <c r="H689" s="427"/>
    </row>
    <row r="690" spans="1:8" s="435" customFormat="1" ht="18.75" customHeight="1">
      <c r="A690" s="508"/>
      <c r="B690" s="501"/>
      <c r="C690" s="502" t="s">
        <v>515</v>
      </c>
      <c r="D690" s="518">
        <f>SUM(D38,D45,D52,D62,D68,D73,D75,D87,D103,D117,D146,D149,D164,D175,D187,D197,D210,D218,D247,D263,D291,D304,D312,D320,D334,D350,D355,D362,D370,D376)+D383+D390+D397+D404+D410+D417</f>
        <v>41266233</v>
      </c>
      <c r="E690" s="518">
        <f>SUM(E38,E45,E52,E62,E68,E73,E75,E87,E103,E117,E146,E149,E175,E187,E197,E210,E218,E247,E263,E291,E304,E312,E320,E334,E350,E355,E362,E370,E376,E383)+E390+E397+E404+E410+E417</f>
        <v>14386853.57</v>
      </c>
      <c r="F690" s="475">
        <f t="shared" si="33"/>
        <v>34.86350103727665</v>
      </c>
      <c r="G690" s="426"/>
      <c r="H690" s="434"/>
    </row>
    <row r="691" spans="1:6" ht="12" customHeight="1">
      <c r="A691" s="508"/>
      <c r="B691" s="501"/>
      <c r="C691" s="504" t="s">
        <v>511</v>
      </c>
      <c r="D691" s="505"/>
      <c r="E691" s="505"/>
      <c r="F691" s="477"/>
    </row>
    <row r="692" spans="1:10" s="517" customFormat="1" ht="18.75" customHeight="1">
      <c r="A692" s="509"/>
      <c r="B692" s="510"/>
      <c r="C692" s="511" t="s">
        <v>542</v>
      </c>
      <c r="D692" s="512">
        <f>SUM(D70,D189,D378,D385,D392,D406,D419)</f>
        <v>3644620</v>
      </c>
      <c r="E692" s="512">
        <f>SUM(E70,E189,E378,E385,E392,E406,E419)</f>
        <v>1094862.88</v>
      </c>
      <c r="F692" s="513">
        <f>E692/D692*100</f>
        <v>30.040522194357706</v>
      </c>
      <c r="G692" s="514"/>
      <c r="H692" s="515"/>
      <c r="I692" s="516"/>
      <c r="J692" s="516"/>
    </row>
    <row r="693" spans="1:10" ht="18.75" customHeight="1">
      <c r="A693" s="419"/>
      <c r="B693" s="420"/>
      <c r="C693" s="519" t="s">
        <v>998</v>
      </c>
      <c r="D693" s="227">
        <f>SUM(D694,D700)</f>
        <v>73770110</v>
      </c>
      <c r="E693" s="227">
        <f>SUM(E694,E700)</f>
        <v>33364958.499999996</v>
      </c>
      <c r="F693" s="478">
        <f>E693/D693*100</f>
        <v>45.22828893707763</v>
      </c>
      <c r="G693" s="514"/>
      <c r="H693" s="537"/>
      <c r="I693" s="538"/>
      <c r="J693" s="538"/>
    </row>
    <row r="694" spans="1:10" ht="18.75" customHeight="1">
      <c r="A694" s="508"/>
      <c r="B694" s="501"/>
      <c r="C694" s="502" t="s">
        <v>495</v>
      </c>
      <c r="D694" s="288">
        <f>SUM(D425,D430,D438,D442,D448,D450,D457,D463,D469,D476,D483,D487,D495,D501,D507,D515,D521,D528,D534,D540,D542,D550,D557,D566,D569,D574,D580,D587,D593,D595)+D598+D602+D606+D612+D618+D620+D627+D634+D640+D646+D651+D657+D659+D665+D669+D671+D679+D681</f>
        <v>55685460</v>
      </c>
      <c r="E694" s="288">
        <f>SUM(E425,E430,E438,E442,E448,E450,E457,E463,E469,E476,E483,E487,E495,E501,E507,E515,E521,E528,E534,E540,E542,E550,E557,E566,E569,E574,E580,E587,E593,E595)+E598+E602+E606+E612+E618+E620+E627+E634+E640+E646+E651+E657+E659+E665+E669+E671+E679+E681</f>
        <v>27865293.749999996</v>
      </c>
      <c r="F694" s="475">
        <f>E694/D694*100</f>
        <v>50.04052000288765</v>
      </c>
      <c r="G694" s="514"/>
      <c r="H694" s="537"/>
      <c r="I694" s="538"/>
      <c r="J694" s="538"/>
    </row>
    <row r="695" spans="1:10" ht="12.75" customHeight="1">
      <c r="A695" s="508"/>
      <c r="B695" s="501"/>
      <c r="C695" s="504" t="s">
        <v>511</v>
      </c>
      <c r="D695" s="505"/>
      <c r="E695" s="505"/>
      <c r="F695" s="477"/>
      <c r="G695" s="514"/>
      <c r="H695" s="537"/>
      <c r="I695" s="538"/>
      <c r="J695" s="538"/>
    </row>
    <row r="696" spans="1:10" s="517" customFormat="1" ht="18.75" customHeight="1">
      <c r="A696" s="466"/>
      <c r="B696" s="467"/>
      <c r="C696" s="507" t="s">
        <v>513</v>
      </c>
      <c r="D696" s="460">
        <f>SUM(D697,D698)</f>
        <v>30265152</v>
      </c>
      <c r="E696" s="460">
        <f>SUM(E697,E698)</f>
        <v>15501021</v>
      </c>
      <c r="F696" s="425">
        <f>E696/D696*100</f>
        <v>51.217390218294625</v>
      </c>
      <c r="G696" s="514"/>
      <c r="H696" s="515"/>
      <c r="I696" s="516"/>
      <c r="J696" s="516"/>
    </row>
    <row r="697" spans="1:10" s="542" customFormat="1" ht="18.75" customHeight="1">
      <c r="A697" s="457"/>
      <c r="B697" s="458"/>
      <c r="C697" s="463" t="s">
        <v>487</v>
      </c>
      <c r="D697" s="464">
        <f>SUM(D433,D445,D453,D460,D466,D472,D490,D498,D504,D510,D518,D524,D531,D537,D545,D560,D577,D583,D590,D609,D615,D623,D630,D637,D643,D649,D654,D662,D674)</f>
        <v>26277810</v>
      </c>
      <c r="E697" s="464">
        <f>SUM(E433,E445,E453,E460,E466,E472,E490,E498,E504,E510,E518,E524,E531,E537,E545,E560,E577,E583,E590,E609,E615,E623,E630,E637,E643,E649,E654,E662,E674)</f>
        <v>13524000.459999999</v>
      </c>
      <c r="F697" s="465">
        <f>E697/D697*100</f>
        <v>51.46547775480529</v>
      </c>
      <c r="G697" s="539"/>
      <c r="H697" s="540"/>
      <c r="I697" s="541"/>
      <c r="J697" s="541"/>
    </row>
    <row r="698" spans="1:10" s="542" customFormat="1" ht="18.75" customHeight="1">
      <c r="A698" s="457"/>
      <c r="B698" s="458"/>
      <c r="C698" s="463" t="s">
        <v>488</v>
      </c>
      <c r="D698" s="464">
        <f>SUM(D434,D446,D454,D461,D467,D473,D491,D499,D505,D511,D519,D525,D532,D538,D546,D578,D584,D591,D610,D616,D624,D631,D638,D644,D655,D663,D675)</f>
        <v>3987342</v>
      </c>
      <c r="E698" s="464">
        <f>SUM(E434,E446,E454,E461,E467,E473,E491,E499,E505,E511,E519,E525,E532,E538,E546,E578,E584,E591,E610,E616,E624,E631,E638,E644,E655,E663,E675)</f>
        <v>1977020.5400000003</v>
      </c>
      <c r="F698" s="465">
        <f>E698/D698*100</f>
        <v>49.582417058782525</v>
      </c>
      <c r="G698" s="539"/>
      <c r="H698" s="540"/>
      <c r="I698" s="541"/>
      <c r="J698" s="541"/>
    </row>
    <row r="699" spans="1:10" s="545" customFormat="1" ht="18.75" customHeight="1">
      <c r="A699" s="457"/>
      <c r="B699" s="458"/>
      <c r="C699" s="459" t="s">
        <v>514</v>
      </c>
      <c r="D699" s="460">
        <f>SUM(D478,D485,D512,D526,D552,D561,D571,D585,D600,D604,D667)</f>
        <v>4231980</v>
      </c>
      <c r="E699" s="460">
        <f>SUM(E478,E485,E512,E526,E552,E561,E571,E585,E600,E604,E667)</f>
        <v>1925231.32</v>
      </c>
      <c r="F699" s="461">
        <f>E699/D699*100</f>
        <v>45.49244845202482</v>
      </c>
      <c r="G699" s="539"/>
      <c r="H699" s="543"/>
      <c r="I699" s="544"/>
      <c r="J699" s="544"/>
    </row>
    <row r="700" spans="1:10" ht="18.75" customHeight="1">
      <c r="A700" s="508"/>
      <c r="B700" s="501"/>
      <c r="C700" s="502" t="s">
        <v>515</v>
      </c>
      <c r="D700" s="518">
        <f>SUM(D428,D435,D439,D479,D492,D513,D547,D553,D562,D572,D632,D676)</f>
        <v>18084650</v>
      </c>
      <c r="E700" s="518">
        <f>SUM(E428,E435,E439,E479,E492,E513,E547,E553,E562,E572,E632,E676)</f>
        <v>5499664.75</v>
      </c>
      <c r="F700" s="475">
        <f>E700/D700*100</f>
        <v>30.4106783930018</v>
      </c>
      <c r="G700" s="514"/>
      <c r="H700" s="537"/>
      <c r="I700" s="538"/>
      <c r="J700" s="538"/>
    </row>
    <row r="701" spans="1:10" ht="12" customHeight="1">
      <c r="A701" s="508"/>
      <c r="B701" s="501"/>
      <c r="C701" s="504" t="s">
        <v>511</v>
      </c>
      <c r="D701" s="505"/>
      <c r="E701" s="505"/>
      <c r="F701" s="477"/>
      <c r="G701" s="514"/>
      <c r="H701" s="537"/>
      <c r="I701" s="538"/>
      <c r="J701" s="538"/>
    </row>
    <row r="702" spans="1:10" s="517" customFormat="1" ht="18.75" customHeight="1">
      <c r="A702" s="509"/>
      <c r="B702" s="510"/>
      <c r="C702" s="511" t="s">
        <v>514</v>
      </c>
      <c r="D702" s="512">
        <f>SUM(D481,D555,D564)</f>
        <v>406650</v>
      </c>
      <c r="E702" s="512">
        <f>SUM(E481,E555,E564)</f>
        <v>36600</v>
      </c>
      <c r="F702" s="513">
        <f>E702/D702*100</f>
        <v>9.00036886757654</v>
      </c>
      <c r="G702" s="562"/>
      <c r="H702" s="537"/>
      <c r="I702" s="516"/>
      <c r="J702" s="516"/>
    </row>
    <row r="703" spans="1:10" ht="18.75" customHeight="1">
      <c r="A703" s="546"/>
      <c r="B703" s="547"/>
      <c r="C703" s="548" t="s">
        <v>1185</v>
      </c>
      <c r="D703" s="549">
        <f>SUM(D682,D693)</f>
        <v>208308777.75</v>
      </c>
      <c r="E703" s="549">
        <f>SUM(E682,E693)</f>
        <v>93025031.42999999</v>
      </c>
      <c r="F703" s="550">
        <f>E703/D703*100</f>
        <v>44.657278696936714</v>
      </c>
      <c r="G703" s="551"/>
      <c r="H703" s="552"/>
      <c r="I703" s="538"/>
      <c r="J703" s="538"/>
    </row>
    <row r="704" spans="1:10" ht="18.75" customHeight="1">
      <c r="A704" s="508"/>
      <c r="B704" s="501"/>
      <c r="C704" s="502" t="s">
        <v>495</v>
      </c>
      <c r="D704" s="288">
        <f>SUM(D683,D694)</f>
        <v>148957894.75</v>
      </c>
      <c r="E704" s="288">
        <f>SUM(E683,E694)</f>
        <v>73138513.11</v>
      </c>
      <c r="F704" s="475">
        <f>E704/D704*100</f>
        <v>49.10012539634124</v>
      </c>
      <c r="G704" s="562"/>
      <c r="H704" s="537"/>
      <c r="I704" s="538"/>
      <c r="J704" s="538"/>
    </row>
    <row r="705" spans="1:10" ht="12" customHeight="1">
      <c r="A705" s="508"/>
      <c r="B705" s="501"/>
      <c r="C705" s="504" t="s">
        <v>511</v>
      </c>
      <c r="D705" s="505"/>
      <c r="E705" s="505"/>
      <c r="F705" s="477"/>
      <c r="G705" s="551"/>
      <c r="H705" s="552"/>
      <c r="I705" s="538"/>
      <c r="J705" s="538"/>
    </row>
    <row r="706" spans="1:10" s="517" customFormat="1" ht="18.75" customHeight="1">
      <c r="A706" s="466"/>
      <c r="B706" s="467"/>
      <c r="C706" s="507" t="s">
        <v>513</v>
      </c>
      <c r="D706" s="424">
        <f aca="true" t="shared" si="34" ref="D706:E709">SUM(D685,D696)</f>
        <v>62495633</v>
      </c>
      <c r="E706" s="424">
        <f t="shared" si="34"/>
        <v>32400151.97</v>
      </c>
      <c r="F706" s="425">
        <f aca="true" t="shared" si="35" ref="F706:F711">E706/D706*100</f>
        <v>51.843865586576264</v>
      </c>
      <c r="G706" s="553"/>
      <c r="H706" s="554"/>
      <c r="I706" s="516"/>
      <c r="J706" s="516"/>
    </row>
    <row r="707" spans="1:10" ht="18.75" customHeight="1">
      <c r="A707" s="466"/>
      <c r="B707" s="467"/>
      <c r="C707" s="468" t="s">
        <v>487</v>
      </c>
      <c r="D707" s="432">
        <f t="shared" si="34"/>
        <v>53612580</v>
      </c>
      <c r="E707" s="432">
        <f t="shared" si="34"/>
        <v>28077165.79</v>
      </c>
      <c r="F707" s="433">
        <f t="shared" si="35"/>
        <v>52.370480566314846</v>
      </c>
      <c r="G707" s="555"/>
      <c r="H707" s="556"/>
      <c r="I707" s="538"/>
      <c r="J707" s="538"/>
    </row>
    <row r="708" spans="1:10" ht="18.75" customHeight="1">
      <c r="A708" s="466"/>
      <c r="B708" s="467"/>
      <c r="C708" s="468" t="s">
        <v>953</v>
      </c>
      <c r="D708" s="432">
        <f t="shared" si="34"/>
        <v>8883053</v>
      </c>
      <c r="E708" s="432">
        <f t="shared" si="34"/>
        <v>4322986.180000001</v>
      </c>
      <c r="F708" s="433">
        <f t="shared" si="35"/>
        <v>48.66554528043456</v>
      </c>
      <c r="G708" s="553"/>
      <c r="H708" s="554"/>
      <c r="I708" s="538"/>
      <c r="J708" s="538"/>
    </row>
    <row r="709" spans="1:10" s="517" customFormat="1" ht="18.75" customHeight="1">
      <c r="A709" s="466"/>
      <c r="B709" s="467"/>
      <c r="C709" s="507" t="s">
        <v>478</v>
      </c>
      <c r="D709" s="424">
        <f t="shared" si="34"/>
        <v>16517076</v>
      </c>
      <c r="E709" s="424">
        <f t="shared" si="34"/>
        <v>8834488.03</v>
      </c>
      <c r="F709" s="425">
        <f t="shared" si="35"/>
        <v>53.48699751699393</v>
      </c>
      <c r="G709" s="553"/>
      <c r="H709" s="554"/>
      <c r="I709" s="516"/>
      <c r="J709" s="516"/>
    </row>
    <row r="710" spans="1:10" s="517" customFormat="1" ht="18.75" customHeight="1">
      <c r="A710" s="466"/>
      <c r="B710" s="467"/>
      <c r="C710" s="507" t="s">
        <v>552</v>
      </c>
      <c r="D710" s="424">
        <f>SUM(D689)</f>
        <v>2190500</v>
      </c>
      <c r="E710" s="424">
        <f>SUM(E689)</f>
        <v>707400.89</v>
      </c>
      <c r="F710" s="425">
        <f t="shared" si="35"/>
        <v>32.29403743437572</v>
      </c>
      <c r="G710" s="553"/>
      <c r="H710" s="554"/>
      <c r="I710" s="516"/>
      <c r="J710" s="516"/>
    </row>
    <row r="711" spans="1:10" ht="18.75" customHeight="1">
      <c r="A711" s="508"/>
      <c r="B711" s="501"/>
      <c r="C711" s="502" t="s">
        <v>515</v>
      </c>
      <c r="D711" s="288">
        <f>SUM(D690,D700)</f>
        <v>59350883</v>
      </c>
      <c r="E711" s="288">
        <f>SUM(E690,E700)</f>
        <v>19886518.32</v>
      </c>
      <c r="F711" s="475">
        <f t="shared" si="35"/>
        <v>33.50669327025851</v>
      </c>
      <c r="G711" s="553"/>
      <c r="H711" s="554"/>
      <c r="I711" s="538"/>
      <c r="J711" s="538"/>
    </row>
    <row r="712" spans="1:10" ht="12" customHeight="1">
      <c r="A712" s="508"/>
      <c r="B712" s="501"/>
      <c r="C712" s="504" t="s">
        <v>511</v>
      </c>
      <c r="D712" s="505"/>
      <c r="E712" s="505"/>
      <c r="F712" s="477"/>
      <c r="G712" s="553"/>
      <c r="H712" s="554"/>
      <c r="I712" s="538"/>
      <c r="J712" s="538"/>
    </row>
    <row r="713" spans="1:10" s="517" customFormat="1" ht="18.75" customHeight="1" thickBot="1">
      <c r="A713" s="557"/>
      <c r="B713" s="558"/>
      <c r="C713" s="559" t="s">
        <v>479</v>
      </c>
      <c r="D713" s="560">
        <f>SUM(D692,D702)</f>
        <v>4051270</v>
      </c>
      <c r="E713" s="560">
        <f>SUM(E692,E702)</f>
        <v>1131462.88</v>
      </c>
      <c r="F713" s="561">
        <f>E713/D713*100</f>
        <v>27.9285972053208</v>
      </c>
      <c r="G713" s="553"/>
      <c r="H713" s="554"/>
      <c r="I713" s="516"/>
      <c r="J713" s="516"/>
    </row>
    <row r="714" spans="1:10" s="98" customFormat="1" ht="18.75" customHeight="1" hidden="1">
      <c r="A714" s="563"/>
      <c r="B714" s="563"/>
      <c r="C714" s="564" t="s">
        <v>973</v>
      </c>
      <c r="D714" s="565">
        <v>208308777.75</v>
      </c>
      <c r="E714" s="565">
        <v>93025031.43</v>
      </c>
      <c r="F714" s="566"/>
      <c r="G714" s="514"/>
      <c r="H714" s="537"/>
      <c r="I714" s="537"/>
      <c r="J714" s="537"/>
    </row>
    <row r="715" spans="1:10" s="98" customFormat="1" ht="18.75" customHeight="1" hidden="1">
      <c r="A715" s="563"/>
      <c r="B715" s="563"/>
      <c r="C715" s="564" t="s">
        <v>1003</v>
      </c>
      <c r="D715" s="565">
        <f>D703-D714</f>
        <v>0</v>
      </c>
      <c r="E715" s="565">
        <f>E703-E714</f>
        <v>0</v>
      </c>
      <c r="F715" s="566"/>
      <c r="G715" s="514"/>
      <c r="H715" s="537"/>
      <c r="I715" s="537"/>
      <c r="J715" s="537"/>
    </row>
    <row r="716" spans="3:10" ht="18.75" customHeight="1" hidden="1">
      <c r="C716" s="521" t="s">
        <v>485</v>
      </c>
      <c r="D716" s="1231">
        <f>SUM(D683,D690)</f>
        <v>134538667.75</v>
      </c>
      <c r="E716" s="1231">
        <f>SUM(E683,E690)</f>
        <v>59660072.93</v>
      </c>
      <c r="F716" s="1232">
        <f>E716/D716*100</f>
        <v>44.3441829235744</v>
      </c>
      <c r="I716" s="538"/>
      <c r="J716" s="538"/>
    </row>
    <row r="717" spans="3:10" ht="13.5" customHeight="1" hidden="1">
      <c r="C717" s="521" t="s">
        <v>159</v>
      </c>
      <c r="D717" s="1231"/>
      <c r="E717" s="1231"/>
      <c r="F717" s="1232" t="e">
        <f>E717/D717*100</f>
        <v>#DIV/0!</v>
      </c>
      <c r="G717" s="514"/>
      <c r="H717" s="537"/>
      <c r="I717" s="538"/>
      <c r="J717" s="538"/>
    </row>
    <row r="718" spans="3:10" ht="14.25" customHeight="1" hidden="1">
      <c r="C718" s="521" t="s">
        <v>160</v>
      </c>
      <c r="D718" s="1231"/>
      <c r="E718" s="1231"/>
      <c r="F718" s="1232" t="e">
        <f>E718/D718*100</f>
        <v>#DIV/0!</v>
      </c>
      <c r="G718" s="514"/>
      <c r="H718" s="537"/>
      <c r="I718" s="538"/>
      <c r="J718" s="538"/>
    </row>
    <row r="719" spans="3:10" ht="15" customHeight="1" hidden="1">
      <c r="C719" s="1233" t="s">
        <v>161</v>
      </c>
      <c r="D719" s="1234"/>
      <c r="E719" s="1234"/>
      <c r="F719" s="1235" t="e">
        <f>E719/D719*100</f>
        <v>#DIV/0!</v>
      </c>
      <c r="G719" s="514"/>
      <c r="H719" s="537"/>
      <c r="I719" s="538"/>
      <c r="J719" s="538"/>
    </row>
    <row r="720" spans="3:10" ht="15" customHeight="1" hidden="1">
      <c r="C720" s="520" t="s">
        <v>162</v>
      </c>
      <c r="D720" s="1231">
        <f>SUM(D717:D719)</f>
        <v>0</v>
      </c>
      <c r="E720" s="1231">
        <f>SUM(E717:E719)</f>
        <v>0</v>
      </c>
      <c r="F720" s="1232" t="e">
        <f>E720/D720*100</f>
        <v>#DIV/0!</v>
      </c>
      <c r="G720" s="514"/>
      <c r="H720" s="537"/>
      <c r="I720" s="538"/>
      <c r="J720" s="538"/>
    </row>
    <row r="721" spans="3:10" ht="14.25" customHeight="1" hidden="1">
      <c r="C721" s="521" t="s">
        <v>163</v>
      </c>
      <c r="D721" s="1231">
        <f>SUM(D7-D720)</f>
        <v>134538667.75</v>
      </c>
      <c r="E721" s="1231">
        <f>SUM(E7-E720)</f>
        <v>59660072.92999999</v>
      </c>
      <c r="F721" s="1232"/>
      <c r="I721" s="538"/>
      <c r="J721" s="538"/>
    </row>
    <row r="722" spans="1:10" s="98" customFormat="1" ht="11.25" customHeight="1" hidden="1">
      <c r="A722" s="520"/>
      <c r="B722" s="520"/>
      <c r="C722" s="521" t="s">
        <v>176</v>
      </c>
      <c r="D722" s="1231"/>
      <c r="E722" s="1231"/>
      <c r="F722" s="1232"/>
      <c r="G722" s="177"/>
      <c r="I722" s="537"/>
      <c r="J722" s="537"/>
    </row>
    <row r="723" spans="1:7" s="98" customFormat="1" ht="12" customHeight="1" hidden="1">
      <c r="A723" s="1236"/>
      <c r="B723" s="1236"/>
      <c r="C723" s="1237" t="s">
        <v>154</v>
      </c>
      <c r="D723" s="1238"/>
      <c r="E723" s="1238"/>
      <c r="F723" s="1232" t="e">
        <f aca="true" t="shared" si="36" ref="F723:F732">E723/D723*100</f>
        <v>#DIV/0!</v>
      </c>
      <c r="G723" s="177"/>
    </row>
    <row r="724" spans="1:7" s="98" customFormat="1" ht="12" customHeight="1" hidden="1">
      <c r="A724" s="1236"/>
      <c r="B724" s="1236"/>
      <c r="C724" s="1237" t="s">
        <v>155</v>
      </c>
      <c r="D724" s="1238"/>
      <c r="E724" s="1238"/>
      <c r="F724" s="1232" t="e">
        <f t="shared" si="36"/>
        <v>#DIV/0!</v>
      </c>
      <c r="G724" s="177"/>
    </row>
    <row r="725" spans="1:7" s="98" customFormat="1" ht="12" customHeight="1" hidden="1">
      <c r="A725" s="1236"/>
      <c r="B725" s="1236"/>
      <c r="C725" s="1239" t="s">
        <v>156</v>
      </c>
      <c r="D725" s="1240"/>
      <c r="E725" s="1240"/>
      <c r="F725" s="1235" t="e">
        <f t="shared" si="36"/>
        <v>#DIV/0!</v>
      </c>
      <c r="G725" s="177"/>
    </row>
    <row r="726" spans="1:7" s="427" customFormat="1" ht="18" customHeight="1" hidden="1">
      <c r="A726" s="1241"/>
      <c r="B726" s="1241"/>
      <c r="C726" s="1242" t="s">
        <v>164</v>
      </c>
      <c r="D726" s="1243">
        <f>SUM(D723:D725)</f>
        <v>0</v>
      </c>
      <c r="E726" s="1243">
        <f>SUM(E723:E725)</f>
        <v>0</v>
      </c>
      <c r="F726" s="1232" t="e">
        <f t="shared" si="36"/>
        <v>#DIV/0!</v>
      </c>
      <c r="G726" s="426"/>
    </row>
    <row r="727" spans="1:7" s="98" customFormat="1" ht="12" customHeight="1" hidden="1">
      <c r="A727" s="1236"/>
      <c r="B727" s="1236"/>
      <c r="C727" s="1237" t="s">
        <v>157</v>
      </c>
      <c r="D727" s="1238"/>
      <c r="E727" s="1238"/>
      <c r="F727" s="1232" t="e">
        <f t="shared" si="36"/>
        <v>#DIV/0!</v>
      </c>
      <c r="G727" s="177"/>
    </row>
    <row r="728" spans="1:7" s="98" customFormat="1" ht="12" customHeight="1" hidden="1">
      <c r="A728" s="1236"/>
      <c r="B728" s="1236"/>
      <c r="C728" s="1239" t="s">
        <v>158</v>
      </c>
      <c r="D728" s="1240"/>
      <c r="E728" s="1240"/>
      <c r="F728" s="1235" t="e">
        <f t="shared" si="36"/>
        <v>#DIV/0!</v>
      </c>
      <c r="G728" s="177"/>
    </row>
    <row r="729" spans="1:7" s="212" customFormat="1" ht="14.25" customHeight="1" hidden="1">
      <c r="A729" s="1241"/>
      <c r="B729" s="1241"/>
      <c r="C729" s="1242" t="s">
        <v>166</v>
      </c>
      <c r="D729" s="1244">
        <f>SUM(D727:D728)</f>
        <v>0</v>
      </c>
      <c r="E729" s="1244">
        <f>SUM(E727:E728)</f>
        <v>0</v>
      </c>
      <c r="F729" s="1232" t="e">
        <f t="shared" si="36"/>
        <v>#DIV/0!</v>
      </c>
      <c r="G729" s="177"/>
    </row>
    <row r="730" spans="1:10" s="98" customFormat="1" ht="12" customHeight="1" hidden="1">
      <c r="A730" s="1236"/>
      <c r="B730" s="1236"/>
      <c r="C730" s="1245" t="s">
        <v>954</v>
      </c>
      <c r="D730" s="1246"/>
      <c r="E730" s="1246"/>
      <c r="F730" s="1232" t="e">
        <f t="shared" si="36"/>
        <v>#DIV/0!</v>
      </c>
      <c r="G730" s="177"/>
      <c r="I730" s="483"/>
      <c r="J730" s="483"/>
    </row>
    <row r="731" spans="1:10" s="98" customFormat="1" ht="12" customHeight="1" hidden="1">
      <c r="A731" s="1236"/>
      <c r="B731" s="1236"/>
      <c r="C731" s="1247" t="s">
        <v>967</v>
      </c>
      <c r="D731" s="1240"/>
      <c r="E731" s="1240"/>
      <c r="F731" s="1235" t="e">
        <f t="shared" si="36"/>
        <v>#DIV/0!</v>
      </c>
      <c r="G731" s="177"/>
      <c r="I731" s="483"/>
      <c r="J731" s="483"/>
    </row>
    <row r="732" spans="1:7" s="212" customFormat="1" ht="15" customHeight="1" hidden="1">
      <c r="A732" s="1241"/>
      <c r="B732" s="1241"/>
      <c r="C732" s="1241" t="s">
        <v>165</v>
      </c>
      <c r="D732" s="1243">
        <f>SUM(D730:D731)</f>
        <v>0</v>
      </c>
      <c r="E732" s="1243">
        <f>SUM(E730:E731)</f>
        <v>0</v>
      </c>
      <c r="F732" s="1232" t="e">
        <f t="shared" si="36"/>
        <v>#DIV/0!</v>
      </c>
      <c r="G732" s="177"/>
    </row>
    <row r="733" ht="18.75" customHeight="1" hidden="1"/>
    <row r="734" ht="18.75" customHeight="1" hidden="1"/>
  </sheetData>
  <sheetProtection password="CF93" sheet="1" objects="1" scenarios="1" selectLockedCells="1" selectUnlockedCells="1"/>
  <mergeCells count="4">
    <mergeCell ref="A422:C422"/>
    <mergeCell ref="A3:E3"/>
    <mergeCell ref="E1:F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7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2009-08-31T08:11:22Z</cp:lastPrinted>
  <dcterms:created xsi:type="dcterms:W3CDTF">2002-07-29T09:23:44Z</dcterms:created>
  <dcterms:modified xsi:type="dcterms:W3CDTF">2009-09-30T07:16:44Z</dcterms:modified>
  <cp:category/>
  <cp:version/>
  <cp:contentType/>
  <cp:contentStatus/>
</cp:coreProperties>
</file>