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12" firstSheet="11" activeTab="25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" sheetId="6" r:id="rId6"/>
    <sheet name="7D majatkowe" sheetId="7" r:id="rId7"/>
    <sheet name="8D wg źródeł" sheetId="8" r:id="rId8"/>
    <sheet name="9W" sheetId="9" r:id="rId9"/>
    <sheet name="10W dotacje z budżetu miasta" sheetId="10" r:id="rId10"/>
    <sheet name="11W jednostek pom." sheetId="11" r:id="rId11"/>
    <sheet name="12D i W dot. z budż. państwa" sheetId="12" r:id="rId12"/>
    <sheet name="13DiW zlecone" sheetId="13" r:id="rId13"/>
    <sheet name="14DiW porozumienia" sheetId="14" r:id="rId14"/>
    <sheet name="15DiW porozumienia z jst" sheetId="15" r:id="rId15"/>
    <sheet name="16Programy unijne" sheetId="16" r:id="rId16"/>
    <sheet name="17Inwestycje WIM" sheetId="17" r:id="rId17"/>
    <sheet name="18D i W własne jednostek" sheetId="18" r:id="rId18"/>
    <sheet name="19niewygasy2007" sheetId="19" r:id="rId19"/>
    <sheet name="20ZGM" sheetId="20" r:id="rId20"/>
    <sheet name="21Przedszkola" sheetId="21" r:id="rId21"/>
    <sheet name="22 Wyspiarz" sheetId="22" r:id="rId22"/>
    <sheet name="23PFGZGiK" sheetId="23" r:id="rId23"/>
    <sheet name="24GFOŚiGW" sheetId="24" r:id="rId24"/>
    <sheet name="25PFOŚiGW" sheetId="25" r:id="rId25"/>
    <sheet name="26MDK" sheetId="26" r:id="rId26"/>
    <sheet name="27Bibloteka" sheetId="27" r:id="rId27"/>
    <sheet name="28Muzeum" sheetId="28" r:id="rId28"/>
    <sheet name="29SP ZOZ SZPITAL" sheetId="29" r:id="rId29"/>
    <sheet name="30SP ZOZ ZP-O" sheetId="30" r:id="rId30"/>
  </sheets>
  <definedNames>
    <definedName name="_xlnm.Print_Area" localSheetId="9">'10W dotacje z budżetu miasta'!$A$1:$F$93</definedName>
    <definedName name="_xlnm.Print_Area" localSheetId="10">'11W jednostek pom.'!$A$1:$G$11</definedName>
    <definedName name="_xlnm.Print_Area" localSheetId="11">'12D i W dot. z budż. państwa'!$A$1:$I$52</definedName>
    <definedName name="_xlnm.Print_Area" localSheetId="12">'13DiW zlecone'!$A$1:$I$54</definedName>
    <definedName name="_xlnm.Print_Area" localSheetId="13">'14DiW porozumienia'!$A$1:$I$26</definedName>
    <definedName name="_xlnm.Print_Area" localSheetId="14">'15DiW porozumienia z jst'!$A$1:$I$13</definedName>
    <definedName name="_xlnm.Print_Area" localSheetId="15">'16Programy unijne'!$A$1:$N$56</definedName>
    <definedName name="_xlnm.Print_Area" localSheetId="16">'17Inwestycje WIM'!$A$1:$F$86</definedName>
    <definedName name="_xlnm.Print_Area" localSheetId="17">'18D i W własne jednostek'!$A$1:$I$35</definedName>
    <definedName name="_xlnm.Print_Area" localSheetId="18">'19niewygasy2007'!$A$1:$G$15</definedName>
    <definedName name="_xlnm.Print_Area" localSheetId="0">'1Zmiany D i W'!$A$1:$F$57</definedName>
    <definedName name="_xlnm.Print_Area" localSheetId="19">'20ZGM'!$A$1:$F$52</definedName>
    <definedName name="_xlnm.Print_Area" localSheetId="20">'21Przedszkola'!$A$1:$F$44</definedName>
    <definedName name="_xlnm.Print_Area" localSheetId="21">'22 Wyspiarz'!$A$1:$F$51</definedName>
    <definedName name="_xlnm.Print_Area" localSheetId="22">'23PFGZGiK'!$A$1:$F$30</definedName>
    <definedName name="_xlnm.Print_Area" localSheetId="23">'24GFOŚiGW'!$A$1:$F$27</definedName>
    <definedName name="_xlnm.Print_Area" localSheetId="24">'25PFOŚiGW'!$A$1:$F$19</definedName>
    <definedName name="_xlnm.Print_Area" localSheetId="25">'26MDK'!$A$1:$E$25</definedName>
    <definedName name="_xlnm.Print_Area" localSheetId="26">'27Bibloteka'!$A$1:$E$32</definedName>
    <definedName name="_xlnm.Print_Area" localSheetId="27">'28Muzeum'!$A$1:$E$34</definedName>
    <definedName name="_xlnm.Print_Area" localSheetId="28">'29SP ZOZ SZPITAL'!$A$1:$E$79</definedName>
    <definedName name="_xlnm.Print_Area" localSheetId="1">'2Zmiany P i R'!$A$1:$F$16</definedName>
    <definedName name="_xlnm.Print_Area" localSheetId="29">'30SP ZOZ ZP-O'!$A$1:$E$51</definedName>
    <definedName name="_xlnm.Print_Area" localSheetId="2">'3Wysokość i przezn. nadwyżki'!$A$1:$F$41</definedName>
    <definedName name="_xlnm.Print_Area" localSheetId="3">'4D i W wg działów'!$A$1:$H$33</definedName>
    <definedName name="_xlnm.Print_Area" localSheetId="4">'5PiR'!$A$1:$F$18</definedName>
    <definedName name="_xlnm.Print_Area" localSheetId="5">'6D'!$A$1:$G$336</definedName>
    <definedName name="_xlnm.Print_Area" localSheetId="6">'7D majatkowe'!$A$1:$G$69</definedName>
    <definedName name="_xlnm.Print_Area" localSheetId="7">'8D wg źródeł'!$A$1:$E$80</definedName>
    <definedName name="_xlnm.Print_Area" localSheetId="8">'9W'!$A$1:$F$682</definedName>
    <definedName name="_xlnm.Print_Titles" localSheetId="9">'10W dotacje z budżetu miasta'!$6:$7</definedName>
    <definedName name="_xlnm.Print_Titles" localSheetId="11">'12D i W dot. z budż. państwa'!$5:$7</definedName>
    <definedName name="_xlnm.Print_Titles" localSheetId="12">'13DiW zlecone'!$5:$8</definedName>
    <definedName name="_xlnm.Print_Titles" localSheetId="13">'14DiW porozumienia'!$5:$8</definedName>
    <definedName name="_xlnm.Print_Titles" localSheetId="14">'15DiW porozumienia z jst'!$5:$8</definedName>
    <definedName name="_xlnm.Print_Titles" localSheetId="15">'16Programy unijne'!$4:$6</definedName>
    <definedName name="_xlnm.Print_Titles" localSheetId="16">'17Inwestycje WIM'!$5:$6</definedName>
    <definedName name="_xlnm.Print_Titles" localSheetId="17">'18D i W własne jednostek'!$6:$8</definedName>
    <definedName name="_xlnm.Print_Titles" localSheetId="0">'1Zmiany D i W'!$5:$7</definedName>
    <definedName name="_xlnm.Print_Titles" localSheetId="19">'20ZGM'!$6:$7</definedName>
    <definedName name="_xlnm.Print_Titles" localSheetId="20">'21Przedszkola'!$4:$5</definedName>
    <definedName name="_xlnm.Print_Titles" localSheetId="21">'22 Wyspiarz'!$6:$7</definedName>
    <definedName name="_xlnm.Print_Titles" localSheetId="22">'23PFGZGiK'!$6:$7</definedName>
    <definedName name="_xlnm.Print_Titles" localSheetId="28">'29SP ZOZ SZPITAL'!$5:$6</definedName>
    <definedName name="_xlnm.Print_Titles" localSheetId="29">'30SP ZOZ ZP-O'!$6:$7</definedName>
    <definedName name="_xlnm.Print_Titles" localSheetId="3">'4D i W wg działów'!$5:$7</definedName>
    <definedName name="_xlnm.Print_Titles" localSheetId="5">'6D'!$5:$6</definedName>
    <definedName name="_xlnm.Print_Titles" localSheetId="6">'7D majatkowe'!$5:$6</definedName>
    <definedName name="_xlnm.Print_Titles" localSheetId="7">'8D wg źródeł'!$5:$6</definedName>
    <definedName name="_xlnm.Print_Titles" localSheetId="8">'9W'!$5:$6</definedName>
  </definedNames>
  <calcPr fullCalcOnLoad="1"/>
</workbook>
</file>

<file path=xl/sharedStrings.xml><?xml version="1.0" encoding="utf-8"?>
<sst xmlns="http://schemas.openxmlformats.org/spreadsheetml/2006/main" count="3978" uniqueCount="1375">
  <si>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</si>
  <si>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</si>
  <si>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</si>
  <si>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</si>
  <si>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</si>
  <si>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</si>
  <si>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</si>
  <si>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</si>
  <si>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</si>
  <si>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</si>
  <si>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</si>
  <si>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</si>
  <si>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</si>
  <si>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</si>
  <si>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</si>
  <si>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</si>
  <si>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</si>
  <si>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</si>
  <si>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</si>
  <si>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</si>
  <si>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</si>
  <si>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</si>
  <si>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</si>
  <si>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</si>
  <si>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</si>
  <si>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</si>
  <si>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</si>
  <si>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</si>
  <si>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</si>
  <si>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</si>
  <si>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</si>
  <si>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</si>
  <si>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</si>
  <si>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</si>
  <si>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</si>
  <si>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</si>
  <si>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</si>
  <si>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</si>
  <si>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</si>
  <si>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</si>
  <si>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</si>
  <si>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</si>
  <si>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</si>
  <si>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</si>
  <si>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</si>
  <si>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</si>
  <si>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</si>
  <si>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Stołówki szkolne</t>
  </si>
  <si>
    <t>92120</t>
  </si>
  <si>
    <t>Ochrona zabytków i opieka nad zabytkami</t>
  </si>
  <si>
    <t xml:space="preserve">    - podatki zniesione</t>
  </si>
  <si>
    <t>Środki na dofinansowanie własnych inwestycji gmin (związków gmin), powiatów (związków powiatów), samorządów województw, pozyskane z innych źródeł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</si>
  <si>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</si>
  <si>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</si>
  <si>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</si>
  <si>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Żegluga Świnoujska</t>
  </si>
  <si>
    <t>Urząd Miasta</t>
  </si>
  <si>
    <t>Żłobek Miejski</t>
  </si>
  <si>
    <t>Specjalny Ośrodek Szkolno-Wychowawczy</t>
  </si>
  <si>
    <t>Poradnia Psychologiczno-Pedagogiczna</t>
  </si>
  <si>
    <t>Młodzieżowy Dom Kultury</t>
  </si>
  <si>
    <t xml:space="preserve">% </t>
  </si>
  <si>
    <t>I.</t>
  </si>
  <si>
    <t>środki pieniężne</t>
  </si>
  <si>
    <t>należności</t>
  </si>
  <si>
    <t>pozostałe środki obrotowe</t>
  </si>
  <si>
    <t>zobowiązania</t>
  </si>
  <si>
    <t>II.</t>
  </si>
  <si>
    <t>Wpływy z usług</t>
  </si>
  <si>
    <t>2650</t>
  </si>
  <si>
    <t>Dotacja przedmiotowa z budżetu otrzymana przez zakład budżetowy</t>
  </si>
  <si>
    <t>pokrycie amortyzacji</t>
  </si>
  <si>
    <t>RAZEM I+II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</si>
  <si>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</si>
  <si>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</si>
  <si>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</si>
  <si>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</si>
  <si>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</si>
  <si>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</si>
  <si>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</si>
  <si>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</si>
  <si>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</si>
  <si>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</si>
  <si>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</si>
  <si>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</si>
  <si>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</si>
  <si>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</si>
  <si>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</si>
  <si>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</si>
  <si>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75108</t>
  </si>
  <si>
    <t>2310</t>
  </si>
  <si>
    <t>2700</t>
  </si>
  <si>
    <t>Zakup usług pozostałych</t>
  </si>
  <si>
    <t>Zakup usług dostępu do sieci Internet</t>
  </si>
  <si>
    <t>Opłaty z tytułu zakupu usług telekomunikacyjnych telefonii komórkowej</t>
  </si>
  <si>
    <t>transfery z budżetu państwa (dotacje, subwencje, udziały)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</si>
  <si>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</si>
  <si>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</si>
  <si>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</si>
  <si>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</si>
  <si>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</si>
  <si>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</si>
  <si>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</si>
  <si>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</si>
  <si>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</si>
  <si>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</si>
  <si>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</si>
  <si>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zakładów budżetowych</t>
  </si>
  <si>
    <t>Wydatki na zakupy inwestycyjne zakładów budżetowych</t>
  </si>
  <si>
    <t>odpisy amortyzacji</t>
  </si>
  <si>
    <t>inne zmniejszenia</t>
  </si>
  <si>
    <t>IV.</t>
  </si>
  <si>
    <t>RAZEM III+IV</t>
  </si>
  <si>
    <t>PRZEDSZKOLA MIEJSKIE</t>
  </si>
  <si>
    <t>Dochody z najmu i dzierżawy składników majątkowych Skarbu 
Państwa, jednostek samorządu terytorialnego lub innych jednostek zaliczanych do sektora finansów publicznych oraz innych umów o podobnym charakterze</t>
  </si>
  <si>
    <t>2510</t>
  </si>
  <si>
    <t>Finansowanie programów i projektów ze środków funduszy strukturalnych, Funduszu Spójności, Europejskiego Funduszu Rybackiego oraz z funduszy unijnych finansujących Wspólną Politykę Rolną</t>
  </si>
  <si>
    <t>WIM</t>
  </si>
  <si>
    <t xml:space="preserve">Wykonane wydatków </t>
  </si>
  <si>
    <r>
      <t>Przebudowa ulicy Grunwaldzkiej jako transgranicznej drogi turystycznej do przejścia granicznego Świnoujście</t>
    </r>
    <r>
      <rPr>
        <i/>
        <sz val="10"/>
        <rFont val="Times New Roman"/>
        <family val="1"/>
      </rPr>
      <t xml:space="preserve"> -przebudowa ulicy Grunwaldzkiej pomiędzy ulicą Krzywą a ulicą Nowokarsiborską - II etap</t>
    </r>
  </si>
  <si>
    <r>
      <t>Przebudowa ulicy Grunwaldzkiej jako transgranicznej drogi turystycznej do przejścia granicznego Świnoujście</t>
    </r>
    <r>
      <rPr>
        <i/>
        <sz val="10"/>
        <rFont val="Times New Roman"/>
        <family val="1"/>
      </rPr>
      <t xml:space="preserve"> -przebudowa ulicy Grunwaldzkiej pomiędzy ulicą Karsiborską  a ulicą Konstytucji 3 Maja - III etap</t>
    </r>
  </si>
  <si>
    <t>Nazwy zadań inwestycyjnych</t>
  </si>
  <si>
    <t>39a</t>
  </si>
  <si>
    <t>39b</t>
  </si>
  <si>
    <t>39c</t>
  </si>
  <si>
    <t>39d</t>
  </si>
  <si>
    <t>budżet GFOŚiGW</t>
  </si>
  <si>
    <t>Przebudowa ulic St. Moniuszki i B. Prusa wraz z budową ścieżki rowerowej
z tego:</t>
  </si>
  <si>
    <t>Przebudowa ulicy Matejki
z tego:</t>
  </si>
  <si>
    <t>Przebudowa ulicy B. Chrobrego (na odcinku od ul. Wybrzeże Władysława IV do skrzyżowania z ul. Sikorskiego, Mieszka I i Piastowską) 
z tego:</t>
  </si>
  <si>
    <t>Przebudowa ulic: Małopolskiej, Kaszubskiej i Mazurskiej
z tego:</t>
  </si>
  <si>
    <r>
      <t xml:space="preserve">Rewaloryzacja zabytkowego Parku Zdrojowego (I etap -  melioracje)
</t>
    </r>
    <r>
      <rPr>
        <i/>
        <sz val="10"/>
        <rFont val="Times New Roman"/>
        <family val="1"/>
      </rPr>
      <t>z tego:</t>
    </r>
  </si>
  <si>
    <t>umowy zlecenia</t>
  </si>
  <si>
    <t>4.11</t>
  </si>
  <si>
    <t>kontrakty zakładowe - pielęgniarskie</t>
  </si>
  <si>
    <t>kontrakt z NFZ - specjalistyka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</si>
  <si>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</si>
  <si>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</si>
  <si>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 inwestycje na drogach publicznych powiatowych i wojewódzkich oraz na drogach powiatowych, wojewódzkich i krajowych w granicach miast na prawach powiatu</t>
  </si>
  <si>
    <t xml:space="preserve">   - wynagrodzenia i pochodne od stypendiów </t>
  </si>
  <si>
    <t xml:space="preserve">   - pochodne od stypendiów</t>
  </si>
  <si>
    <t>bez poch od stypendiów</t>
  </si>
  <si>
    <t>wynagrodzenia i pochodne (bez pochodnych od stypendiów sportowych)</t>
  </si>
  <si>
    <t>razem z pochodnymi od świadczeń społ.</t>
  </si>
  <si>
    <t>Współfinansowanie programów i projektów ze środków funduszy strukturalnych, Funduszu Spójności, Europejskiego Funduszu Rybackiego oraz z funduszy unijnych finansujących Wspólną Politykę Rolną</t>
  </si>
  <si>
    <t>Dotacja podmiotowa z budżetu otrzymana przez zakład budżetowy</t>
  </si>
  <si>
    <t>Zakup środków żywności</t>
  </si>
  <si>
    <t>Zakup pomocy naukowych, dydaktycznych i książek</t>
  </si>
  <si>
    <t>Zakup usług zdrowotnych</t>
  </si>
  <si>
    <t>OŚRODEK SPORTU I REKREACJI "WYSPIARZ"</t>
  </si>
  <si>
    <t>Wpłaty na Państwowy Fundusz Rehabilitacji Osób Niepełnosprawnych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</si>
  <si>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</si>
  <si>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</si>
  <si>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</si>
  <si>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</si>
  <si>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</si>
  <si>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Szkoła Podstawowa im. św. Jadwigi Królowej</t>
  </si>
  <si>
    <t>Gimnazjum im. św. Jadwigi Królowej</t>
  </si>
  <si>
    <t>Katolickie Liceum Ogólnokształcące im. św. Jadwigi Królowej</t>
  </si>
  <si>
    <t>Liceum Ogólnokształcące im. św. Jadwigi Królowej dla Dorosłych</t>
  </si>
  <si>
    <t>Niepubliczne Dwuletnie Uzupełniające Liceum Ogólnokształcące im. św. Jadwigi Królowej</t>
  </si>
  <si>
    <t>Opieka paliatywna nad dziećmi</t>
  </si>
  <si>
    <t>RAZEM III+IV+V</t>
  </si>
  <si>
    <t>POWIATOWY FUNDUSZ GOSPODARKI ZASOBEM GEODEZYJNYM I KARTOGRAFICZNYM</t>
  </si>
  <si>
    <t>2960</t>
  </si>
  <si>
    <t>Przelewy redystrybucyjne</t>
  </si>
  <si>
    <t>Wydatki na zakupy inwestycyjne funduszy celowych</t>
  </si>
  <si>
    <t xml:space="preserve">GMINNY FUNDUSZ OCHRONY ŚRODOWISKA I GOSPODARKI WODNEJ </t>
  </si>
  <si>
    <t>0960</t>
  </si>
  <si>
    <t>Otrzymane spadki, zapisy i darowizny w postaci pieniężnej</t>
  </si>
  <si>
    <t>Różnica
(5 - 6)</t>
  </si>
  <si>
    <t>Program Operacyjny Kapitał Ludzki</t>
  </si>
  <si>
    <t>Stać mnie na więcej - przeciwdziałanie wykluczeniu społecznemu młodzieży w wieku 15-25 lat</t>
  </si>
  <si>
    <t>Doradca zawodowy i pośrednik pracy w standardach unijnych</t>
  </si>
  <si>
    <t>Dotacje przekazane z funduszy celowych na realizację zadań 
bieżących dla jednostek sektora finansów publicznych</t>
  </si>
  <si>
    <t>Dotacje przekazane z funduszy celowych na realizację zadań 
bieżących dla jednostek niezaliczanych do sektora finansów publicznych</t>
  </si>
  <si>
    <t>Wydatki inwestycyjne funduszy celowych</t>
  </si>
  <si>
    <t>07.07.2008 r.</t>
  </si>
  <si>
    <t>492/2008</t>
  </si>
  <si>
    <t>31.07.2008 r.</t>
  </si>
  <si>
    <t>540/2008</t>
  </si>
  <si>
    <t>541/2008</t>
  </si>
  <si>
    <t>11.08.2008 r.</t>
  </si>
  <si>
    <t>571/2008</t>
  </si>
  <si>
    <t>29.08.2008 r.</t>
  </si>
  <si>
    <t>607/2008</t>
  </si>
  <si>
    <t>608/2008</t>
  </si>
  <si>
    <t>09.09.2008 r.</t>
  </si>
  <si>
    <t>632/2008</t>
  </si>
  <si>
    <t>23.09.2008 r.</t>
  </si>
  <si>
    <t>664/2008</t>
  </si>
  <si>
    <t>25.09.2008 r.</t>
  </si>
  <si>
    <t>XLIII/358/2008</t>
  </si>
  <si>
    <t>30.09.2008 r.</t>
  </si>
  <si>
    <t>678/2008</t>
  </si>
  <si>
    <t>679/2008</t>
  </si>
  <si>
    <t>15.10.2008 r.</t>
  </si>
  <si>
    <t>726/2008</t>
  </si>
  <si>
    <t>22.10.2008 r.</t>
  </si>
  <si>
    <t>742/2008</t>
  </si>
  <si>
    <t>30.10.2008 r.</t>
  </si>
  <si>
    <t>XLIV/366/2008</t>
  </si>
  <si>
    <t>31.10.2008 r.</t>
  </si>
  <si>
    <t>763/2008</t>
  </si>
  <si>
    <t>764/2008</t>
  </si>
  <si>
    <t>07.11.2008 r.</t>
  </si>
  <si>
    <t>792/2008</t>
  </si>
  <si>
    <t>18.11.2008 r.</t>
  </si>
  <si>
    <t>809/2008</t>
  </si>
  <si>
    <t>27.11.2008 r.</t>
  </si>
  <si>
    <t>XLVI/380/2008</t>
  </si>
  <si>
    <t xml:space="preserve">27.11.2008 r. </t>
  </si>
  <si>
    <t>837/2008</t>
  </si>
  <si>
    <t>28.11.2008 r.</t>
  </si>
  <si>
    <t>840/2008</t>
  </si>
  <si>
    <t>15.12.2008 r.</t>
  </si>
  <si>
    <t>871/2008</t>
  </si>
  <si>
    <t>19.12.2008 r.</t>
  </si>
  <si>
    <t>XLVII/391/2008</t>
  </si>
  <si>
    <t>22.12.2008 r.</t>
  </si>
  <si>
    <t>890/2008</t>
  </si>
  <si>
    <t>29.12.2008 r.</t>
  </si>
  <si>
    <t>903/2008</t>
  </si>
  <si>
    <t>31.12.2008 r.</t>
  </si>
  <si>
    <t>914/2008</t>
  </si>
  <si>
    <t>pozostałe dotacje (rozwojowe, z funduszy, od innych jst)</t>
  </si>
  <si>
    <t>6180</t>
  </si>
  <si>
    <t>75803</t>
  </si>
  <si>
    <t>inne środki
Fundusz Pracy</t>
  </si>
  <si>
    <t>Specjalny Ośrodek Szkolno-Wycho-
wawczy</t>
  </si>
  <si>
    <t>Część wyrównawcza subwencji ogólnej dla powiatów</t>
  </si>
  <si>
    <t>2008</t>
  </si>
  <si>
    <t>Dotacje rozwojowe oraz środki na finansowanie Wspólnej Polityki Rolnej</t>
  </si>
  <si>
    <t>2009</t>
  </si>
  <si>
    <t>XXXIX/328/2008</t>
  </si>
  <si>
    <t>460/2008</t>
  </si>
  <si>
    <t>30.06.2008 r.</t>
  </si>
  <si>
    <t>466/2008</t>
  </si>
  <si>
    <t>472/2008</t>
  </si>
  <si>
    <t>Tabela 1</t>
  </si>
  <si>
    <t>Tabela 2</t>
  </si>
  <si>
    <t xml:space="preserve">             Tabela nr 4</t>
  </si>
  <si>
    <t>Tabela nr 7</t>
  </si>
  <si>
    <t>Tabela nr  9</t>
  </si>
  <si>
    <t>Tabela nr 10</t>
  </si>
  <si>
    <t>Tabela nr 11</t>
  </si>
  <si>
    <t xml:space="preserve">Tabela nr  12 </t>
  </si>
  <si>
    <t xml:space="preserve">Tabela nr 14 </t>
  </si>
  <si>
    <t xml:space="preserve">Tabela nr 15 </t>
  </si>
  <si>
    <t>Tabela nr 18</t>
  </si>
  <si>
    <t>Tabela nr 19</t>
  </si>
  <si>
    <t>Tabela 30</t>
  </si>
  <si>
    <t>Tabela 29</t>
  </si>
  <si>
    <t>Tabela 28</t>
  </si>
  <si>
    <t>Tabela 27</t>
  </si>
  <si>
    <t>Tabela 26</t>
  </si>
  <si>
    <t>Tabela 25</t>
  </si>
  <si>
    <t>Tabela 24</t>
  </si>
  <si>
    <t>Tabela 23</t>
  </si>
  <si>
    <t>Tabela 22</t>
  </si>
  <si>
    <t>Tabela 21</t>
  </si>
  <si>
    <t>Tabela 20</t>
  </si>
  <si>
    <t xml:space="preserve">Dotacja na wykonanie remontów </t>
  </si>
  <si>
    <t>Środki trwałe</t>
  </si>
  <si>
    <t>Rozdział 92118</t>
  </si>
  <si>
    <t>odpis na zakładowy fundusz świadczeń socjalnych</t>
  </si>
  <si>
    <t>kontrakt z NFZ - szpital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</si>
  <si>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</si>
  <si>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</si>
  <si>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 xml:space="preserve">POWIATOWY FUNDUSZ OCHRONY ŚRODOWISKA I GOSPODARKI WODNEJ </t>
  </si>
  <si>
    <t>różnica</t>
  </si>
  <si>
    <t>Pozostałe podatki na rzecz budżetów jednostek samorządu terytorialnego</t>
  </si>
  <si>
    <t xml:space="preserve">    - targowa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</si>
  <si>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</si>
  <si>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</si>
  <si>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</si>
  <si>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DOCHODY OD OSÓB PRAWNYCH, OD OSÓB FIZYCZNYCH I OD INNYCH JEDNOSTEK NIEPOSIADAJĄCYCH  OSOBOWOŚCI PRAWNEJ ORAZ WYDATKI ZWIĄZANE Z ICH POBOREM</t>
  </si>
  <si>
    <t>POZOSTAŁE ZADANIA W ZAKRESIE 
POLITYKI SPOŁECZNEJ</t>
  </si>
  <si>
    <t>suma wierszy 586 (bieżące) i 593 (majątkowe)</t>
  </si>
  <si>
    <t>Uzupełnienie subwencji ogólnej dla jednostek 
samorządu terytorialnego</t>
  </si>
  <si>
    <t xml:space="preserve">   - wynagrodzenia</t>
  </si>
  <si>
    <t xml:space="preserve">   - pochodne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</si>
  <si>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</si>
  <si>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</si>
  <si>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</si>
  <si>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</si>
  <si>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</si>
  <si>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</si>
  <si>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- wydatki bieżące</t>
  </si>
  <si>
    <t>01030</t>
  </si>
  <si>
    <t>Izby rolnicze</t>
  </si>
  <si>
    <t>01095</t>
  </si>
  <si>
    <t xml:space="preserve">LEŚNICTWO </t>
  </si>
  <si>
    <t>Rozbudowa Szpitala Miejskiego  im. Jana Garduły w Świnoujściu przy ul. Mieszka I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</si>
  <si>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</si>
  <si>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</si>
  <si>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</si>
  <si>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</si>
  <si>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</si>
  <si>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</si>
  <si>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</si>
  <si>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</si>
  <si>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WYDATKI JEDNOSTEK POMOCNICZYCH</t>
  </si>
  <si>
    <t>Tabela nr 8</t>
  </si>
  <si>
    <t>50095</t>
  </si>
  <si>
    <t xml:space="preserve">   w tym:</t>
  </si>
  <si>
    <t>Programy polityki zdrowotnej</t>
  </si>
  <si>
    <t xml:space="preserve">   - wynagrodzenia i pochodne</t>
  </si>
  <si>
    <t xml:space="preserve">   - dotacje</t>
  </si>
  <si>
    <t>- wydatki majątkowe</t>
  </si>
  <si>
    <t>63095</t>
  </si>
  <si>
    <t xml:space="preserve">Pozostała działalność </t>
  </si>
  <si>
    <t>70001</t>
  </si>
  <si>
    <t>Zakłady gospodarki mieszkaniowej</t>
  </si>
  <si>
    <t>70095</t>
  </si>
  <si>
    <t>71004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</si>
  <si>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</si>
  <si>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</si>
  <si>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</si>
  <si>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</si>
  <si>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</si>
  <si>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</si>
  <si>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</si>
  <si>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</si>
  <si>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</si>
  <si>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DOCHODY OD OSÓB PRAWNYCH, OD OSÓB FIZYCZNYCH I OD INNYCH JEDNOSTEK NIEPOSIADAJĄCYCH OSOBOWOŚCI PRAWNEJ ORAZ WYDATKI ZWIĄZANE Z ICH POBOREM</t>
  </si>
  <si>
    <t>Świadczenia rodzinne, zaliczka alimentacyjna oraz składki na ubezpieczenia emerytalne i rentowe z ubezpieczenia społecznego</t>
  </si>
  <si>
    <t>75647</t>
  </si>
  <si>
    <t>Pobór podatków, opłat i niepodatkowych należności budżetowych</t>
  </si>
  <si>
    <t>36.</t>
  </si>
  <si>
    <t>37.</t>
  </si>
  <si>
    <t>OBSŁUGA DŁUGU PUBLICZNEGO</t>
  </si>
  <si>
    <t>75702</t>
  </si>
  <si>
    <t>Przychody z zaciągniętych pożyczek i kredytów na rynku krajowym</t>
  </si>
  <si>
    <t xml:space="preserve">ZAKŁAD GOSPODARKI MIESZKANIOWEJ </t>
  </si>
  <si>
    <t>Rozdział 70001</t>
  </si>
  <si>
    <t>Rozdział 80104</t>
  </si>
  <si>
    <t>Rozdział 92605</t>
  </si>
  <si>
    <t>Rozdział 71030</t>
  </si>
  <si>
    <t>Rozdział 90011</t>
  </si>
  <si>
    <t>Rozdział 92109</t>
  </si>
  <si>
    <t>Obsługa papierów wartościowych, kredytów 
i pożyczek jednostek samorządu terytorialnego</t>
  </si>
  <si>
    <t>dofinansowanie z innych źródeł, innych jst i funduszy</t>
  </si>
  <si>
    <t xml:space="preserve">   - wydatki na obsługę długu</t>
  </si>
  <si>
    <t>80102</t>
  </si>
  <si>
    <t>Szkoły podstawowe specjalne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</si>
  <si>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</si>
  <si>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</si>
  <si>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</si>
  <si>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</si>
  <si>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Budowa ulic Chełmońskiego i Malczewskiego</t>
  </si>
  <si>
    <t>pozostałe materiały</t>
  </si>
  <si>
    <t>Rozdz.</t>
  </si>
  <si>
    <t>Nazwa programu</t>
  </si>
  <si>
    <t>Nazwa projektu</t>
  </si>
  <si>
    <t>Lata realizacji projektu</t>
  </si>
  <si>
    <t>2008 r.</t>
  </si>
  <si>
    <t>2009 r.</t>
  </si>
  <si>
    <t>2010 r.</t>
  </si>
  <si>
    <t>po roku 2010</t>
  </si>
  <si>
    <t>SPO-Rybołówstwa 
i przetwórstwo ryb 
2004-2006</t>
  </si>
  <si>
    <t>Zagospodarowanie terenu Basenu Bosmańskiego- budowa bazy rybackiej 
w Świnoujściu</t>
  </si>
  <si>
    <t>2006-2008</t>
  </si>
  <si>
    <t>środki UE</t>
  </si>
  <si>
    <t>środki JST</t>
  </si>
  <si>
    <t>inne środki</t>
  </si>
  <si>
    <t>Rewaloryzacja zabytkowego Parku Zdrojowego w Świnoujściu - etap I</t>
  </si>
  <si>
    <t>Planowane/wykonane
 płatności w latach w ramach projektu</t>
  </si>
  <si>
    <t>OGÓŁEM PLAN</t>
  </si>
  <si>
    <t>OGÓŁEM WYKONANIE</t>
  </si>
  <si>
    <t>inne środki (GFOŚiGW)</t>
  </si>
  <si>
    <t xml:space="preserve">Tabela nr 16 </t>
  </si>
  <si>
    <t>usługi gastronomiczne</t>
  </si>
  <si>
    <t>usługi gastronomiczne (wyżywienie pacjentów)</t>
  </si>
  <si>
    <t>80111</t>
  </si>
  <si>
    <t>Gimnazja specjalne</t>
  </si>
  <si>
    <t xml:space="preserve">Licea ogólnokształcące </t>
  </si>
  <si>
    <t>80123</t>
  </si>
  <si>
    <t>Licea profilowane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</si>
  <si>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</si>
  <si>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</si>
  <si>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</si>
  <si>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</si>
  <si>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</si>
  <si>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</si>
  <si>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</si>
  <si>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</si>
  <si>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</si>
  <si>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</si>
  <si>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Zakłady opiekuńczo - lecznicze i pielęgnacyjno - opiekuńcze</t>
  </si>
  <si>
    <t>85149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</si>
  <si>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</si>
  <si>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</si>
  <si>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</si>
  <si>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</si>
  <si>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</si>
  <si>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</si>
  <si>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</si>
  <si>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</si>
  <si>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</si>
  <si>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</si>
  <si>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</si>
  <si>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</si>
  <si>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</si>
  <si>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</si>
  <si>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</si>
  <si>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</si>
  <si>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</si>
  <si>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</si>
  <si>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</si>
  <si>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</si>
  <si>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</si>
  <si>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</si>
  <si>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</si>
  <si>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</si>
  <si>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</si>
  <si>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</si>
  <si>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</si>
  <si>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</si>
  <si>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2680</t>
  </si>
  <si>
    <t>Rekompensaty utraconych dochodów w podatkach i opłatach lokalnych</t>
  </si>
  <si>
    <t>6260</t>
  </si>
  <si>
    <t>6300</t>
  </si>
  <si>
    <t>92695</t>
  </si>
  <si>
    <t>2710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</si>
  <si>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</si>
  <si>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inwestycyjnych i zakupów inwestycyjnych</t>
  </si>
  <si>
    <t>Wpływy z tytułu pomocy finansowej udzielanej między jednostkami samorządu terytorialnego na dofinansowanie własnych zadań bieżących</t>
  </si>
  <si>
    <t>Dotacje celowe otrzymane z budżetu państwa na 
realizację inwestycji i zakupów inwestycyjnych własnych powiatu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</si>
  <si>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</si>
  <si>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</si>
  <si>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</si>
  <si>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</si>
  <si>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</si>
  <si>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</si>
  <si>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</si>
  <si>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</si>
  <si>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</si>
  <si>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</si>
  <si>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</si>
  <si>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</si>
  <si>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</si>
  <si>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</si>
  <si>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</si>
  <si>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co z tymi 500 zł?</t>
  </si>
  <si>
    <t>I. Dochody własne</t>
  </si>
  <si>
    <t>1. Podatki</t>
  </si>
  <si>
    <t>27.</t>
  </si>
  <si>
    <t>28.</t>
  </si>
  <si>
    <t>29.</t>
  </si>
  <si>
    <t>AMORTYZACJA</t>
  </si>
  <si>
    <t>ZUŻYCIE MATERIAŁÓW</t>
  </si>
  <si>
    <t>leki</t>
  </si>
  <si>
    <t>materiały medyczne</t>
  </si>
  <si>
    <t>pieluchomajtki</t>
  </si>
  <si>
    <t xml:space="preserve">środki czystości </t>
  </si>
  <si>
    <t>2.6</t>
  </si>
  <si>
    <t>wyposażenie</t>
  </si>
  <si>
    <t>ENERGIA</t>
  </si>
  <si>
    <t>3.1</t>
  </si>
  <si>
    <t>energia elektryczna</t>
  </si>
  <si>
    <t>3.2</t>
  </si>
  <si>
    <t>woda, ścieki</t>
  </si>
  <si>
    <t>3.3</t>
  </si>
  <si>
    <t>gaz</t>
  </si>
  <si>
    <t>USŁUGI OBCE</t>
  </si>
  <si>
    <t>4.1</t>
  </si>
  <si>
    <t>analizy i badania</t>
  </si>
  <si>
    <t>4.2</t>
  </si>
  <si>
    <t>usługi pralnicze</t>
  </si>
  <si>
    <t>4.3</t>
  </si>
  <si>
    <t>32.</t>
  </si>
  <si>
    <t>Prowadzenie środowiskowego domu samopomocy</t>
  </si>
  <si>
    <t>Utrzymanie dzieci w rodzinach zastępczych</t>
  </si>
  <si>
    <t>Przebudowa stadionu OSiR Wyspiarz przy ul. Matejki</t>
  </si>
  <si>
    <t>Budowa Centrum Kultury i Sportu przy ul. Matejki</t>
  </si>
  <si>
    <t>Koszty</t>
  </si>
  <si>
    <t>MUZEUM RYBOŁÓWSTWA MORSKIEGO</t>
  </si>
  <si>
    <t>Dotacja na działalność podstawową</t>
  </si>
  <si>
    <t>Przychody własne</t>
  </si>
  <si>
    <t>Stan środków obrotowych netto na początek okresu sprawozdawczego</t>
  </si>
  <si>
    <t>Stan środków obrotowych netto na koniec okresu sprawozdawczego</t>
  </si>
  <si>
    <t>Składki na ubezpieczenie społeczne i Fundusz Pracy</t>
  </si>
  <si>
    <t>Zakup eksponatów muzealnych</t>
  </si>
  <si>
    <t>Ubezpieczenia rzeczowe</t>
  </si>
  <si>
    <t>Podróże służbowe krajowe (w tym wyjazdy na szkolenia)</t>
  </si>
  <si>
    <t>Rezerwy na zobowiązania</t>
  </si>
  <si>
    <t>Zakup wartości niematerialnych i prawnych</t>
  </si>
  <si>
    <t>Pozostałe opłaty</t>
  </si>
  <si>
    <t>Inne koszty operacyjne</t>
  </si>
  <si>
    <t>ogółem dochody</t>
  </si>
  <si>
    <t>dochody bieżące</t>
  </si>
  <si>
    <t>4.4</t>
  </si>
  <si>
    <t>wywóz śmieci</t>
  </si>
  <si>
    <t>4.5</t>
  </si>
  <si>
    <t>Przebudowa Zakładu Pielęgnacyjno-Opiekuńczego przy ul. Żeromskiego 21</t>
  </si>
  <si>
    <t>Morze Bałtyckie - łączące wyspy, kraje kultury i regiony przyrodnicze - wspólny polsko-niemiecki projekt edukacji przyrodniczej (w ramach II etapu rewaloryzacji Parku Zdrojowego)</t>
  </si>
  <si>
    <t>Zagospodarowanie terenu przy Szkole Podstawowej nr 2 w Karsiborze w ramach polsko-niemieckiego projektu "Atrakcje przyrodnicze Uznam-Karsibór"</t>
  </si>
  <si>
    <t>Melioracje terenów zurbanizowanych w obszarze miasta Świnoujścia</t>
  </si>
  <si>
    <t>Przebudowa boisk przyszkolnych  (budowa boiska przy GP Nr 1 i Nr 2 w ramach programu "Moje boisko Orlik 2012")</t>
  </si>
  <si>
    <t>konserwacja i naprawa sprzętu, serwis kotłowni</t>
  </si>
  <si>
    <t>4.6</t>
  </si>
  <si>
    <t>4.7</t>
  </si>
  <si>
    <t>usługi lekarskie + porady</t>
  </si>
  <si>
    <t>4.8</t>
  </si>
  <si>
    <t>usługi księgowe + statystyka medyczna</t>
  </si>
  <si>
    <t>4.9</t>
  </si>
  <si>
    <t>pozostałe usługi obce</t>
  </si>
  <si>
    <t>WYNAGRODZENIA</t>
  </si>
  <si>
    <t>5.1</t>
  </si>
  <si>
    <t>wynagrodzenie za pracę</t>
  </si>
  <si>
    <t>5.2</t>
  </si>
  <si>
    <t>NARZUTY NA WYNAGRODZENIA</t>
  </si>
  <si>
    <t>ŚWIADCZENIA NA RZECZ PRACOWNIKÓW</t>
  </si>
  <si>
    <t>PODATKI I OPŁATY</t>
  </si>
  <si>
    <t>8.1</t>
  </si>
  <si>
    <t>podatek od nieruchomości</t>
  </si>
  <si>
    <t>8.2</t>
  </si>
  <si>
    <t>pozostałe opłaty i podatki</t>
  </si>
  <si>
    <t>OPŁATY BANKOWE</t>
  </si>
  <si>
    <t>38.</t>
  </si>
  <si>
    <t>Odsetki za nieterminowe rozliczenia, płacone przez urzędy obsługujące organy podatkowe</t>
  </si>
  <si>
    <t xml:space="preserve">    najem i dzierżawa składników majątkowych</t>
  </si>
  <si>
    <t>Przychody z zaciągniętych pożyczek na finansowanie zadań realizowanych z udziałem środków pochodzących z budżetu Unii Europejskiej</t>
  </si>
  <si>
    <t>Wykup innych papierów wartościowych</t>
  </si>
  <si>
    <t>Przychody z tytułu innych rozliczeń krajowych</t>
  </si>
  <si>
    <t>Dotacje
ogółem</t>
  </si>
  <si>
    <t>Wydatki
ogółem
(5+9)</t>
  </si>
  <si>
    <t>Wydatki
bieżące</t>
  </si>
  <si>
    <t>Wydatki
majątkowe</t>
  </si>
  <si>
    <t>wynagrodzenia</t>
  </si>
  <si>
    <t>pochodne od wynagrodzeń</t>
  </si>
  <si>
    <t>świadczenia społeczne</t>
  </si>
  <si>
    <t>85220</t>
  </si>
  <si>
    <t>Jednostki specjalistycznego poradnictwa, mieszkania chronione i ośrodki interwencji kryzysowej</t>
  </si>
  <si>
    <t>gmina</t>
  </si>
  <si>
    <t>powiat</t>
  </si>
  <si>
    <t>Ogółem (gmina + powiat)</t>
  </si>
  <si>
    <t xml:space="preserve">Ogółem </t>
  </si>
  <si>
    <t>Nazwa jednostki pomocniczej</t>
  </si>
  <si>
    <t>Sołectwo Karsibór</t>
  </si>
  <si>
    <t>Osiedle Warszów</t>
  </si>
  <si>
    <t>Osiedle Przytór-Łunowo</t>
  </si>
  <si>
    <t>Ogółem</t>
  </si>
  <si>
    <t>Podmiot otrzymujący i zakres dotacji</t>
  </si>
  <si>
    <t>Zakład Gospodarki Mieszkaniowej
Dopłata do utrzymania 1m2 powierzchni użytkowej komunalnych lokali mieszkalnych</t>
  </si>
  <si>
    <t>Nazwa instytucji</t>
  </si>
  <si>
    <t>Gimnazjum przy Liceum Ogólnokształcącym 
Społecznego Towarzystwa Szkoły Gimnazjalnej</t>
  </si>
  <si>
    <t>Gimnazjum Fundacji LOGOS</t>
  </si>
  <si>
    <t>Gimnazjum dla dorosłych WZDZ</t>
  </si>
  <si>
    <t>Liceum Ogólnokształcące Szczecińskiej 
Fundacji „Talent-Promocja-Postęp”</t>
  </si>
  <si>
    <t>Nazwa zadania</t>
  </si>
  <si>
    <t xml:space="preserve">INFORMACJA O WYSOKOŚCI DEFICYTU BUDŻETOWEGO  </t>
  </si>
  <si>
    <t>Zadania w zakresie przeciwdziałania alkoholizmowi</t>
  </si>
  <si>
    <t>Zadania w zakresie pomocy społecznej</t>
  </si>
  <si>
    <t>Zużycie materiałów i wyposażenia</t>
  </si>
  <si>
    <t>Zużycie energii</t>
  </si>
  <si>
    <t xml:space="preserve">    osobowe pracowników</t>
  </si>
  <si>
    <t xml:space="preserve">    bezosobowe i prowizje</t>
  </si>
  <si>
    <t xml:space="preserve">    inne źródła</t>
  </si>
  <si>
    <t>Składki na ubezpieczenia społeczne i Fundusz Pracy</t>
  </si>
  <si>
    <t>Pozostałe przychody finansowe i operacyjne</t>
  </si>
  <si>
    <t>RAZEM DOTACJE Z BUDŻETU MIASTA</t>
  </si>
  <si>
    <t>Realizacja działań z zakresu zapobiegania narkomanii adresowane do mieszkańców Świnoujścia</t>
  </si>
  <si>
    <t>Prowadzenie edukacji profilaktycznej z zakresu AIDS i HIV adresowanych do uczniów placówek oświatowych</t>
  </si>
  <si>
    <t>Utrzymanie dzieci w placówkach opiekuńczo-wychowawczych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</si>
  <si>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</si>
  <si>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</si>
  <si>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</si>
  <si>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</si>
  <si>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 xml:space="preserve">  a) na zadania własne (w tym dotacje rozwojowe)</t>
  </si>
  <si>
    <t>DOCHODY MAJĄTKOWE POWIATU</t>
  </si>
  <si>
    <t>majątkowe wg Rb 27</t>
  </si>
  <si>
    <t>DOCHODY MAJĄTKOWE GMINY</t>
  </si>
  <si>
    <t>OGÓŁEM DOCHODY MAJĄTKOWE (GMINA + POWIAT)</t>
  </si>
  <si>
    <t>Źródła finansowa-
nia  kosztów kwalifiko-
wanych</t>
  </si>
  <si>
    <t>inne środki
BP</t>
  </si>
  <si>
    <t>środki JST
wkł. wł. rzecz.</t>
  </si>
  <si>
    <t xml:space="preserve"> DOCHODY  MAJĄTKOWE WEDŁUG DZIAŁÓW, ROZDZIAŁÓW I PARAGRAFÓW 
KLASYFIKACJI BUDŻETOWEJ</t>
  </si>
  <si>
    <t>subwencja z budżetu państwa</t>
  </si>
  <si>
    <t>sprzedaż i przekształcenie majątku</t>
  </si>
  <si>
    <t>- spłata udzielonej pożyczki</t>
  </si>
  <si>
    <t xml:space="preserve">    - pomoc finansowa od innych jednostek samorządowych</t>
  </si>
  <si>
    <r>
      <t xml:space="preserve">Rozbudowa i modernizacja sieci deszczowych - przebudowa odwodnienia w dzielnicy Warszów (ul. Modrzejewskiej) oraz w ulicach lewobrzeża: ul. Kochanowskiego (I etap), ul. Grodzkiej, Kossaków i ul. Zamkowej
</t>
    </r>
    <r>
      <rPr>
        <i/>
        <sz val="10"/>
        <rFont val="Times New Roman"/>
        <family val="1"/>
      </rPr>
      <t>z tego:</t>
    </r>
  </si>
  <si>
    <t>Tabela nr 6</t>
  </si>
  <si>
    <t xml:space="preserve">Tabela nr 13 </t>
  </si>
  <si>
    <t>Tabela nr 17</t>
  </si>
  <si>
    <t>wg Rb-27S</t>
  </si>
  <si>
    <t xml:space="preserve">RÓŻNE ROZLICZENIA </t>
  </si>
  <si>
    <t xml:space="preserve">Zasadnicza Szkoła Zawodowa Wojewódzkiego Zakładu Doskonalenia Zawodowego </t>
  </si>
  <si>
    <t>Budowa stałego połączenia (tunel) wysp Uznam i Wolin</t>
  </si>
  <si>
    <t>Przygotowanie Bazy Las pod funkcje inwestycyjne</t>
  </si>
  <si>
    <t>Budowa schroniska dla ludzi bezdomnych przy ul. Karsiborskiej 19</t>
  </si>
  <si>
    <t xml:space="preserve">Sprawny i przyjazny środowisku dostęp do infrastruktury portu w Świnoujściu </t>
  </si>
  <si>
    <t>0560</t>
  </si>
  <si>
    <t>Zaległości z podatków zniesionych</t>
  </si>
  <si>
    <t>Zagospodarowanie terenu Basenu Bosmańskiego - budowa bazy rybackiej w Świnoujściu</t>
  </si>
  <si>
    <t>Technikum Elektryczne Wojewódzkiego Zakładu Doskonalenia Zawodowego</t>
  </si>
  <si>
    <t>Policealna Szkoła Biznesu Towarzystwa Oświatowo-Promocyjnego ”Biznes-Pro”</t>
  </si>
  <si>
    <t>Ośrodek Sportu i Rekreacji "Wyspiarz"
Dopłaty do:
- 1 godziny funkcjonowania hali sportowej
- osoby korzystającej z pływalni
- osoby korzystającej z kortów</t>
  </si>
  <si>
    <t xml:space="preserve">DOTACJE Z BUDŻETU MIASTA </t>
  </si>
  <si>
    <t>I Liceum Społeczne Fundacji "LOGOS"</t>
  </si>
  <si>
    <t>Przychody ze spłat kredytów i pożyczek udzielonych ze środków publicznych</t>
  </si>
  <si>
    <t>§ 951</t>
  </si>
  <si>
    <t>Liceum Ogólnokształcące Społecznego Towarzystwa Szkoły Gimnazjalnej</t>
  </si>
  <si>
    <t>6423</t>
  </si>
  <si>
    <t>6299</t>
  </si>
  <si>
    <t>PODRÓŻE SŁUŻBOWE</t>
  </si>
  <si>
    <t>POZOSTAŁE KOSZTY PROSTE (ubezp. O.C.)</t>
  </si>
  <si>
    <t>OGÓŁEM NAKŁADY</t>
  </si>
  <si>
    <t>SPRZEDAŻ USŁUG</t>
  </si>
  <si>
    <t>bez § 285 i 291</t>
  </si>
  <si>
    <t>inwestycje (WIM  zał.17)</t>
  </si>
  <si>
    <t>kontrakt z NFZ</t>
  </si>
  <si>
    <t>dzierżawa + media</t>
  </si>
  <si>
    <t>opłaty pacjentów pełnopłatne</t>
  </si>
  <si>
    <t>PRZYCHODY FINANSOWE</t>
  </si>
  <si>
    <t>PRZYCHODY OPERACYJNE</t>
  </si>
  <si>
    <t>dotacje - Urząd Miasta</t>
  </si>
  <si>
    <t>refundacja za poborowych</t>
  </si>
  <si>
    <t>PRZYCHODY OGÓŁEM</t>
  </si>
  <si>
    <t>ZYSK/STRATA BRUTTO</t>
  </si>
  <si>
    <t xml:space="preserve"> SAMODZIELNY PUBLICZNY ZAKŁAD OPIEKI ZDROWOTNEJ ZAKŁAD
 PIELĘGNACYJNO-OPIEKUŃCZY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</si>
  <si>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</si>
  <si>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</si>
  <si>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</si>
  <si>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</si>
  <si>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</si>
  <si>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</si>
  <si>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Szkoła Podstawowa nr 9</t>
  </si>
  <si>
    <t>Gimnazjum Publiczne nr 1</t>
  </si>
  <si>
    <t>Gimnazjum Publiczne nr 2</t>
  </si>
  <si>
    <t>Gimnazjum Publiczne nr 3</t>
  </si>
  <si>
    <t>Internat Zespołu Szkół Morskich</t>
  </si>
  <si>
    <t>Zespół Szkół Morskich</t>
  </si>
  <si>
    <t>Zespół Szkół w Świnoujściu</t>
  </si>
  <si>
    <t>Dochody własne</t>
  </si>
  <si>
    <t>Pozostałe usługi</t>
  </si>
  <si>
    <t>leki i materiały medyczne</t>
  </si>
  <si>
    <t>tlen medyczny</t>
  </si>
  <si>
    <t>sprzęt medyczny jednorazowy</t>
  </si>
  <si>
    <t>odczynniki rtg</t>
  </si>
  <si>
    <t>opał</t>
  </si>
  <si>
    <t>środki czystości i dezynfekcyjne</t>
  </si>
  <si>
    <t>2.7</t>
  </si>
  <si>
    <t>2.8</t>
  </si>
  <si>
    <t>materiały do drobnych remontów</t>
  </si>
  <si>
    <t>2.9</t>
  </si>
  <si>
    <t>materiały diagnostyczne</t>
  </si>
  <si>
    <t>2.10</t>
  </si>
  <si>
    <t>2.10.1</t>
  </si>
  <si>
    <t>materiały gospodarcze</t>
  </si>
  <si>
    <t>2.10.2</t>
  </si>
  <si>
    <t>materiały biurowe i książki</t>
  </si>
  <si>
    <t>2.10.3</t>
  </si>
  <si>
    <t>bielizna i odzież ochronna</t>
  </si>
  <si>
    <t>2.10.4</t>
  </si>
  <si>
    <t>materiały medyczne wielokrotnego użytku</t>
  </si>
  <si>
    <t>energia cieplna</t>
  </si>
  <si>
    <t>transport</t>
  </si>
  <si>
    <t>wywóz nieczystości stałych i medycznych</t>
  </si>
  <si>
    <t xml:space="preserve">    dotacja z MKiDN</t>
  </si>
  <si>
    <t>remonty bieżące, naprawa i konserwacja sprzętu medycznego</t>
  </si>
  <si>
    <t>4.8.1</t>
  </si>
  <si>
    <t>opłaty pocztowe i telekomunikacyjne</t>
  </si>
  <si>
    <t>4.8.2</t>
  </si>
  <si>
    <t>usługi informatyczne</t>
  </si>
  <si>
    <t>4.8.3</t>
  </si>
  <si>
    <t xml:space="preserve">pozostałe usługi  </t>
  </si>
  <si>
    <t>4.8.4</t>
  </si>
  <si>
    <t>dzierżawa butli</t>
  </si>
  <si>
    <t>4.8.5</t>
  </si>
  <si>
    <t>monitoring obiektów</t>
  </si>
  <si>
    <t>4.8.6</t>
  </si>
  <si>
    <t>najem lokalu</t>
  </si>
  <si>
    <t>4.8.7</t>
  </si>
  <si>
    <t>obsługa rozprężalni tlenu</t>
  </si>
  <si>
    <t>budżet Miasta</t>
  </si>
  <si>
    <t>Szkoła Podstawowa Społecznego Towarzystwa 
Szkoły Gimnazjalnej</t>
  </si>
  <si>
    <t>Przebudowa lub budowa mostu nad Starą Świną łączącego wyspy Karsibór i Wolin</t>
  </si>
  <si>
    <t>Przebudowa Placu Wolności</t>
  </si>
  <si>
    <t>Budowa systemu parkingowego w mieście</t>
  </si>
  <si>
    <t>Budowa ciągu pieszo-rowerowego przy ul. 1 Maja w Karsiborze</t>
  </si>
  <si>
    <t>Budowa transgranicznego ciągu pieszego na wydmie wraz z sanitariatami i natryskami plażowymi</t>
  </si>
  <si>
    <t>Przebudowa ulicy Herbowej</t>
  </si>
  <si>
    <t>wg Rb50</t>
  </si>
  <si>
    <t>wykonanie</t>
  </si>
  <si>
    <t>Zagospodarowanie Basenu Północnego - budowa infrastruktury i wspólnej marki Zachodniopomorskiego Szlaku Żeglarskiego</t>
  </si>
  <si>
    <t xml:space="preserve">    - zwrot dotacji pobranej w nadmiernej wysokości</t>
  </si>
  <si>
    <t>34.</t>
  </si>
  <si>
    <t>TREŚĆ</t>
  </si>
  <si>
    <t>DOTACJE BIEŻĄCE</t>
  </si>
  <si>
    <t>Termin 
realizacji</t>
  </si>
  <si>
    <t>Łącznie wydatki nie wygasające</t>
  </si>
  <si>
    <t>Strefa intensywnego inwestowania - przygotowanie terenów przyległych do Basenu Mulnik na cele parku przemysłowo-usługowego wraz z akwenem wodnym i nabrzeżami</t>
  </si>
  <si>
    <t>System monitoringu miasta</t>
  </si>
  <si>
    <t>Przedszkole Miejskie nr 5 - remont i adaptacja pomieszczeń na kuchnię</t>
  </si>
  <si>
    <t>Przebudowa budynku pralni szpitalnej na potrzeby ośrodka zwalczania uzależnień przy ul. Mieszka I</t>
  </si>
  <si>
    <t>30.</t>
  </si>
  <si>
    <t>31.</t>
  </si>
  <si>
    <t>kontrakty zakładowe - szpital</t>
  </si>
  <si>
    <t>4.10</t>
  </si>
  <si>
    <t>kontrakty zakładowe - pozostałe usługi</t>
  </si>
  <si>
    <t>bezosobowy fundusz płac</t>
  </si>
  <si>
    <t>7.1</t>
  </si>
  <si>
    <t>7.2</t>
  </si>
  <si>
    <t>6298</t>
  </si>
  <si>
    <t xml:space="preserve">Drogi publiczne krajowe </t>
  </si>
  <si>
    <t>pozostałe świadczenia</t>
  </si>
  <si>
    <t>8.3</t>
  </si>
  <si>
    <t>8.4</t>
  </si>
  <si>
    <t>pozostałe podatki i opłaty</t>
  </si>
  <si>
    <t>10.1</t>
  </si>
  <si>
    <t>krajowe</t>
  </si>
  <si>
    <t>10.2</t>
  </si>
  <si>
    <t>ryczałty za używanie prywatnych samochodów</t>
  </si>
  <si>
    <t xml:space="preserve">POZOSTAŁE KOSZTY </t>
  </si>
  <si>
    <t>ubezpieczenia</t>
  </si>
  <si>
    <t>działalność gospodarcza</t>
  </si>
  <si>
    <t>KOSZTY FINANSOWE</t>
  </si>
  <si>
    <t>KOSZTY OPERACYJNE</t>
  </si>
  <si>
    <t>ZYSKI NADZWYCZAJNE</t>
  </si>
  <si>
    <t>STRATY NADZWYCZAJNE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</si>
  <si>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</si>
  <si>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bieżących zadań własnych powiatu</t>
  </si>
  <si>
    <t>KOSZTY OGÓŁEM</t>
  </si>
  <si>
    <t>ZMIANA STANU PRODUKTÓW</t>
  </si>
  <si>
    <t>ZYSK/STRATA NETTO</t>
  </si>
  <si>
    <t>1</t>
  </si>
  <si>
    <t>transfery z budżetu państwa (dotacje, subwencje na inwestycje)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</si>
  <si>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</si>
  <si>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</si>
  <si>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</si>
  <si>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</si>
  <si>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</si>
  <si>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</si>
  <si>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2008-2009</t>
  </si>
  <si>
    <t>Koszty kwalifiko-wane w ramach projektu</t>
  </si>
  <si>
    <t>LIMITY WYDATKÓW  NA PROJEKTY PLANOWANE DO REALIZACJI  W RAMACH POSZCZEGÓLNYCH PROGRAMÓW OPERACYJNYCH 
W ROKU 2008 I KOLEJNYCH (zawarte w budżecie Miasta, budżecie GFOŚiGW oraz środki Funduszu Pracy)</t>
  </si>
  <si>
    <t xml:space="preserve">   - pochodne (bez pochodnych od stypendiów sportowych)</t>
  </si>
  <si>
    <t>wydatki majątkowe własne</t>
  </si>
  <si>
    <t>INWESTYCJE KOMUNALNE FINANSOWANE Z BUDŻETU MIASTA ORAZ GFOŚiGW</t>
  </si>
  <si>
    <t xml:space="preserve">budżet Miasta </t>
  </si>
  <si>
    <t xml:space="preserve">Przebudowa ulicy Wybrzeże Władysława IV </t>
  </si>
  <si>
    <t>Przebudowa ulicy Szkolnej</t>
  </si>
  <si>
    <t>Budowa ścieżki rowerowej wzdłuż ulicy Barlickiego</t>
  </si>
  <si>
    <t>Przebudowa ulicy Wojska Polskiego</t>
  </si>
  <si>
    <t>budżet miasta</t>
  </si>
  <si>
    <t>Przebudowa przystani jachtowej w Łunowie</t>
  </si>
  <si>
    <t>35.</t>
  </si>
  <si>
    <t>39.</t>
  </si>
  <si>
    <t xml:space="preserve">Oświetlenie ulicy Kościuszki </t>
  </si>
  <si>
    <t>Oświetlenie ulicy Krętej</t>
  </si>
  <si>
    <t>Oświetlenie ulic (wg uzgodnień)</t>
  </si>
  <si>
    <t>40.</t>
  </si>
  <si>
    <t>41.</t>
  </si>
  <si>
    <t>42.</t>
  </si>
  <si>
    <t>43.</t>
  </si>
  <si>
    <t>44.</t>
  </si>
  <si>
    <t>45.</t>
  </si>
  <si>
    <t>Budowa hali sportowej przy Gimnazjum Publicznym nr 3 (Oś. Warszów)</t>
  </si>
  <si>
    <t>46.</t>
  </si>
  <si>
    <t>Budowa boiska ze sztuczną nawierzchnią przy Gimnazjum Publicznym nr 3 (Oś. Warszów)</t>
  </si>
  <si>
    <t>wydatki majątkowe zlecone</t>
  </si>
  <si>
    <t>0390</t>
  </si>
  <si>
    <t>Placówki opiekuńczo-wychowawcze</t>
  </si>
  <si>
    <t>nie może być ujemna!</t>
  </si>
  <si>
    <t>2690</t>
  </si>
  <si>
    <t xml:space="preserve">    - uzdrowiskowa</t>
  </si>
  <si>
    <t>Urzędy naczelnych organów władzy państwowej, kontroli i ochrony prawa oraz sądownictwa</t>
  </si>
  <si>
    <t>Rb 28S</t>
  </si>
  <si>
    <t>Przedszkola Miejskie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</si>
  <si>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</si>
  <si>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</si>
  <si>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</si>
  <si>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</si>
  <si>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</si>
  <si>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</si>
  <si>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>5. Dochody z majątku</t>
  </si>
  <si>
    <t xml:space="preserve">  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</si>
  <si>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</si>
  <si>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</si>
  <si>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 xml:space="preserve">8. Inne dochody 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</si>
  <si>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</si>
  <si>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</si>
  <si>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</si>
  <si>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</si>
  <si>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</si>
  <si>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</si>
  <si>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</si>
  <si>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</si>
  <si>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</si>
  <si>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</si>
  <si>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</si>
  <si>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</si>
  <si>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</si>
  <si>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>Rozbudowa Cmentarza Komunalnego w Przytorze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</si>
  <si>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</si>
  <si>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</si>
  <si>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</si>
  <si>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</si>
  <si>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</si>
  <si>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</si>
  <si>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</si>
  <si>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</si>
  <si>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</si>
  <si>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</si>
  <si>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</si>
  <si>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</si>
  <si>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</si>
  <si>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 xml:space="preserve">  b) na zadania z zakresu administracji rządowej</t>
  </si>
  <si>
    <t>2701</t>
  </si>
  <si>
    <t>85324</t>
  </si>
  <si>
    <t>Państwowy Fundusz Rehabilitacji Osób Niepełnosprawnych</t>
  </si>
  <si>
    <t>Nr uchwały
 lub zarządzenia</t>
  </si>
  <si>
    <t>75818</t>
  </si>
  <si>
    <t>Rezerwy ogólne i celowe</t>
  </si>
  <si>
    <t>85311</t>
  </si>
  <si>
    <t>Wyszczególnienie jednostek</t>
  </si>
  <si>
    <t>Liceum Ogólnokształcące z Oddziałami Integracyjnymi</t>
  </si>
  <si>
    <t>Rehabilitacja zawodowa i społeczna osób niepełnosprawnych</t>
  </si>
  <si>
    <t>Oświetlenie ulic
w tym:</t>
  </si>
  <si>
    <t>Nr uchwały 
lub zarządzenia</t>
  </si>
  <si>
    <t>75406</t>
  </si>
  <si>
    <t>Straż Graniczna</t>
  </si>
  <si>
    <t>60004</t>
  </si>
  <si>
    <t>Lokalny transport zbiorowy</t>
  </si>
  <si>
    <t>25/2008</t>
  </si>
  <si>
    <t>I Liceum Ogólnokształcące "HOSSA" Centrum Edukacji i Wspierania Przedsiębiorczości Towarzystwa Oświatowo-Promocyjnego "Bussiness-Pro"</t>
  </si>
  <si>
    <t>0928</t>
  </si>
  <si>
    <t>6. Odsetki od środków finansowych zgromadzonych na rachunkach  bankowych</t>
  </si>
  <si>
    <t>Otrzymane darowizny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</si>
  <si>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</si>
  <si>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</si>
  <si>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</si>
  <si>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</si>
  <si>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</si>
  <si>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</si>
  <si>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</si>
  <si>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</si>
  <si>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</si>
  <si>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</si>
  <si>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</si>
  <si>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</si>
  <si>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</si>
  <si>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</si>
  <si>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</si>
  <si>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</si>
  <si>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</si>
  <si>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</si>
  <si>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</si>
  <si>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</si>
  <si>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</si>
  <si>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</si>
  <si>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</si>
  <si>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</si>
  <si>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</si>
  <si>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</si>
  <si>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</si>
  <si>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</si>
  <si>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</si>
  <si>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</si>
  <si>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 xml:space="preserve">Przychody </t>
  </si>
  <si>
    <t xml:space="preserve">Rozchody </t>
  </si>
  <si>
    <t>Nadzór budowlany</t>
  </si>
  <si>
    <t>71035</t>
  </si>
  <si>
    <t>Cmentarze</t>
  </si>
  <si>
    <t>750</t>
  </si>
  <si>
    <t>!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</si>
  <si>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</si>
  <si>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</si>
  <si>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</si>
  <si>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</si>
  <si>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</si>
  <si>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</si>
  <si>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</si>
  <si>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</si>
  <si>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</si>
  <si>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Starostwa powiatowe</t>
  </si>
  <si>
    <t>75023</t>
  </si>
  <si>
    <t>75045</t>
  </si>
  <si>
    <t>Komisje poborowe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</si>
  <si>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</si>
  <si>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</si>
  <si>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</si>
  <si>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</si>
  <si>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</si>
  <si>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</si>
  <si>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</si>
  <si>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</si>
  <si>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</si>
  <si>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</si>
  <si>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</si>
  <si>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</si>
  <si>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</si>
  <si>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</si>
  <si>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</si>
  <si>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</si>
  <si>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</si>
  <si>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</si>
  <si>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</si>
  <si>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</si>
  <si>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</si>
  <si>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</si>
  <si>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</si>
  <si>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</si>
  <si>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Mosty do wiedzy - wyrównanie szans edukacyjnych w Świnoujściu</t>
  </si>
  <si>
    <t>Drogi publiczne w miastach na prawach powiatu (w rozdziale nie ujmuje się wydatków na drogi gminne)</t>
  </si>
  <si>
    <t>Poradnie psychologiczno-pedagogiczne, w tym poradnie specjalistyczne</t>
  </si>
  <si>
    <t>Przebudowa ulicy Zalewowej</t>
  </si>
  <si>
    <t>33.</t>
  </si>
  <si>
    <t>Dodatki mieszkaniowe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</si>
  <si>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</si>
  <si>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</si>
  <si>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</si>
  <si>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</si>
  <si>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</si>
  <si>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</si>
  <si>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</si>
  <si>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 xml:space="preserve">    - wpływy z różnych dochodów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</si>
  <si>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</si>
  <si>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</si>
  <si>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</si>
  <si>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</si>
  <si>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</si>
  <si>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</si>
  <si>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</si>
  <si>
    <t>Dochody bieżące</t>
  </si>
  <si>
    <t>środki z innych źródeł</t>
  </si>
  <si>
    <t>pozostałe</t>
  </si>
  <si>
    <t>1.1</t>
  </si>
  <si>
    <t>1.2</t>
  </si>
  <si>
    <t>1.3</t>
  </si>
  <si>
    <t>2.1</t>
  </si>
  <si>
    <t>2.2</t>
  </si>
  <si>
    <t>- prefinansowanie</t>
  </si>
  <si>
    <t>- spłata kredytów i pożyczek</t>
  </si>
  <si>
    <t>- spłata pożyczki na prefinansowanie</t>
  </si>
  <si>
    <t>2.3</t>
  </si>
  <si>
    <t>1.4</t>
  </si>
  <si>
    <t>dotacje</t>
  </si>
  <si>
    <t>obsługa długu publicznego</t>
  </si>
  <si>
    <t>wg Rb28S</t>
  </si>
  <si>
    <t>Wg rb27S</t>
  </si>
  <si>
    <t>tabela</t>
  </si>
  <si>
    <t>2.4</t>
  </si>
  <si>
    <t>dotacje z budżetu państwa</t>
  </si>
  <si>
    <t>Tabela nr 3</t>
  </si>
  <si>
    <t>Budowa ścieżki rowerowej wzdłuż ulicy Krzywej</t>
  </si>
  <si>
    <t>OGÓŁEM INWESTYCJE KOMUNALNE (WIM)</t>
  </si>
  <si>
    <t>Dotacja z budżetu Miasta na bieżącą działalność</t>
  </si>
  <si>
    <t>Amortyzacja</t>
  </si>
  <si>
    <t>Usługi materialne</t>
  </si>
  <si>
    <t>Wynagrodzenia</t>
  </si>
  <si>
    <t>Podróże służbowe i koszty zakwaterowania</t>
  </si>
  <si>
    <t>Usługi niematerialne</t>
  </si>
  <si>
    <t>MIEJSKI DOM KULTURY</t>
  </si>
  <si>
    <t>RÓŻNICA</t>
  </si>
  <si>
    <t>2.5</t>
  </si>
  <si>
    <t>zadania własne</t>
  </si>
  <si>
    <t xml:space="preserve">    - pozostałe opłaty wraz z rekompensatą utraconych dochodów</t>
  </si>
  <si>
    <t xml:space="preserve">OTRZYMANE DOTACJE Z BUDŻETU PAŃSTWA ORAZ ICH WYDATKOWANIE </t>
  </si>
  <si>
    <t xml:space="preserve">zadania realizowane na podstawie  porozumień z organami administracji  rządowej </t>
  </si>
  <si>
    <t>zadania z zakresu administracji  rządowej</t>
  </si>
  <si>
    <t>Kredyty</t>
  </si>
  <si>
    <t>Pożyczki</t>
  </si>
  <si>
    <t>zadania realizowane na podstawie porozumień z innymi jednostkami samorządu terytorialnego</t>
  </si>
  <si>
    <t>Sprawdzenie Rb 27S i Rb28S</t>
  </si>
  <si>
    <t>Sprawdzenie Rb 27S</t>
  </si>
  <si>
    <t xml:space="preserve">  d) na zadania realizowane na podstawie porozumień 
      z innymi jednostkami samorządu terytorialnego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</si>
  <si>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</si>
  <si>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</si>
  <si>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</si>
  <si>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</si>
  <si>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</si>
  <si>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</si>
  <si>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</si>
  <si>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</si>
  <si>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</si>
  <si>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</si>
  <si>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</si>
  <si>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inne</t>
  </si>
  <si>
    <t>Drogi publiczne krajowe</t>
  </si>
  <si>
    <t>Specjalne ośrodki szkolno-wychowawcze</t>
  </si>
  <si>
    <t>ŁĄCZNIE GMINA I POWIAT</t>
  </si>
  <si>
    <t>Nadwyżka/ Deficyt (I -II)</t>
  </si>
  <si>
    <t>- kredyty i pożyczki</t>
  </si>
  <si>
    <t>2008-2011</t>
  </si>
  <si>
    <t>Urząd Miasta (WIM)</t>
  </si>
  <si>
    <t>Miejski Ośrodek Pomocy Rodzinie</t>
  </si>
  <si>
    <t>Powiatowy Urząd Pracy</t>
  </si>
  <si>
    <t>Urząd Miasta (WO)</t>
  </si>
  <si>
    <t>Interreg IIIA - Polsko-Niemieckiego Pogranicza na obszarze Krajów Związkowych Meklemburgia Pomorze Przednie Brandenburgia - Polska (woj. Zachodniopo-
morskie)</t>
  </si>
  <si>
    <t xml:space="preserve">Wartość całkowita projektu
</t>
  </si>
  <si>
    <t>- wykup obligacji komunalnych</t>
  </si>
  <si>
    <t>Dotacje celowe przekazane z budżetu państwa na zadania bieżące realizowane przez gminę na podstawie porozumień z organami administracji rządowej</t>
  </si>
  <si>
    <t>Wybory do Sejmu i Senatu</t>
  </si>
  <si>
    <t>Dotacje celowe otrzymane z gminy na zadania bieżące realizowane na podstawie porozumień (umów) między jednostkami samorządu terytorialnego</t>
  </si>
  <si>
    <t xml:space="preserve">Środki na dofinansowanie własnych zadań 
bieżących gmin (związków gmin), powiatów (związków powiatów), samorządów województw, pozyskane z innych źródeł
</t>
  </si>
  <si>
    <t>6430</t>
  </si>
  <si>
    <t>Dotacje celowe otrzymane z budżetu państwa na realizację inwestycji i zakupów inwestycyjnych własnych powiatu</t>
  </si>
  <si>
    <t>Klasyfikacja
§</t>
  </si>
  <si>
    <t>§ 952</t>
  </si>
  <si>
    <t>§ 903</t>
  </si>
  <si>
    <t>§ 955</t>
  </si>
  <si>
    <t>§ 992</t>
  </si>
  <si>
    <t>§ 982</t>
  </si>
  <si>
    <t xml:space="preserve">    - wpływy za realizację dochodów skarbu państwa</t>
  </si>
  <si>
    <t>921</t>
  </si>
  <si>
    <t>926</t>
  </si>
  <si>
    <t>KULTURA FIZYCZNA I SPORT</t>
  </si>
  <si>
    <t>% wykonania</t>
  </si>
  <si>
    <t>udział</t>
  </si>
  <si>
    <t xml:space="preserve">Udział </t>
  </si>
  <si>
    <t>92601</t>
  </si>
  <si>
    <t>Obiekty sportowe</t>
  </si>
  <si>
    <t>92605</t>
  </si>
  <si>
    <t>Zadania w zakresie kultury fizycznej i sportu</t>
  </si>
  <si>
    <t>Dział</t>
  </si>
  <si>
    <t>Wyszczególnienie</t>
  </si>
  <si>
    <t>Miejski Dom Kultury</t>
  </si>
  <si>
    <t>Zadania w zakresie oświaty i wychowania</t>
  </si>
  <si>
    <t>6410</t>
  </si>
  <si>
    <t xml:space="preserve">    - dotacja z funduszu celowego</t>
  </si>
  <si>
    <t>§</t>
  </si>
  <si>
    <t>LEŚNICTWO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</si>
  <si>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</si>
  <si>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</si>
  <si>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</si>
  <si>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</si>
  <si>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</si>
  <si>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</si>
  <si>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Pozostałe odsetki</t>
  </si>
  <si>
    <t>80103</t>
  </si>
  <si>
    <t>Oddziały przedszkolne w szkołach podstawowych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</si>
  <si>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</si>
  <si>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</si>
  <si>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</si>
  <si>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</si>
  <si>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>Szkolenie drogą do zapewnienia wysokiej jakości usług świadczonych przez JST w obszarze wysp Uznam-Wolin</t>
  </si>
  <si>
    <t>Jednostka realizu-
jąca</t>
  </si>
  <si>
    <t xml:space="preserve">Urzędy naczelnych organów władzy państwowej, kontroli i ochrony prawa 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</si>
  <si>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</si>
  <si>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</si>
  <si>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</si>
  <si>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</si>
  <si>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</si>
  <si>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</si>
  <si>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</si>
  <si>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</si>
  <si>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</si>
  <si>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</si>
  <si>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</si>
  <si>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</si>
  <si>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</si>
  <si>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</si>
  <si>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</si>
  <si>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</si>
  <si>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</si>
  <si>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</si>
  <si>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 xml:space="preserve">DOCHODY I WYDATKI DOCHODÓW WŁASNYCH  JEDNOSTEK BUDŻETOWYCH </t>
  </si>
  <si>
    <t>Wpływy z opłaty skarbowej</t>
  </si>
  <si>
    <t>75621</t>
  </si>
  <si>
    <t>Udziały gmin w podatkach stanowiących dochód 
budżetu państwa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</si>
  <si>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</si>
  <si>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wpisać ręcznie</t>
  </si>
  <si>
    <t>§251</t>
  </si>
  <si>
    <t>bez zwrotu §2910</t>
  </si>
  <si>
    <t>Wg Rb 28s</t>
  </si>
  <si>
    <t>W zestawieniu nie są ujęte wydatki zrealizowane w ramach § 2850 (wpłaty gmin na rzecz izb rolniczych w wysokości 2 % uzyskanych wpływów z podatku rolnego) oraz §2910 (zwrot dotacji wykorzystanych niezgodnie z przeznaczeniem lub pobranych w nadmiernej wysokości).</t>
  </si>
  <si>
    <t>wg Rb (bieżące bez §285 i 291)</t>
  </si>
  <si>
    <t>4. Wpłaty na fundusz celowy (§3000 - wpłaty jednostek na fundusz celowy)</t>
  </si>
  <si>
    <t>Zadania z zakresu bezpieczeństwa publicznego</t>
  </si>
  <si>
    <t>§3000</t>
  </si>
  <si>
    <t>ZOZ Szpital Miejski</t>
  </si>
  <si>
    <t>Samodzielny Publiczny Zakład Opieki Zdrowotnej Szpital Miejski im. Jana Garduły</t>
  </si>
  <si>
    <t xml:space="preserve">   - dotacje (bez  § 2850 i §2910 )</t>
  </si>
  <si>
    <t>Podatek dochodowy od osób fizycznych</t>
  </si>
  <si>
    <t>Środki na dofinansowanie własnych zadań bieżących gmin (związków gmin), powiatów (związków powiatów), samorządów województw, pozyskane z innych źródeł</t>
  </si>
  <si>
    <t>Wpływy z opłat za wydawanie zezwoleń na sprzedaż alkoholu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</si>
  <si>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</si>
  <si>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</si>
  <si>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</si>
  <si>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</si>
  <si>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</si>
  <si>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</si>
  <si>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</si>
  <si>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</si>
  <si>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</si>
  <si>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</si>
  <si>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</si>
  <si>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</si>
  <si>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</si>
  <si>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</si>
  <si>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</si>
  <si>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</si>
  <si>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</si>
  <si>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</si>
  <si>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</si>
  <si>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</si>
  <si>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</si>
  <si>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</si>
  <si>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</si>
  <si>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</si>
  <si>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</si>
  <si>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DOCHODY I WYDATKI ZWIĄZANE Z REALIZACJĄ ZADAŃ WYKONYWANYCH NA PODSTAWIE POROZUMIEŃ (UMÓW) 
MIĘDZY JEDNOSTKAMI SAMORZĄDU TERYTORIALNEGO</t>
  </si>
  <si>
    <t>Lp.</t>
  </si>
  <si>
    <t>I</t>
  </si>
  <si>
    <t>Dochody ogółem</t>
  </si>
  <si>
    <t>1.</t>
  </si>
  <si>
    <t>2.</t>
  </si>
  <si>
    <t>II</t>
  </si>
  <si>
    <t>Wydatki ogółem</t>
  </si>
  <si>
    <t>III</t>
  </si>
  <si>
    <t>X</t>
  </si>
  <si>
    <t>Dotacje z budżetu Miasta</t>
  </si>
  <si>
    <t>Komenda Miejska Państwowej Straży Pożarnej</t>
  </si>
  <si>
    <t>Usługi remontowe</t>
  </si>
  <si>
    <t>Inwestycje</t>
  </si>
  <si>
    <t>Stan środków obrotowych na koniec okresu sprawozdawczego</t>
  </si>
  <si>
    <t>Stan środków obrotowych na początek okresu sprawozdawczego</t>
  </si>
  <si>
    <t>Składki  na ubezpieczenie zdrowotne opłacane za osoby pobierające niektóre świadczenia z pomocy społecznej, niektóre świadczenia rodzinne oraz za osoby uczestniczące w zajęciach w centrum integracji społecznej</t>
  </si>
  <si>
    <t xml:space="preserve"> SAMODZIELNY PUBLICZNY ZAKŁAD OPIEKI ZDROWOTNEJ SZPITAL MIEJSKI
 IM. JANA GARDUŁY</t>
  </si>
  <si>
    <t>IV</t>
  </si>
  <si>
    <t>z tego:</t>
  </si>
  <si>
    <t>Wydatki bieżące</t>
  </si>
  <si>
    <t>Transport i łączność</t>
  </si>
  <si>
    <t>Oświata i wychowanie</t>
  </si>
  <si>
    <t>Ochrona zdrowia</t>
  </si>
  <si>
    <t>Gospodarka komunalna i ochrona środowiska</t>
  </si>
  <si>
    <t>Kultura i ochrona dziedzictwa narodowego</t>
  </si>
  <si>
    <t>Kultura fizyczna i sport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</si>
  <si>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</si>
  <si>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</si>
  <si>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</si>
  <si>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</si>
  <si>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</si>
  <si>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</si>
  <si>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</si>
  <si>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</si>
  <si>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</si>
  <si>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</si>
  <si>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</si>
  <si>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</si>
  <si>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</si>
  <si>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>Edukacyjna opieka wychowawcza</t>
  </si>
  <si>
    <t>Ogółem dochody i wydatki</t>
  </si>
  <si>
    <t>Ośrodki wparcia</t>
  </si>
  <si>
    <t>550</t>
  </si>
  <si>
    <t>Hotele i restauracje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</si>
  <si>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</si>
  <si>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</si>
  <si>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</si>
  <si>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z funduszy celowych</t>
  </si>
  <si>
    <t>środki pozyskane z innych źródeł i od innych jst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</si>
  <si>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</si>
  <si>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</si>
  <si>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</si>
  <si>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</si>
  <si>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</si>
  <si>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</si>
  <si>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</si>
  <si>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</si>
  <si>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wg zadań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</si>
  <si>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</si>
  <si>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</si>
  <si>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</si>
  <si>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</si>
  <si>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</si>
  <si>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</si>
  <si>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</si>
  <si>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2007-2008</t>
  </si>
  <si>
    <t>Zadania w zakresie upowszechniania turystyki</t>
  </si>
  <si>
    <t>75416</t>
  </si>
  <si>
    <t>Straż Miejska</t>
  </si>
  <si>
    <t>400</t>
  </si>
  <si>
    <t>13.1</t>
  </si>
  <si>
    <t>13.2</t>
  </si>
  <si>
    <t>13.3</t>
  </si>
  <si>
    <t>11.1</t>
  </si>
  <si>
    <t>15.1</t>
  </si>
  <si>
    <t>15.2</t>
  </si>
  <si>
    <t>usługi dezynfekcyjne</t>
  </si>
  <si>
    <t>dotacje z budżetu Miasta</t>
  </si>
  <si>
    <t>MIEJSKA BIBLIOTEKA PUBLICZNA</t>
  </si>
  <si>
    <t>wydaliśmy dotację która nie wpłynęła!!!</t>
  </si>
  <si>
    <t>Dotacje celowe otrzymane z budżetu państwa na realizację inwestycji i zakupów inwestycyjnych własnych gmin (związków gmin)</t>
  </si>
  <si>
    <t>Tabela nr 5</t>
  </si>
  <si>
    <t>75615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</si>
  <si>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</si>
  <si>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</si>
  <si>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</si>
  <si>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</si>
  <si>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</si>
  <si>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</si>
  <si>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</si>
  <si>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</si>
  <si>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</si>
  <si>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</si>
  <si>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</si>
  <si>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</si>
  <si>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</si>
  <si>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</si>
  <si>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</si>
  <si>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</si>
  <si>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</si>
  <si>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</si>
  <si>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</si>
  <si>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</si>
  <si>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</si>
  <si>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</si>
  <si>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</si>
  <si>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</si>
  <si>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</si>
  <si>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</si>
  <si>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</si>
  <si>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</si>
  <si>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 xml:space="preserve">    - od działalności gospodarczej osób fizycznych, 
      opłacany w formie karty podatkowej</t>
  </si>
  <si>
    <t>Wg Rb 28S</t>
  </si>
  <si>
    <t>§282</t>
  </si>
  <si>
    <t>§283</t>
  </si>
  <si>
    <t>§281 i §282</t>
  </si>
  <si>
    <t>1. Dotacje przedmiotowe (§ 2650 - zakłady budżetowe)</t>
  </si>
  <si>
    <t>§232</t>
  </si>
  <si>
    <t>§258</t>
  </si>
  <si>
    <t>§259</t>
  </si>
  <si>
    <t>wg Rb (majątkowe)</t>
  </si>
  <si>
    <t>Różnica bieżące</t>
  </si>
  <si>
    <t>Różnica majątkowe</t>
  </si>
  <si>
    <t>Warsztaty Terapii Zajęciowej</t>
  </si>
  <si>
    <t>§265</t>
  </si>
  <si>
    <t>§254</t>
  </si>
  <si>
    <t>§248</t>
  </si>
  <si>
    <t>§256</t>
  </si>
  <si>
    <t>§621</t>
  </si>
  <si>
    <t>§622</t>
  </si>
  <si>
    <t>wpływy z przekształcenia i sprzedaży nieruchomości i składników majątkowych</t>
  </si>
  <si>
    <t>DOTACJE INWESTYCYJNE</t>
  </si>
  <si>
    <t>Inne wydatki osobowe</t>
  </si>
  <si>
    <t>WYDATKI  KTÓRE NIE WYGASŁY Z UPŁYWEM ROKU BUDŻETOWEGO 2007</t>
  </si>
  <si>
    <t>Przebudowa drogi krajowej nr 3 - ul. Wolińska</t>
  </si>
  <si>
    <t>30.06.2008</t>
  </si>
  <si>
    <t>31.12.2008</t>
  </si>
  <si>
    <t>Budowa stałego połączenia (tunel) pomiędzy wyspami Uznam i Wolin</t>
  </si>
  <si>
    <t>Budowa ulic Cieszkowskiego i Orzeszkowej</t>
  </si>
  <si>
    <t>Remont Komisariatu Policji Warszów</t>
  </si>
  <si>
    <t>31.01.2008</t>
  </si>
  <si>
    <t>Zakup symulatora nawigacyjnego dla Zespołu Szkół Morskich</t>
  </si>
  <si>
    <t>31.03.2008</t>
  </si>
  <si>
    <t xml:space="preserve">Przebudowa budynku pralni szpitalnej na potrzeby ośrodka uzależnień przy ul. Mieszka I </t>
  </si>
  <si>
    <t>3. Dotacje celowe na zadania własne miasta realizowane przez podmioty należące i nienależące do sektora finansów publicznych (§2320 - inne jst, §2720-nie zaliczane do fp, §2810 - fundacje, § 2820 - stowarzyszenia, §2830 - pozostałe nie zaliczane do fp)</t>
  </si>
  <si>
    <t>Prace remontowe i konserwatorskie przy obiektach zabytkowych</t>
  </si>
  <si>
    <t>5. Dotacje inwestycyjne (§6210 - zakłady budżetowe, §6220 - inne jednostki sektora fp, §6230 - inne jednostki nie zaliczane do sektora fp ) oraz wpłaty na fundusz celowy (§6170)</t>
  </si>
  <si>
    <t>§617</t>
  </si>
  <si>
    <t>Zakupy inwestycyjne dla Policji</t>
  </si>
  <si>
    <t>Remont pomieszczeń przy ul. Hołdu Pruskiego w celu zwiększenia dostępności pomocy osobom uzależnionym i współuzależnionym</t>
  </si>
  <si>
    <t>10.01.2008 r.</t>
  </si>
  <si>
    <t>31.01.2008 r.</t>
  </si>
  <si>
    <t>XXXII/269/2008</t>
  </si>
  <si>
    <t>95/2008</t>
  </si>
  <si>
    <t>13.02.2008 r.</t>
  </si>
  <si>
    <t>132/2008</t>
  </si>
  <si>
    <t>15.02.2008 r.</t>
  </si>
  <si>
    <t>135/2008</t>
  </si>
  <si>
    <t>28.02.2008 r.</t>
  </si>
  <si>
    <t>XXXIII/278/2008</t>
  </si>
  <si>
    <t>Współfinansowanie programów i projektów realizowanych ze środków z funduszy strukturalnych, Funduszu Spójności, Europejskiego Funduszu Rybackiego oraz z funduszy unijnych finansujących Wspólną Politykę Rolną</t>
  </si>
  <si>
    <t>Środki na utrzymanie rzecznych przepraw promowych oraz na remonty, utrzymanie, ochronę i zarządzanie drogami krajowymi i wojewódzkimi w granicach miast na prawach powiatu</t>
  </si>
  <si>
    <t>Przedłużenie i przebudowa promenady (Odcinek od ul. Trentowskiego do ul. B. Chrobrego)</t>
  </si>
  <si>
    <r>
      <t xml:space="preserve">Budowa ulic na Osiedlu Rycerska  </t>
    </r>
    <r>
      <rPr>
        <i/>
        <sz val="10"/>
        <rFont val="Times New Roman"/>
        <family val="1"/>
      </rPr>
      <t>(przebudowa ulicy Turniejowej i Zamkowej)</t>
    </r>
    <r>
      <rPr>
        <sz val="10"/>
        <rFont val="Times New Roman"/>
        <family val="1"/>
      </rPr>
      <t xml:space="preserve">
z tego:</t>
    </r>
  </si>
  <si>
    <t xml:space="preserve">Placówka opiekuńczo - wychowawcza o charakterze interwencyjnym (Adaptacja pomieszczeń w budynku  SOSW przy ul. Piastowskiej 55)                </t>
  </si>
  <si>
    <t>Rewitalizacja Śródmieścia  - etap I - ulica Hołdu Pruskiego</t>
  </si>
  <si>
    <t>852/
853</t>
  </si>
  <si>
    <t>85219/
85395</t>
  </si>
  <si>
    <t>2008-2010</t>
  </si>
  <si>
    <t>29.02.2008 r.</t>
  </si>
  <si>
    <t>164/2008</t>
  </si>
  <si>
    <t>165/2008</t>
  </si>
  <si>
    <t>31.03.2008 r.</t>
  </si>
  <si>
    <t>240/2008</t>
  </si>
  <si>
    <t>03.04.2008 r.</t>
  </si>
  <si>
    <t>254/2008</t>
  </si>
  <si>
    <t xml:space="preserve">23.04.2008 r. </t>
  </si>
  <si>
    <t>XXXVII/311/2008</t>
  </si>
  <si>
    <t>30.04.2008 r.</t>
  </si>
  <si>
    <t>322/2008</t>
  </si>
  <si>
    <t>323/2008</t>
  </si>
  <si>
    <t>29.05.2008 r.</t>
  </si>
  <si>
    <t>380/2008</t>
  </si>
  <si>
    <t>381/2008</t>
  </si>
  <si>
    <t>12.06.2008 r.</t>
  </si>
  <si>
    <t>427/2008</t>
  </si>
  <si>
    <t>26.06.2008 r.</t>
  </si>
  <si>
    <t>o</t>
  </si>
  <si>
    <t>85404</t>
  </si>
  <si>
    <t>Wczesne wspomaganie rozwoju dziecka</t>
  </si>
  <si>
    <t>PRZENIESIENIA</t>
  </si>
  <si>
    <t>ZMIANY DOKONANE W DOCHODACH I WYDATKACH</t>
  </si>
  <si>
    <t>ZACIENIONE  SĄ PRZENIESIENIA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</si>
  <si>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</si>
  <si>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>§ 963</t>
  </si>
  <si>
    <t>a)</t>
  </si>
  <si>
    <t>b)</t>
  </si>
  <si>
    <t>Spłaty pożyczek otrzymanych na finansowanie zadań realizowanych z udziałem środków pochodzących z budżetu Unii Europejskiej</t>
  </si>
  <si>
    <t>4. Dochody uzyskiwane przez jednostki budżetowe 
    oraz wpłaty od zakładów budżetowych i gospodarstw
    pomocniczych</t>
  </si>
  <si>
    <t>3. Udziały w podatkach stanowiących dochód budżetu 
    państwa</t>
  </si>
  <si>
    <t>7. Odsetki od nieterminowego regulowania należności, 
    stanowiących dochody Miasta</t>
  </si>
  <si>
    <t>47.</t>
  </si>
  <si>
    <t>Oświetlenie ulicy Grudziądzkiej (odcinek od ul. Śląskiej do ul. Małopolskiej)</t>
  </si>
  <si>
    <t xml:space="preserve">  c) na zadania realizowane na podstawie porozumień 
      z organami administracji rządowej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</si>
  <si>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</si>
  <si>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</si>
  <si>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</si>
  <si>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</si>
  <si>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</si>
  <si>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</si>
  <si>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</si>
  <si>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</si>
  <si>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</si>
  <si>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</si>
  <si>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</si>
  <si>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Wpływy z opłat za zarząd, użytkowanie i użytkowanie wieczyste nieruchomości</t>
  </si>
  <si>
    <t>Podatek od działalności gospodarczej osób fizycznych, opłacany w formie karty podatkowej</t>
  </si>
  <si>
    <t>Udziały powiatów w podatkach stanowiących dochód budżetu państwa</t>
  </si>
  <si>
    <t>01005</t>
  </si>
  <si>
    <t>2110</t>
  </si>
  <si>
    <t>Prace geodezyjno-urządzeniowe na potrzeby rolnictwa</t>
  </si>
  <si>
    <t>Wpływy ze sprzedaży składników majątkowych</t>
  </si>
  <si>
    <t>0870</t>
  </si>
  <si>
    <t>Różnica (5-8)</t>
  </si>
  <si>
    <t>wynagrodzenia (zad. własne)</t>
  </si>
  <si>
    <t>wynagrodzenia (zad. zlecone)</t>
  </si>
  <si>
    <t>wynagrodzenia (zad. z porozumień)</t>
  </si>
  <si>
    <t>dotacje bieżące z budżetu (z zad.własnych)</t>
  </si>
  <si>
    <t>dotacje bieżące z budżetu (z zad. zleconych)</t>
  </si>
  <si>
    <t>Razem wydatki własne</t>
  </si>
  <si>
    <t>Razem wydatki zlecone</t>
  </si>
  <si>
    <t>Razem wydatki z porozumień</t>
  </si>
  <si>
    <t>ŁĄCZNIE</t>
  </si>
  <si>
    <t>Sprawdzenie (różnica wiersz 455 - wiersz 468)</t>
  </si>
  <si>
    <t>Razem wynagrodzenia</t>
  </si>
  <si>
    <t>Razem majątkowe</t>
  </si>
  <si>
    <t>Razem dotacje</t>
  </si>
  <si>
    <t xml:space="preserve">    - grzywny, mandaty i inne kary pieniężne</t>
  </si>
  <si>
    <t>Finansowanie programów ze środków bezzwrotnych pochodzących z Unii Europejskiej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</si>
  <si>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</si>
  <si>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</si>
  <si>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</si>
  <si>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</si>
  <si>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</si>
  <si>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</si>
  <si>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</si>
  <si>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</si>
  <si>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</si>
  <si>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</si>
  <si>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</si>
  <si>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</si>
  <si>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</si>
  <si>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</si>
  <si>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</si>
  <si>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</si>
  <si>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</si>
  <si>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</si>
  <si>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</si>
  <si>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</si>
  <si>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</si>
  <si>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</si>
  <si>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</si>
  <si>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</si>
  <si>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</si>
  <si>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</si>
  <si>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</si>
  <si>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0340</t>
  </si>
  <si>
    <t>0500</t>
  </si>
  <si>
    <t>0360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</si>
</sst>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0.0"/>
    <numFmt numFmtId="170" formatCode="0.0000"/>
    <numFmt numFmtId="171" formatCode="0.000"/>
    <numFmt numFmtId="172" formatCode="#,##0.0\ _z_ł"/>
    <numFmt numFmtId="173" formatCode="0.00000"/>
    <numFmt numFmtId="174" formatCode="#,##0.0"/>
    <numFmt numFmtId="175" formatCode="_-* #,##0\ _z_ł_-;\-* #,##0\ _z_ł_-;_-* &quot;-&quot;??\ _z_ł_-;_-@_-"/>
    <numFmt numFmtId="176" formatCode="#,##0.00_ ;\-#,##0.00\ "/>
    <numFmt numFmtId="177" formatCode="#,##0.00\ &quot;zł&quot;"/>
    <numFmt numFmtId="178" formatCode="#,##0.000"/>
    <numFmt numFmtId="179" formatCode="#,##0.0000"/>
    <numFmt numFmtId="180" formatCode="#,##0.000_ ;\-#,##0.000\ "/>
    <numFmt numFmtId="181" formatCode="#,##0.0_ ;\-#,##0.0\ "/>
    <numFmt numFmtId="182" formatCode="#,##0.0000_ ;\-#,##0.000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_-* #,##0.0\ _z_ł_-;\-* #,##0.0\ _z_ł_-;_-* &quot;-&quot;??\ _z_ł_-;_-@_-"/>
    <numFmt numFmtId="187" formatCode="_-* #,##0.000\ &quot;zł&quot;_-;\-* #,##0.000\ &quot;zł&quot;_-;_-* &quot;-&quot;??\ &quot;zł&quot;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0\ _z_ł_-;\-* #,##0.000\ _z_ł_-;_-* &quot;-&quot;???\ _z_ł_-;_-@_-"/>
    <numFmt numFmtId="195" formatCode="_-* #,##0.0\ _z_ł_-;\-* #,##0.0\ _z_ł_-;_-* &quot;-&quot;?\ _z_ł_-;_-@_-"/>
    <numFmt numFmtId="196" formatCode="0.000000"/>
    <numFmt numFmtId="197" formatCode="0.00000000"/>
    <numFmt numFmtId="198" formatCode="0.0000000"/>
    <numFmt numFmtId="199" formatCode="0.000000000"/>
    <numFmt numFmtId="200" formatCode="0.0000000000"/>
    <numFmt numFmtId="201" formatCode="0.00000000000"/>
    <numFmt numFmtId="202" formatCode="0.000000000000"/>
    <numFmt numFmtId="203" formatCode="#,##0.00\ _z_ł"/>
    <numFmt numFmtId="204" formatCode="0.0%"/>
    <numFmt numFmtId="205" formatCode="_-* #,##0\ _z_ł_-;\-* #,##0\ _z_ł_-;_-* \-??\ _z_ł_-;_-@_-"/>
    <numFmt numFmtId="206" formatCode="_-* #,##0.00\ _z_ł_-;\-* #,##0.00\ _z_ł_-;_-* \-??\ _z_ł_-;_-@_-"/>
  </numFmts>
  <fonts count="54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10"/>
      <color indexed="18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i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i/>
      <sz val="9"/>
      <color indexed="18"/>
      <name val="Times New Roman"/>
      <family val="1"/>
    </font>
    <font>
      <i/>
      <sz val="8"/>
      <color indexed="18"/>
      <name val="Times New Roman"/>
      <family val="1"/>
    </font>
    <font>
      <sz val="9"/>
      <color indexed="18"/>
      <name val="Times New Roman"/>
      <family val="1"/>
    </font>
    <font>
      <b/>
      <i/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8"/>
      <color indexed="17"/>
      <name val="Times New Roman"/>
      <family val="1"/>
    </font>
    <font>
      <sz val="9"/>
      <color indexed="17"/>
      <name val="Times New Roman"/>
      <family val="1"/>
    </font>
    <font>
      <b/>
      <i/>
      <sz val="8"/>
      <color indexed="17"/>
      <name val="Times New Roman"/>
      <family val="1"/>
    </font>
    <font>
      <b/>
      <sz val="9"/>
      <color indexed="18"/>
      <name val="Times New Roman"/>
      <family val="1"/>
    </font>
    <font>
      <b/>
      <i/>
      <sz val="10"/>
      <color indexed="18"/>
      <name val="Times New Roman"/>
      <family val="1"/>
    </font>
    <font>
      <b/>
      <i/>
      <sz val="9"/>
      <color indexed="18"/>
      <name val="Times New Roman"/>
      <family val="1"/>
    </font>
    <font>
      <b/>
      <i/>
      <sz val="10"/>
      <color indexed="17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62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57"/>
      <name val="Times New Roman"/>
      <family val="1"/>
    </font>
    <font>
      <i/>
      <sz val="8"/>
      <color indexed="57"/>
      <name val="Times New Roman"/>
      <family val="1"/>
    </font>
    <font>
      <b/>
      <i/>
      <sz val="8"/>
      <color indexed="5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17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10" fillId="0" borderId="0" xfId="19" applyFont="1" applyFill="1">
      <alignment/>
      <protection/>
    </xf>
    <xf numFmtId="4" fontId="10" fillId="0" borderId="0" xfId="19" applyNumberFormat="1" applyFont="1">
      <alignment/>
      <protection/>
    </xf>
    <xf numFmtId="0" fontId="11" fillId="0" borderId="0" xfId="0" applyFont="1" applyAlignment="1">
      <alignment horizontal="right" vertical="center"/>
    </xf>
    <xf numFmtId="0" fontId="10" fillId="0" borderId="0" xfId="19" applyFont="1" applyAlignment="1">
      <alignment horizontal="right"/>
      <protection/>
    </xf>
    <xf numFmtId="4" fontId="10" fillId="0" borderId="0" xfId="19" applyNumberFormat="1" applyFont="1" applyAlignment="1">
      <alignment horizontal="right"/>
      <protection/>
    </xf>
    <xf numFmtId="0" fontId="10" fillId="0" borderId="1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vertical="center" wrapText="1"/>
      <protection/>
    </xf>
    <xf numFmtId="0" fontId="10" fillId="0" borderId="1" xfId="19" applyFont="1" applyFill="1" applyBorder="1" applyAlignment="1">
      <alignment horizontal="center" vertical="center"/>
      <protection/>
    </xf>
    <xf numFmtId="0" fontId="10" fillId="0" borderId="0" xfId="19" applyFont="1" applyAlignment="1">
      <alignment vertical="center"/>
      <protection/>
    </xf>
    <xf numFmtId="0" fontId="11" fillId="0" borderId="0" xfId="22" applyFont="1" applyAlignment="1">
      <alignment horizontal="center" vertical="center" wrapText="1"/>
      <protection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2" applyFont="1" applyAlignment="1">
      <alignment vertical="center" wrapText="1"/>
      <protection/>
    </xf>
    <xf numFmtId="0" fontId="11" fillId="0" borderId="0" xfId="22" applyFont="1" applyAlignment="1">
      <alignment vertical="center"/>
      <protection/>
    </xf>
    <xf numFmtId="0" fontId="10" fillId="0" borderId="2" xfId="22" applyFont="1" applyBorder="1" applyAlignment="1">
      <alignment horizontal="center" vertical="center"/>
      <protection/>
    </xf>
    <xf numFmtId="49" fontId="10" fillId="0" borderId="1" xfId="22" applyNumberFormat="1" applyFont="1" applyBorder="1" applyAlignment="1">
      <alignment horizontal="center" vertical="center"/>
      <protection/>
    </xf>
    <xf numFmtId="4" fontId="10" fillId="0" borderId="1" xfId="22" applyNumberFormat="1" applyFont="1" applyBorder="1" applyAlignment="1">
      <alignment vertical="center"/>
      <protection/>
    </xf>
    <xf numFmtId="4" fontId="10" fillId="0" borderId="3" xfId="22" applyNumberFormat="1" applyFont="1" applyBorder="1" applyAlignment="1">
      <alignment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49" fontId="10" fillId="2" borderId="1" xfId="22" applyNumberFormat="1" applyFont="1" applyFill="1" applyBorder="1" applyAlignment="1">
      <alignment horizontal="center" vertical="center"/>
      <protection/>
    </xf>
    <xf numFmtId="4" fontId="10" fillId="2" borderId="1" xfId="22" applyNumberFormat="1" applyFont="1" applyFill="1" applyBorder="1" applyAlignment="1">
      <alignment vertical="center"/>
      <protection/>
    </xf>
    <xf numFmtId="4" fontId="10" fillId="2" borderId="3" xfId="22" applyNumberFormat="1" applyFont="1" applyFill="1" applyBorder="1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10" fillId="2" borderId="4" xfId="22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9" fontId="11" fillId="0" borderId="9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10" fillId="0" borderId="9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49" fontId="13" fillId="0" borderId="9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9" fontId="1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49" fontId="1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169" fontId="13" fillId="0" borderId="14" xfId="0" applyNumberFormat="1" applyFont="1" applyFill="1" applyBorder="1" applyAlignment="1">
      <alignment horizontal="right" vertical="top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49" fontId="11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vertical="top"/>
    </xf>
    <xf numFmtId="49" fontId="11" fillId="0" borderId="9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top"/>
    </xf>
    <xf numFmtId="49" fontId="13" fillId="0" borderId="9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vertical="top"/>
    </xf>
    <xf numFmtId="49" fontId="13" fillId="0" borderId="16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vertical="top"/>
    </xf>
    <xf numFmtId="49" fontId="11" fillId="0" borderId="9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49" fontId="13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/>
    </xf>
    <xf numFmtId="49" fontId="10" fillId="0" borderId="13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10" fillId="0" borderId="16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 wrapText="1"/>
    </xf>
    <xf numFmtId="49" fontId="13" fillId="0" borderId="18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3" fillId="0" borderId="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0" fillId="0" borderId="16" xfId="0" applyNumberFormat="1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10" fillId="0" borderId="15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vertical="top" wrapText="1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4" fontId="13" fillId="0" borderId="15" xfId="0" applyNumberFormat="1" applyFont="1" applyFill="1" applyBorder="1" applyAlignment="1">
      <alignment vertical="center"/>
    </xf>
    <xf numFmtId="169" fontId="13" fillId="0" borderId="15" xfId="0" applyNumberFormat="1" applyFont="1" applyFill="1" applyBorder="1" applyAlignment="1">
      <alignment horizontal="right" vertical="center"/>
    </xf>
    <xf numFmtId="49" fontId="13" fillId="0" borderId="16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right" vertical="top"/>
    </xf>
    <xf numFmtId="49" fontId="13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vertical="top" wrapText="1"/>
    </xf>
    <xf numFmtId="0" fontId="11" fillId="0" borderId="0" xfId="0" applyFont="1" applyFill="1" applyAlignment="1">
      <alignment horizontal="center" vertical="top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169" fontId="10" fillId="0" borderId="0" xfId="0" applyNumberFormat="1" applyFont="1" applyAlignment="1">
      <alignment horizontal="right" vertical="top"/>
    </xf>
    <xf numFmtId="49" fontId="1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4" fontId="13" fillId="0" borderId="0" xfId="0" applyNumberFormat="1" applyFont="1" applyAlignment="1">
      <alignment vertical="top"/>
    </xf>
    <xf numFmtId="169" fontId="13" fillId="0" borderId="0" xfId="0" applyNumberFormat="1" applyFont="1" applyAlignment="1">
      <alignment horizontal="right" vertical="top"/>
    </xf>
    <xf numFmtId="3" fontId="10" fillId="0" borderId="0" xfId="0" applyNumberFormat="1" applyFont="1" applyBorder="1" applyAlignment="1">
      <alignment vertical="top"/>
    </xf>
    <xf numFmtId="165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/>
    </xf>
    <xf numFmtId="49" fontId="10" fillId="0" borderId="9" xfId="0" applyNumberFormat="1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13" fillId="0" borderId="9" xfId="0" applyNumberFormat="1" applyFont="1" applyBorder="1" applyAlignment="1" applyProtection="1">
      <alignment/>
      <protection hidden="1"/>
    </xf>
    <xf numFmtId="49" fontId="13" fillId="0" borderId="9" xfId="0" applyNumberFormat="1" applyFont="1" applyBorder="1" applyAlignment="1" applyProtection="1">
      <alignment wrapText="1"/>
      <protection hidden="1"/>
    </xf>
    <xf numFmtId="49" fontId="10" fillId="0" borderId="9" xfId="0" applyNumberFormat="1" applyFont="1" applyBorder="1" applyAlignment="1" applyProtection="1">
      <alignment wrapText="1"/>
      <protection hidden="1"/>
    </xf>
    <xf numFmtId="49" fontId="10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10" fillId="0" borderId="9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Border="1" applyAlignment="1" applyProtection="1">
      <alignment horizontal="center"/>
      <protection hidden="1"/>
    </xf>
    <xf numFmtId="4" fontId="10" fillId="0" borderId="15" xfId="0" applyNumberFormat="1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49" fontId="11" fillId="0" borderId="9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9" fontId="10" fillId="0" borderId="16" xfId="0" applyNumberFormat="1" applyFont="1" applyBorder="1" applyAlignment="1" applyProtection="1">
      <alignment/>
      <protection hidden="1"/>
    </xf>
    <xf numFmtId="49" fontId="10" fillId="0" borderId="16" xfId="0" applyNumberFormat="1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13" fillId="0" borderId="16" xfId="0" applyNumberFormat="1" applyFont="1" applyBorder="1" applyAlignment="1" applyProtection="1">
      <alignment/>
      <protection hidden="1"/>
    </xf>
    <xf numFmtId="49" fontId="11" fillId="0" borderId="16" xfId="0" applyNumberFormat="1" applyFont="1" applyBorder="1" applyAlignment="1" applyProtection="1">
      <alignment/>
      <protection hidden="1"/>
    </xf>
    <xf numFmtId="49" fontId="10" fillId="0" borderId="16" xfId="0" applyNumberFormat="1" applyFont="1" applyBorder="1" applyAlignment="1" applyProtection="1">
      <alignment wrapText="1"/>
      <protection hidden="1"/>
    </xf>
    <xf numFmtId="49" fontId="13" fillId="0" borderId="16" xfId="0" applyNumberFormat="1" applyFont="1" applyBorder="1" applyAlignment="1" applyProtection="1">
      <alignment/>
      <protection hidden="1"/>
    </xf>
    <xf numFmtId="49" fontId="11" fillId="0" borderId="16" xfId="0" applyNumberFormat="1" applyFont="1" applyBorder="1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/>
      <protection hidden="1"/>
    </xf>
    <xf numFmtId="4" fontId="10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11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174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169" fontId="10" fillId="0" borderId="0" xfId="0" applyNumberFormat="1" applyFont="1" applyFill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1" fillId="3" borderId="24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0" fillId="0" borderId="10" xfId="0" applyNumberFormat="1" applyFont="1" applyBorder="1" applyAlignment="1">
      <alignment vertical="center" wrapText="1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49" fontId="20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vertical="center" wrapText="1"/>
    </xf>
    <xf numFmtId="3" fontId="20" fillId="0" borderId="0" xfId="0" applyNumberFormat="1" applyFont="1" applyAlignment="1">
      <alignment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49" fontId="17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 wrapText="1"/>
    </xf>
    <xf numFmtId="49" fontId="23" fillId="0" borderId="13" xfId="0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vertical="center" wrapText="1"/>
    </xf>
    <xf numFmtId="0" fontId="23" fillId="5" borderId="0" xfId="0" applyFont="1" applyFill="1" applyAlignment="1">
      <alignment vertical="center"/>
    </xf>
    <xf numFmtId="49" fontId="11" fillId="3" borderId="26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49" fontId="22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10" fillId="0" borderId="27" xfId="0" applyNumberFormat="1" applyFont="1" applyBorder="1" applyAlignment="1">
      <alignment vertical="center"/>
    </xf>
    <xf numFmtId="4" fontId="10" fillId="5" borderId="28" xfId="0" applyNumberFormat="1" applyFont="1" applyFill="1" applyBorder="1" applyAlignment="1">
      <alignment vertical="center"/>
    </xf>
    <xf numFmtId="39" fontId="10" fillId="0" borderId="0" xfId="0" applyNumberFormat="1" applyFont="1" applyAlignment="1">
      <alignment vertical="center"/>
    </xf>
    <xf numFmtId="39" fontId="10" fillId="0" borderId="27" xfId="0" applyNumberFormat="1" applyFont="1" applyBorder="1" applyAlignment="1">
      <alignment vertical="center"/>
    </xf>
    <xf numFmtId="39" fontId="10" fillId="0" borderId="28" xfId="0" applyNumberFormat="1" applyFont="1" applyBorder="1" applyAlignment="1">
      <alignment vertical="center"/>
    </xf>
    <xf numFmtId="164" fontId="10" fillId="0" borderId="15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169" fontId="13" fillId="0" borderId="14" xfId="0" applyNumberFormat="1" applyFont="1" applyFill="1" applyBorder="1" applyAlignment="1">
      <alignment horizontal="right" vertical="center"/>
    </xf>
    <xf numFmtId="4" fontId="10" fillId="6" borderId="0" xfId="0" applyNumberFormat="1" applyFont="1" applyFill="1" applyAlignment="1">
      <alignment/>
    </xf>
    <xf numFmtId="0" fontId="10" fillId="6" borderId="0" xfId="0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horizontal="left" vertical="top"/>
    </xf>
    <xf numFmtId="49" fontId="10" fillId="3" borderId="0" xfId="0" applyNumberFormat="1" applyFont="1" applyFill="1" applyBorder="1" applyAlignment="1">
      <alignment horizontal="left" vertical="top"/>
    </xf>
    <xf numFmtId="0" fontId="11" fillId="3" borderId="20" xfId="0" applyFont="1" applyFill="1" applyBorder="1" applyAlignment="1">
      <alignment horizontal="right" vertical="top"/>
    </xf>
    <xf numFmtId="0" fontId="11" fillId="3" borderId="21" xfId="0" applyFont="1" applyFill="1" applyBorder="1" applyAlignment="1">
      <alignment horizontal="left" vertical="top"/>
    </xf>
    <xf numFmtId="0" fontId="11" fillId="3" borderId="3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4" fillId="0" borderId="0" xfId="22" applyFont="1" applyAlignment="1">
      <alignment vertical="center"/>
      <protection/>
    </xf>
    <xf numFmtId="49" fontId="11" fillId="3" borderId="33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10" fillId="0" borderId="21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174" fontId="11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0" fontId="11" fillId="0" borderId="0" xfId="18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1" fillId="2" borderId="35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 wrapText="1"/>
    </xf>
    <xf numFmtId="0" fontId="10" fillId="0" borderId="0" xfId="18" applyFont="1" applyAlignment="1">
      <alignment vertical="center"/>
      <protection/>
    </xf>
    <xf numFmtId="0" fontId="10" fillId="0" borderId="0" xfId="18" applyFont="1" applyAlignment="1">
      <alignment horizontal="right" vertical="center"/>
      <protection/>
    </xf>
    <xf numFmtId="0" fontId="26" fillId="0" borderId="0" xfId="18" applyFont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0" fontId="10" fillId="0" borderId="9" xfId="18" applyFont="1" applyBorder="1" applyAlignment="1">
      <alignment horizontal="center" vertical="center"/>
      <protection/>
    </xf>
    <xf numFmtId="49" fontId="10" fillId="0" borderId="10" xfId="18" applyNumberFormat="1" applyFont="1" applyBorder="1" applyAlignment="1">
      <alignment horizontal="center" vertical="center"/>
      <protection/>
    </xf>
    <xf numFmtId="0" fontId="10" fillId="0" borderId="10" xfId="18" applyFont="1" applyBorder="1" applyAlignment="1">
      <alignment vertical="center"/>
      <protection/>
    </xf>
    <xf numFmtId="0" fontId="10" fillId="0" borderId="10" xfId="18" applyFont="1" applyBorder="1" applyAlignment="1">
      <alignment horizontal="center" vertical="center"/>
      <protection/>
    </xf>
    <xf numFmtId="0" fontId="10" fillId="0" borderId="10" xfId="18" applyFont="1" applyBorder="1" applyAlignment="1">
      <alignment vertical="center" wrapText="1"/>
      <protection/>
    </xf>
    <xf numFmtId="0" fontId="10" fillId="0" borderId="5" xfId="18" applyFont="1" applyBorder="1" applyAlignment="1">
      <alignment horizontal="center" vertical="center"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6" xfId="18" applyFont="1" applyBorder="1" applyAlignment="1">
      <alignment vertical="center"/>
      <protection/>
    </xf>
    <xf numFmtId="4" fontId="10" fillId="0" borderId="0" xfId="18" applyNumberFormat="1" applyFont="1" applyAlignment="1">
      <alignment vertical="center"/>
      <protection/>
    </xf>
    <xf numFmtId="0" fontId="11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/>
    </xf>
    <xf numFmtId="0" fontId="11" fillId="3" borderId="3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 wrapText="1"/>
    </xf>
    <xf numFmtId="0" fontId="11" fillId="3" borderId="29" xfId="18" applyFont="1" applyFill="1" applyBorder="1" applyAlignment="1">
      <alignment horizontal="center" vertical="center"/>
      <protection/>
    </xf>
    <xf numFmtId="0" fontId="11" fillId="3" borderId="30" xfId="18" applyFont="1" applyFill="1" applyBorder="1" applyAlignment="1">
      <alignment vertical="center"/>
      <protection/>
    </xf>
    <xf numFmtId="0" fontId="11" fillId="3" borderId="30" xfId="18" applyFont="1" applyFill="1" applyBorder="1" applyAlignment="1">
      <alignment vertical="center" wrapText="1"/>
      <protection/>
    </xf>
    <xf numFmtId="0" fontId="11" fillId="3" borderId="5" xfId="18" applyFont="1" applyFill="1" applyBorder="1" applyAlignment="1">
      <alignment horizontal="center" vertical="center"/>
      <protection/>
    </xf>
    <xf numFmtId="0" fontId="11" fillId="3" borderId="6" xfId="18" applyFont="1" applyFill="1" applyBorder="1" applyAlignment="1">
      <alignment vertical="center"/>
      <protection/>
    </xf>
    <xf numFmtId="0" fontId="11" fillId="3" borderId="16" xfId="18" applyFont="1" applyFill="1" applyBorder="1" applyAlignment="1">
      <alignment horizontal="center" vertical="center"/>
      <protection/>
    </xf>
    <xf numFmtId="0" fontId="11" fillId="3" borderId="10" xfId="18" applyFont="1" applyFill="1" applyBorder="1" applyAlignment="1">
      <alignment vertical="center"/>
      <protection/>
    </xf>
    <xf numFmtId="0" fontId="11" fillId="3" borderId="10" xfId="18" applyFont="1" applyFill="1" applyBorder="1" applyAlignment="1">
      <alignment vertical="center" wrapText="1"/>
      <protection/>
    </xf>
    <xf numFmtId="0" fontId="10" fillId="0" borderId="4" xfId="22" applyFont="1" applyFill="1" applyBorder="1" applyAlignment="1">
      <alignment horizontal="center" vertical="center"/>
      <protection/>
    </xf>
    <xf numFmtId="49" fontId="10" fillId="0" borderId="1" xfId="22" applyNumberFormat="1" applyFont="1" applyFill="1" applyBorder="1" applyAlignment="1">
      <alignment horizontal="center" vertical="center"/>
      <protection/>
    </xf>
    <xf numFmtId="4" fontId="10" fillId="0" borderId="1" xfId="22" applyNumberFormat="1" applyFont="1" applyFill="1" applyBorder="1" applyAlignment="1">
      <alignment vertical="center"/>
      <protection/>
    </xf>
    <xf numFmtId="4" fontId="10" fillId="0" borderId="3" xfId="22" applyNumberFormat="1" applyFont="1" applyFill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11" fillId="7" borderId="1" xfId="22" applyFont="1" applyFill="1" applyBorder="1" applyAlignment="1">
      <alignment horizontal="center" vertical="center"/>
      <protection/>
    </xf>
    <xf numFmtId="0" fontId="11" fillId="7" borderId="3" xfId="22" applyFont="1" applyFill="1" applyBorder="1" applyAlignment="1">
      <alignment horizontal="center" vertical="center"/>
      <protection/>
    </xf>
    <xf numFmtId="0" fontId="11" fillId="0" borderId="0" xfId="22" applyFont="1" applyAlignment="1">
      <alignment horizontal="right" vertical="center"/>
      <protection/>
    </xf>
    <xf numFmtId="0" fontId="10" fillId="0" borderId="19" xfId="0" applyFont="1" applyBorder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11" fillId="3" borderId="35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0" xfId="21" applyFont="1" applyAlignment="1">
      <alignment horizontal="center" vertical="center" wrapText="1"/>
      <protection/>
    </xf>
    <xf numFmtId="0" fontId="10" fillId="0" borderId="0" xfId="21" applyFont="1" applyAlignment="1">
      <alignment vertical="center" wrapText="1"/>
      <protection/>
    </xf>
    <xf numFmtId="43" fontId="10" fillId="0" borderId="0" xfId="15" applyFont="1" applyAlignment="1">
      <alignment vertical="center" wrapText="1"/>
    </xf>
    <xf numFmtId="0" fontId="11" fillId="0" borderId="0" xfId="21" applyFont="1" applyAlignment="1">
      <alignment horizontal="center" vertical="center" wrapText="1"/>
      <protection/>
    </xf>
    <xf numFmtId="43" fontId="10" fillId="0" borderId="0" xfId="15" applyFont="1" applyAlignment="1">
      <alignment horizontal="right" vertical="center" wrapText="1"/>
    </xf>
    <xf numFmtId="1" fontId="10" fillId="0" borderId="0" xfId="21" applyNumberFormat="1" applyFont="1" applyAlignment="1">
      <alignment horizontal="center" vertical="center" wrapText="1"/>
      <protection/>
    </xf>
    <xf numFmtId="0" fontId="11" fillId="0" borderId="0" xfId="21" applyFont="1" applyAlignment="1">
      <alignment vertical="center" wrapText="1"/>
      <protection/>
    </xf>
    <xf numFmtId="0" fontId="10" fillId="0" borderId="16" xfId="21" applyFont="1" applyBorder="1" applyAlignment="1">
      <alignment horizontal="center" vertical="center" wrapText="1"/>
      <protection/>
    </xf>
    <xf numFmtId="0" fontId="10" fillId="0" borderId="15" xfId="21" applyFont="1" applyBorder="1" applyAlignment="1">
      <alignment vertical="center" wrapText="1"/>
      <protection/>
    </xf>
    <xf numFmtId="0" fontId="13" fillId="0" borderId="15" xfId="21" applyFont="1" applyBorder="1" applyAlignment="1">
      <alignment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13" fillId="0" borderId="31" xfId="21" applyFont="1" applyBorder="1" applyAlignment="1">
      <alignment vertical="center" wrapText="1"/>
      <protection/>
    </xf>
    <xf numFmtId="0" fontId="10" fillId="0" borderId="31" xfId="21" applyFont="1" applyBorder="1" applyAlignment="1">
      <alignment vertical="center" wrapText="1"/>
      <protection/>
    </xf>
    <xf numFmtId="0" fontId="10" fillId="0" borderId="19" xfId="21" applyFont="1" applyBorder="1" applyAlignment="1">
      <alignment vertical="center" wrapText="1"/>
      <protection/>
    </xf>
    <xf numFmtId="0" fontId="11" fillId="3" borderId="29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vertical="center" wrapText="1"/>
      <protection/>
    </xf>
    <xf numFmtId="0" fontId="11" fillId="3" borderId="16" xfId="21" applyFont="1" applyFill="1" applyBorder="1" applyAlignment="1">
      <alignment horizontal="center" vertical="center" wrapText="1"/>
      <protection/>
    </xf>
    <xf numFmtId="0" fontId="11" fillId="3" borderId="15" xfId="21" applyFont="1" applyFill="1" applyBorder="1" applyAlignment="1">
      <alignment vertical="center" wrapText="1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8" xfId="21" applyFont="1" applyFill="1" applyBorder="1" applyAlignment="1">
      <alignment vertical="center" wrapText="1"/>
      <protection/>
    </xf>
    <xf numFmtId="0" fontId="11" fillId="3" borderId="4" xfId="21" applyFont="1" applyFill="1" applyBorder="1" applyAlignment="1">
      <alignment horizontal="center" vertical="center" wrapText="1"/>
      <protection/>
    </xf>
    <xf numFmtId="0" fontId="11" fillId="3" borderId="34" xfId="21" applyFont="1" applyFill="1" applyBorder="1" applyAlignment="1">
      <alignment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1" xfId="21" applyFont="1" applyFill="1" applyBorder="1" applyAlignment="1">
      <alignment vertical="center" wrapText="1"/>
      <protection/>
    </xf>
    <xf numFmtId="0" fontId="11" fillId="3" borderId="17" xfId="21" applyFont="1" applyFill="1" applyBorder="1" applyAlignment="1">
      <alignment horizontal="center" vertical="center" wrapText="1"/>
      <protection/>
    </xf>
    <xf numFmtId="0" fontId="11" fillId="3" borderId="18" xfId="21" applyFont="1" applyFill="1" applyBorder="1" applyAlignment="1">
      <alignment vertical="center" wrapText="1"/>
      <protection/>
    </xf>
    <xf numFmtId="0" fontId="14" fillId="7" borderId="2" xfId="22" applyFont="1" applyFill="1" applyBorder="1" applyAlignment="1">
      <alignment horizontal="center" vertical="center" wrapText="1"/>
      <protection/>
    </xf>
    <xf numFmtId="0" fontId="14" fillId="7" borderId="1" xfId="22" applyFont="1" applyFill="1" applyBorder="1" applyAlignment="1">
      <alignment horizontal="center" vertical="center" wrapText="1"/>
      <protection/>
    </xf>
    <xf numFmtId="0" fontId="14" fillId="7" borderId="1" xfId="22" applyFont="1" applyFill="1" applyBorder="1" applyAlignment="1">
      <alignment horizontal="center" vertical="center"/>
      <protection/>
    </xf>
    <xf numFmtId="0" fontId="14" fillId="7" borderId="3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1" fillId="2" borderId="1" xfId="19" applyFont="1" applyFill="1" applyBorder="1" applyAlignment="1">
      <alignment horizontal="center" vertical="center"/>
      <protection/>
    </xf>
    <xf numFmtId="0" fontId="11" fillId="2" borderId="1" xfId="19" applyFont="1" applyFill="1" applyBorder="1" applyAlignment="1">
      <alignment horizontal="center" vertical="center" wrapText="1"/>
      <protection/>
    </xf>
    <xf numFmtId="4" fontId="11" fillId="2" borderId="34" xfId="19" applyNumberFormat="1" applyFont="1" applyFill="1" applyBorder="1" applyAlignment="1">
      <alignment horizontal="center" vertical="center" wrapText="1"/>
      <protection/>
    </xf>
    <xf numFmtId="1" fontId="11" fillId="2" borderId="1" xfId="19" applyNumberFormat="1" applyFont="1" applyFill="1" applyBorder="1" applyAlignment="1">
      <alignment horizontal="center" vertical="center"/>
      <protection/>
    </xf>
    <xf numFmtId="1" fontId="11" fillId="2" borderId="1" xfId="19" applyNumberFormat="1" applyFont="1" applyFill="1" applyBorder="1" applyAlignment="1">
      <alignment horizontal="center" vertical="center" wrapText="1"/>
      <protection/>
    </xf>
    <xf numFmtId="1" fontId="11" fillId="2" borderId="34" xfId="19" applyNumberFormat="1" applyFont="1" applyFill="1" applyBorder="1" applyAlignment="1">
      <alignment horizontal="center" vertical="center" wrapText="1"/>
      <protection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11" fillId="2" borderId="39" xfId="18" applyFont="1" applyFill="1" applyBorder="1" applyAlignment="1">
      <alignment horizontal="center" vertical="center"/>
      <protection/>
    </xf>
    <xf numFmtId="0" fontId="11" fillId="2" borderId="40" xfId="18" applyFont="1" applyFill="1" applyBorder="1" applyAlignment="1">
      <alignment horizontal="center" vertical="center"/>
      <protection/>
    </xf>
    <xf numFmtId="0" fontId="11" fillId="2" borderId="40" xfId="18" applyFont="1" applyFill="1" applyBorder="1" applyAlignment="1">
      <alignment horizontal="center" vertical="center" wrapText="1"/>
      <protection/>
    </xf>
    <xf numFmtId="0" fontId="11" fillId="2" borderId="41" xfId="18" applyFont="1" applyFill="1" applyBorder="1" applyAlignment="1">
      <alignment horizontal="center" vertical="center" wrapText="1"/>
      <protection/>
    </xf>
    <xf numFmtId="0" fontId="26" fillId="2" borderId="11" xfId="18" applyFont="1" applyFill="1" applyBorder="1" applyAlignment="1">
      <alignment horizontal="center" vertical="center"/>
      <protection/>
    </xf>
    <xf numFmtId="0" fontId="26" fillId="2" borderId="12" xfId="18" applyFont="1" applyFill="1" applyBorder="1" applyAlignment="1">
      <alignment horizontal="center" vertical="center"/>
      <protection/>
    </xf>
    <xf numFmtId="0" fontId="26" fillId="2" borderId="12" xfId="18" applyFont="1" applyFill="1" applyBorder="1" applyAlignment="1">
      <alignment horizontal="center" vertical="center" wrapText="1"/>
      <protection/>
    </xf>
    <xf numFmtId="0" fontId="26" fillId="2" borderId="38" xfId="18" applyFont="1" applyFill="1" applyBorder="1" applyAlignment="1">
      <alignment horizontal="center" vertical="center" wrapText="1"/>
      <protection/>
    </xf>
    <xf numFmtId="174" fontId="11" fillId="2" borderId="42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164" fontId="11" fillId="2" borderId="35" xfId="0" applyNumberFormat="1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3" fontId="11" fillId="2" borderId="38" xfId="0" applyNumberFormat="1" applyFont="1" applyFill="1" applyBorder="1" applyAlignment="1">
      <alignment horizontal="center" vertical="center"/>
    </xf>
    <xf numFmtId="0" fontId="11" fillId="2" borderId="29" xfId="21" applyFont="1" applyFill="1" applyBorder="1" applyAlignment="1">
      <alignment horizontal="center" vertical="center" wrapText="1"/>
      <protection/>
    </xf>
    <xf numFmtId="0" fontId="11" fillId="2" borderId="30" xfId="21" applyFont="1" applyFill="1" applyBorder="1" applyAlignment="1">
      <alignment horizontal="center" vertical="center" wrapText="1"/>
      <protection/>
    </xf>
    <xf numFmtId="43" fontId="11" fillId="2" borderId="30" xfId="15" applyFont="1" applyFill="1" applyBorder="1" applyAlignment="1">
      <alignment horizontal="center" vertical="center" wrapText="1"/>
    </xf>
    <xf numFmtId="43" fontId="11" fillId="2" borderId="35" xfId="15" applyFont="1" applyFill="1" applyBorder="1" applyAlignment="1">
      <alignment horizontal="center" vertical="center" wrapText="1"/>
    </xf>
    <xf numFmtId="0" fontId="11" fillId="2" borderId="42" xfId="21" applyFont="1" applyFill="1" applyBorder="1" applyAlignment="1">
      <alignment horizontal="center" vertical="center" wrapText="1"/>
      <protection/>
    </xf>
    <xf numFmtId="1" fontId="11" fillId="2" borderId="17" xfId="21" applyNumberFormat="1" applyFont="1" applyFill="1" applyBorder="1" applyAlignment="1">
      <alignment horizontal="center" vertical="center" wrapText="1"/>
      <protection/>
    </xf>
    <xf numFmtId="1" fontId="11" fillId="2" borderId="18" xfId="21" applyNumberFormat="1" applyFont="1" applyFill="1" applyBorder="1" applyAlignment="1">
      <alignment horizontal="center" vertical="center" wrapText="1"/>
      <protection/>
    </xf>
    <xf numFmtId="1" fontId="11" fillId="2" borderId="18" xfId="15" applyNumberFormat="1" applyFont="1" applyFill="1" applyBorder="1" applyAlignment="1">
      <alignment horizontal="center" vertical="center" wrapText="1"/>
    </xf>
    <xf numFmtId="1" fontId="11" fillId="2" borderId="19" xfId="15" applyNumberFormat="1" applyFont="1" applyFill="1" applyBorder="1" applyAlignment="1">
      <alignment horizontal="center" vertical="center" wrapText="1"/>
    </xf>
    <xf numFmtId="1" fontId="11" fillId="2" borderId="47" xfId="21" applyNumberFormat="1" applyFont="1" applyFill="1" applyBorder="1" applyAlignment="1">
      <alignment horizontal="center" vertical="center" wrapText="1"/>
      <protection/>
    </xf>
    <xf numFmtId="1" fontId="11" fillId="2" borderId="20" xfId="21" applyNumberFormat="1" applyFont="1" applyFill="1" applyBorder="1" applyAlignment="1">
      <alignment horizontal="center" vertical="center" wrapText="1"/>
      <protection/>
    </xf>
    <xf numFmtId="1" fontId="11" fillId="2" borderId="19" xfId="21" applyNumberFormat="1" applyFont="1" applyFill="1" applyBorder="1" applyAlignment="1">
      <alignment horizontal="center" vertical="center" wrapText="1"/>
      <protection/>
    </xf>
    <xf numFmtId="0" fontId="11" fillId="2" borderId="32" xfId="21" applyFont="1" applyFill="1" applyBorder="1" applyAlignment="1">
      <alignment horizontal="center" vertical="center" wrapText="1"/>
      <protection/>
    </xf>
    <xf numFmtId="0" fontId="11" fillId="2" borderId="35" xfId="21" applyFont="1" applyFill="1" applyBorder="1" applyAlignment="1">
      <alignment horizontal="center" vertical="center" wrapText="1"/>
      <protection/>
    </xf>
    <xf numFmtId="1" fontId="11" fillId="0" borderId="0" xfId="21" applyNumberFormat="1" applyFont="1" applyAlignment="1">
      <alignment horizontal="center" vertical="center" wrapText="1"/>
      <protection/>
    </xf>
    <xf numFmtId="0" fontId="11" fillId="3" borderId="24" xfId="21" applyFont="1" applyFill="1" applyBorder="1" applyAlignment="1">
      <alignment horizontal="center" vertical="center" wrapText="1"/>
      <protection/>
    </xf>
    <xf numFmtId="0" fontId="11" fillId="3" borderId="31" xfId="21" applyFont="1" applyFill="1" applyBorder="1" applyAlignment="1">
      <alignment vertical="center" wrapText="1"/>
      <protection/>
    </xf>
    <xf numFmtId="0" fontId="11" fillId="2" borderId="3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49" fontId="11" fillId="2" borderId="29" xfId="0" applyNumberFormat="1" applyFont="1" applyFill="1" applyBorder="1" applyAlignment="1">
      <alignment horizontal="center" vertical="center"/>
    </xf>
    <xf numFmtId="49" fontId="11" fillId="2" borderId="30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9" fontId="10" fillId="0" borderId="10" xfId="24" applyFont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9" fontId="11" fillId="2" borderId="42" xfId="0" applyNumberFormat="1" applyFont="1" applyFill="1" applyBorder="1" applyAlignment="1">
      <alignment horizontal="center" vertical="center"/>
    </xf>
    <xf numFmtId="1" fontId="14" fillId="2" borderId="38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1" fillId="2" borderId="48" xfId="0" applyFont="1" applyFill="1" applyBorder="1" applyAlignment="1" applyProtection="1">
      <alignment horizontal="center" vertical="center"/>
      <protection hidden="1"/>
    </xf>
    <xf numFmtId="0" fontId="11" fillId="2" borderId="35" xfId="0" applyFont="1" applyFill="1" applyBorder="1" applyAlignment="1" applyProtection="1">
      <alignment horizontal="center" vertical="center"/>
      <protection hidden="1"/>
    </xf>
    <xf numFmtId="0" fontId="11" fillId="2" borderId="35" xfId="0" applyFont="1" applyFill="1" applyBorder="1" applyAlignment="1" applyProtection="1">
      <alignment horizontal="center" vertical="center" wrapText="1"/>
      <protection hidden="1"/>
    </xf>
    <xf numFmtId="0" fontId="11" fillId="2" borderId="42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49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 wrapText="1"/>
      <protection hidden="1"/>
    </xf>
    <xf numFmtId="49" fontId="20" fillId="2" borderId="39" xfId="0" applyNumberFormat="1" applyFont="1" applyFill="1" applyBorder="1" applyAlignment="1">
      <alignment horizontal="center" vertical="center"/>
    </xf>
    <xf numFmtId="49" fontId="20" fillId="2" borderId="40" xfId="0" applyNumberFormat="1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 vertical="center"/>
    </xf>
    <xf numFmtId="49" fontId="17" fillId="0" borderId="27" xfId="0" applyNumberFormat="1" applyFont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/>
    </xf>
    <xf numFmtId="49" fontId="15" fillId="0" borderId="27" xfId="0" applyNumberFormat="1" applyFont="1" applyBorder="1" applyAlignment="1">
      <alignment vertical="center" wrapText="1"/>
    </xf>
    <xf numFmtId="4" fontId="15" fillId="0" borderId="27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7" xfId="0" applyNumberFormat="1" applyFont="1" applyBorder="1" applyAlignment="1">
      <alignment vertical="center"/>
    </xf>
    <xf numFmtId="0" fontId="11" fillId="2" borderId="3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4" fontId="10" fillId="0" borderId="0" xfId="0" applyNumberFormat="1" applyFont="1" applyFill="1" applyAlignment="1">
      <alignment horizontal="right" vertical="center"/>
    </xf>
    <xf numFmtId="174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74" fontId="1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1" fillId="3" borderId="35" xfId="0" applyFont="1" applyFill="1" applyBorder="1" applyAlignment="1">
      <alignment vertical="center" wrapText="1"/>
    </xf>
    <xf numFmtId="0" fontId="11" fillId="3" borderId="34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 wrapText="1"/>
    </xf>
    <xf numFmtId="0" fontId="11" fillId="3" borderId="51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49" fontId="13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1" fillId="2" borderId="60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3" fontId="19" fillId="2" borderId="44" xfId="0" applyNumberFormat="1" applyFont="1" applyFill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0" fontId="11" fillId="4" borderId="61" xfId="0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72" fontId="27" fillId="0" borderId="19" xfId="0" applyNumberFormat="1" applyFont="1" applyBorder="1" applyAlignment="1">
      <alignment horizontal="right" vertical="center"/>
    </xf>
    <xf numFmtId="195" fontId="27" fillId="0" borderId="47" xfId="0" applyNumberFormat="1" applyFont="1" applyBorder="1" applyAlignment="1">
      <alignment vertical="center"/>
    </xf>
    <xf numFmtId="169" fontId="30" fillId="0" borderId="14" xfId="0" applyNumberFormat="1" applyFont="1" applyFill="1" applyBorder="1" applyAlignment="1">
      <alignment horizontal="right" vertical="top"/>
    </xf>
    <xf numFmtId="169" fontId="27" fillId="0" borderId="62" xfId="0" applyNumberFormat="1" applyFont="1" applyBorder="1" applyAlignment="1">
      <alignment vertical="center"/>
    </xf>
    <xf numFmtId="169" fontId="30" fillId="0" borderId="62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169" fontId="34" fillId="0" borderId="62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169" fontId="35" fillId="0" borderId="62" xfId="0" applyNumberFormat="1" applyFont="1" applyBorder="1" applyAlignment="1">
      <alignment vertical="center"/>
    </xf>
    <xf numFmtId="169" fontId="33" fillId="0" borderId="62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horizontal="right" vertical="center" wrapText="1"/>
    </xf>
    <xf numFmtId="0" fontId="10" fillId="0" borderId="63" xfId="0" applyFont="1" applyBorder="1" applyAlignment="1">
      <alignment horizontal="center" vertical="center" wrapText="1"/>
    </xf>
    <xf numFmtId="49" fontId="10" fillId="0" borderId="64" xfId="0" applyNumberFormat="1" applyFont="1" applyBorder="1" applyAlignment="1">
      <alignment horizontal="center"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0" fontId="13" fillId="0" borderId="66" xfId="0" applyFont="1" applyBorder="1" applyAlignment="1">
      <alignment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64" xfId="0" applyNumberFormat="1" applyFont="1" applyBorder="1" applyAlignment="1">
      <alignment horizontal="center" vertical="center" wrapText="1"/>
    </xf>
    <xf numFmtId="49" fontId="13" fillId="0" borderId="64" xfId="0" applyNumberFormat="1" applyFont="1" applyBorder="1" applyAlignment="1">
      <alignment vertical="center" wrapText="1"/>
    </xf>
    <xf numFmtId="4" fontId="27" fillId="0" borderId="19" xfId="0" applyNumberFormat="1" applyFont="1" applyBorder="1" applyAlignment="1">
      <alignment horizontal="right" vertical="center"/>
    </xf>
    <xf numFmtId="174" fontId="27" fillId="0" borderId="47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4" fontId="13" fillId="0" borderId="10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13" fillId="0" borderId="10" xfId="0" applyNumberFormat="1" applyFont="1" applyFill="1" applyBorder="1" applyAlignment="1">
      <alignment vertical="top"/>
    </xf>
    <xf numFmtId="4" fontId="11" fillId="3" borderId="6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4" fontId="13" fillId="0" borderId="13" xfId="0" applyNumberFormat="1" applyFont="1" applyFill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vertical="top"/>
    </xf>
    <xf numFmtId="4" fontId="13" fillId="0" borderId="15" xfId="0" applyNumberFormat="1" applyFont="1" applyBorder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10" fillId="0" borderId="15" xfId="0" applyFont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vertical="top" wrapText="1"/>
    </xf>
    <xf numFmtId="4" fontId="13" fillId="0" borderId="13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0" fontId="38" fillId="0" borderId="0" xfId="0" applyFont="1" applyAlignment="1">
      <alignment vertical="top"/>
    </xf>
    <xf numFmtId="0" fontId="37" fillId="0" borderId="0" xfId="0" applyFont="1" applyAlignment="1">
      <alignment vertical="top"/>
    </xf>
    <xf numFmtId="49" fontId="13" fillId="0" borderId="15" xfId="0" applyNumberFormat="1" applyFont="1" applyBorder="1" applyAlignment="1">
      <alignment horizontal="center" vertical="top" wrapText="1"/>
    </xf>
    <xf numFmtId="4" fontId="11" fillId="3" borderId="6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top"/>
    </xf>
    <xf numFmtId="4" fontId="10" fillId="0" borderId="13" xfId="0" applyNumberFormat="1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4" fontId="13" fillId="0" borderId="18" xfId="0" applyNumberFormat="1" applyFont="1" applyFill="1" applyBorder="1" applyAlignment="1">
      <alignment vertical="top"/>
    </xf>
    <xf numFmtId="4" fontId="11" fillId="4" borderId="36" xfId="0" applyNumberFormat="1" applyFont="1" applyFill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center" vertical="center"/>
    </xf>
    <xf numFmtId="4" fontId="18" fillId="3" borderId="67" xfId="0" applyNumberFormat="1" applyFont="1" applyFill="1" applyBorder="1" applyAlignment="1">
      <alignment horizontal="right" vertical="center"/>
    </xf>
    <xf numFmtId="4" fontId="18" fillId="3" borderId="18" xfId="0" applyNumberFormat="1" applyFont="1" applyFill="1" applyBorder="1" applyAlignment="1">
      <alignment horizontal="right" vertical="center"/>
    </xf>
    <xf numFmtId="4" fontId="11" fillId="0" borderId="10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>
      <alignment/>
      <protection hidden="1"/>
    </xf>
    <xf numFmtId="4" fontId="13" fillId="0" borderId="10" xfId="0" applyNumberFormat="1" applyFont="1" applyBorder="1" applyAlignment="1" applyProtection="1">
      <alignment/>
      <protection hidden="1"/>
    </xf>
    <xf numFmtId="4" fontId="13" fillId="0" borderId="10" xfId="0" applyNumberFormat="1" applyFont="1" applyBorder="1" applyAlignment="1" applyProtection="1">
      <alignment wrapText="1"/>
      <protection hidden="1"/>
    </xf>
    <xf numFmtId="4" fontId="10" fillId="0" borderId="10" xfId="0" applyNumberFormat="1" applyFont="1" applyBorder="1" applyAlignment="1" applyProtection="1">
      <alignment wrapText="1"/>
      <protection hidden="1"/>
    </xf>
    <xf numFmtId="4" fontId="13" fillId="0" borderId="15" xfId="0" applyNumberFormat="1" applyFont="1" applyBorder="1" applyAlignment="1" applyProtection="1">
      <alignment/>
      <protection hidden="1"/>
    </xf>
    <xf numFmtId="4" fontId="13" fillId="0" borderId="10" xfId="0" applyNumberFormat="1" applyFont="1" applyBorder="1" applyAlignment="1" applyProtection="1" quotePrefix="1">
      <alignment/>
      <protection hidden="1"/>
    </xf>
    <xf numFmtId="4" fontId="13" fillId="0" borderId="10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 quotePrefix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" fontId="11" fillId="3" borderId="61" xfId="0" applyNumberFormat="1" applyFont="1" applyFill="1" applyBorder="1" applyAlignment="1" applyProtection="1">
      <alignment vertical="center"/>
      <protection hidden="1"/>
    </xf>
    <xf numFmtId="4" fontId="11" fillId="3" borderId="30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174" fontId="10" fillId="0" borderId="3" xfId="0" applyNumberFormat="1" applyFont="1" applyBorder="1" applyAlignment="1">
      <alignment horizontal="right" vertical="center"/>
    </xf>
    <xf numFmtId="174" fontId="10" fillId="0" borderId="45" xfId="0" applyNumberFormat="1" applyFont="1" applyBorder="1" applyAlignment="1">
      <alignment horizontal="right" vertical="center"/>
    </xf>
    <xf numFmtId="174" fontId="11" fillId="3" borderId="42" xfId="0" applyNumberFormat="1" applyFont="1" applyFill="1" applyBorder="1" applyAlignment="1">
      <alignment horizontal="right" vertical="center"/>
    </xf>
    <xf numFmtId="174" fontId="10" fillId="0" borderId="60" xfId="0" applyNumberFormat="1" applyFont="1" applyBorder="1" applyAlignment="1">
      <alignment horizontal="right" vertical="center"/>
    </xf>
    <xf numFmtId="174" fontId="13" fillId="0" borderId="3" xfId="0" applyNumberFormat="1" applyFont="1" applyBorder="1" applyAlignment="1">
      <alignment horizontal="right" vertical="center"/>
    </xf>
    <xf numFmtId="174" fontId="13" fillId="0" borderId="38" xfId="0" applyNumberFormat="1" applyFont="1" applyBorder="1" applyAlignment="1">
      <alignment horizontal="right" vertical="center"/>
    </xf>
    <xf numFmtId="169" fontId="13" fillId="0" borderId="62" xfId="0" applyNumberFormat="1" applyFont="1" applyFill="1" applyBorder="1" applyAlignment="1">
      <alignment horizontal="right" vertical="top"/>
    </xf>
    <xf numFmtId="169" fontId="10" fillId="0" borderId="62" xfId="0" applyNumberFormat="1" applyFont="1" applyFill="1" applyBorder="1" applyAlignment="1">
      <alignment horizontal="right" vertical="top"/>
    </xf>
    <xf numFmtId="4" fontId="11" fillId="3" borderId="1" xfId="22" applyNumberFormat="1" applyFont="1" applyFill="1" applyBorder="1" applyAlignment="1">
      <alignment vertical="center"/>
      <protection/>
    </xf>
    <xf numFmtId="4" fontId="11" fillId="3" borderId="3" xfId="22" applyNumberFormat="1" applyFont="1" applyFill="1" applyBorder="1" applyAlignment="1">
      <alignment vertical="center"/>
      <protection/>
    </xf>
    <xf numFmtId="4" fontId="10" fillId="0" borderId="34" xfId="22" applyNumberFormat="1" applyFont="1" applyFill="1" applyBorder="1" applyAlignment="1">
      <alignment vertical="center"/>
      <protection/>
    </xf>
    <xf numFmtId="4" fontId="10" fillId="2" borderId="0" xfId="22" applyNumberFormat="1" applyFont="1" applyFill="1" applyAlignment="1">
      <alignment vertical="center"/>
      <protection/>
    </xf>
    <xf numFmtId="4" fontId="11" fillId="3" borderId="3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vertical="top"/>
    </xf>
    <xf numFmtId="169" fontId="11" fillId="3" borderId="60" xfId="0" applyNumberFormat="1" applyFont="1" applyFill="1" applyBorder="1" applyAlignment="1">
      <alignment horizontal="right" vertical="center"/>
    </xf>
    <xf numFmtId="169" fontId="11" fillId="0" borderId="62" xfId="0" applyNumberFormat="1" applyFont="1" applyFill="1" applyBorder="1" applyAlignment="1">
      <alignment horizontal="right" vertical="top"/>
    </xf>
    <xf numFmtId="169" fontId="11" fillId="0" borderId="14" xfId="0" applyNumberFormat="1" applyFont="1" applyFill="1" applyBorder="1" applyAlignment="1">
      <alignment horizontal="right" vertical="top"/>
    </xf>
    <xf numFmtId="169" fontId="10" fillId="0" borderId="14" xfId="0" applyNumberFormat="1" applyFont="1" applyFill="1" applyBorder="1" applyAlignment="1">
      <alignment horizontal="right" vertical="top"/>
    </xf>
    <xf numFmtId="169" fontId="11" fillId="0" borderId="62" xfId="0" applyNumberFormat="1" applyFont="1" applyBorder="1" applyAlignment="1">
      <alignment horizontal="right" vertical="top"/>
    </xf>
    <xf numFmtId="169" fontId="10" fillId="0" borderId="62" xfId="0" applyNumberFormat="1" applyFont="1" applyBorder="1" applyAlignment="1">
      <alignment horizontal="right" vertical="top"/>
    </xf>
    <xf numFmtId="169" fontId="13" fillId="0" borderId="62" xfId="0" applyNumberFormat="1" applyFont="1" applyBorder="1" applyAlignment="1">
      <alignment horizontal="right" vertical="top"/>
    </xf>
    <xf numFmtId="49" fontId="13" fillId="0" borderId="15" xfId="0" applyNumberFormat="1" applyFont="1" applyBorder="1" applyAlignment="1">
      <alignment vertical="top" wrapText="1"/>
    </xf>
    <xf numFmtId="169" fontId="10" fillId="0" borderId="15" xfId="0" applyNumberFormat="1" applyFont="1" applyFill="1" applyBorder="1" applyAlignment="1">
      <alignment horizontal="right" vertical="top"/>
    </xf>
    <xf numFmtId="169" fontId="10" fillId="0" borderId="68" xfId="0" applyNumberFormat="1" applyFont="1" applyFill="1" applyBorder="1" applyAlignment="1">
      <alignment horizontal="right" vertical="top"/>
    </xf>
    <xf numFmtId="169" fontId="11" fillId="4" borderId="69" xfId="0" applyNumberFormat="1" applyFont="1" applyFill="1" applyBorder="1" applyAlignment="1">
      <alignment horizontal="right" vertical="center"/>
    </xf>
    <xf numFmtId="49" fontId="13" fillId="0" borderId="6" xfId="0" applyNumberFormat="1" applyFont="1" applyBorder="1" applyAlignment="1">
      <alignment vertical="top" wrapText="1"/>
    </xf>
    <xf numFmtId="172" fontId="11" fillId="3" borderId="48" xfId="0" applyNumberFormat="1" applyFont="1" applyFill="1" applyBorder="1" applyAlignment="1">
      <alignment horizontal="right" vertical="center"/>
    </xf>
    <xf numFmtId="195" fontId="11" fillId="3" borderId="42" xfId="0" applyNumberFormat="1" applyFont="1" applyFill="1" applyBorder="1" applyAlignment="1">
      <alignment vertical="center"/>
    </xf>
    <xf numFmtId="172" fontId="10" fillId="0" borderId="0" xfId="0" applyNumberFormat="1" applyFont="1" applyBorder="1" applyAlignment="1">
      <alignment horizontal="right" vertical="center"/>
    </xf>
    <xf numFmtId="195" fontId="10" fillId="0" borderId="14" xfId="0" applyNumberFormat="1" applyFont="1" applyBorder="1" applyAlignment="1">
      <alignment vertical="center"/>
    </xf>
    <xf numFmtId="172" fontId="13" fillId="0" borderId="0" xfId="0" applyNumberFormat="1" applyFont="1" applyBorder="1" applyAlignment="1">
      <alignment horizontal="right" vertical="center"/>
    </xf>
    <xf numFmtId="195" fontId="13" fillId="0" borderId="14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169" fontId="27" fillId="0" borderId="0" xfId="0" applyNumberFormat="1" applyFont="1" applyFill="1" applyAlignment="1">
      <alignment horizontal="right"/>
    </xf>
    <xf numFmtId="164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30" fillId="0" borderId="15" xfId="0" applyNumberFormat="1" applyFont="1" applyFill="1" applyBorder="1" applyAlignment="1">
      <alignment vertical="top"/>
    </xf>
    <xf numFmtId="169" fontId="30" fillId="0" borderId="15" xfId="0" applyNumberFormat="1" applyFont="1" applyFill="1" applyBorder="1" applyAlignment="1">
      <alignment horizontal="right" vertical="top"/>
    </xf>
    <xf numFmtId="169" fontId="32" fillId="0" borderId="15" xfId="0" applyNumberFormat="1" applyFont="1" applyFill="1" applyBorder="1" applyAlignment="1">
      <alignment horizontal="right" vertical="top"/>
    </xf>
    <xf numFmtId="4" fontId="30" fillId="0" borderId="19" xfId="0" applyNumberFormat="1" applyFont="1" applyFill="1" applyBorder="1" applyAlignment="1">
      <alignment vertical="top"/>
    </xf>
    <xf numFmtId="169" fontId="30" fillId="0" borderId="19" xfId="0" applyNumberFormat="1" applyFont="1" applyFill="1" applyBorder="1" applyAlignment="1">
      <alignment horizontal="right" vertical="top"/>
    </xf>
    <xf numFmtId="169" fontId="30" fillId="0" borderId="47" xfId="0" applyNumberFormat="1" applyFont="1" applyFill="1" applyBorder="1" applyAlignment="1">
      <alignment horizontal="right" vertical="top"/>
    </xf>
    <xf numFmtId="4" fontId="10" fillId="0" borderId="19" xfId="0" applyNumberFormat="1" applyFont="1" applyFill="1" applyBorder="1" applyAlignment="1">
      <alignment vertical="top"/>
    </xf>
    <xf numFmtId="169" fontId="10" fillId="0" borderId="19" xfId="0" applyNumberFormat="1" applyFont="1" applyFill="1" applyBorder="1" applyAlignment="1">
      <alignment horizontal="right" vertical="top"/>
    </xf>
    <xf numFmtId="4" fontId="10" fillId="3" borderId="15" xfId="0" applyNumberFormat="1" applyFont="1" applyFill="1" applyBorder="1" applyAlignment="1">
      <alignment vertical="top"/>
    </xf>
    <xf numFmtId="169" fontId="10" fillId="3" borderId="15" xfId="0" applyNumberFormat="1" applyFont="1" applyFill="1" applyBorder="1" applyAlignment="1">
      <alignment horizontal="right" vertical="top"/>
    </xf>
    <xf numFmtId="4" fontId="11" fillId="3" borderId="19" xfId="0" applyNumberFormat="1" applyFont="1" applyFill="1" applyBorder="1" applyAlignment="1">
      <alignment vertical="top"/>
    </xf>
    <xf numFmtId="169" fontId="11" fillId="3" borderId="19" xfId="0" applyNumberFormat="1" applyFont="1" applyFill="1" applyBorder="1" applyAlignment="1">
      <alignment horizontal="right" vertical="top"/>
    </xf>
    <xf numFmtId="4" fontId="10" fillId="0" borderId="15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4" fontId="11" fillId="0" borderId="15" xfId="0" applyNumberFormat="1" applyFont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horizontal="center" vertical="top" wrapText="1"/>
    </xf>
    <xf numFmtId="169" fontId="13" fillId="0" borderId="70" xfId="0" applyNumberFormat="1" applyFont="1" applyFill="1" applyBorder="1" applyAlignment="1">
      <alignment horizontal="right" vertical="top"/>
    </xf>
    <xf numFmtId="4" fontId="11" fillId="3" borderId="1" xfId="0" applyNumberFormat="1" applyFont="1" applyFill="1" applyBorder="1" applyAlignment="1">
      <alignment horizontal="right" vertical="center"/>
    </xf>
    <xf numFmtId="169" fontId="11" fillId="3" borderId="3" xfId="0" applyNumberFormat="1" applyFont="1" applyFill="1" applyBorder="1" applyAlignment="1">
      <alignment horizontal="right" vertical="center"/>
    </xf>
    <xf numFmtId="49" fontId="18" fillId="3" borderId="71" xfId="0" applyNumberFormat="1" applyFont="1" applyFill="1" applyBorder="1" applyAlignment="1">
      <alignment vertical="center"/>
    </xf>
    <xf numFmtId="4" fontId="18" fillId="3" borderId="72" xfId="0" applyNumberFormat="1" applyFont="1" applyFill="1" applyBorder="1" applyAlignment="1">
      <alignment horizontal="center" vertical="center"/>
    </xf>
    <xf numFmtId="4" fontId="18" fillId="3" borderId="72" xfId="0" applyNumberFormat="1" applyFont="1" applyFill="1" applyBorder="1" applyAlignment="1">
      <alignment horizontal="right" vertical="center"/>
    </xf>
    <xf numFmtId="169" fontId="18" fillId="3" borderId="73" xfId="0" applyNumberFormat="1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49" fontId="18" fillId="3" borderId="74" xfId="0" applyNumberFormat="1" applyFont="1" applyFill="1" applyBorder="1" applyAlignment="1">
      <alignment vertical="center"/>
    </xf>
    <xf numFmtId="169" fontId="18" fillId="3" borderId="75" xfId="0" applyNumberFormat="1" applyFont="1" applyFill="1" applyBorder="1" applyAlignment="1">
      <alignment horizontal="right" vertical="center"/>
    </xf>
    <xf numFmtId="49" fontId="18" fillId="3" borderId="20" xfId="0" applyNumberFormat="1" applyFont="1" applyFill="1" applyBorder="1" applyAlignment="1">
      <alignment vertical="center"/>
    </xf>
    <xf numFmtId="169" fontId="18" fillId="3" borderId="47" xfId="0" applyNumberFormat="1" applyFont="1" applyFill="1" applyBorder="1" applyAlignment="1">
      <alignment horizontal="right" vertical="center"/>
    </xf>
    <xf numFmtId="4" fontId="18" fillId="4" borderId="0" xfId="0" applyNumberFormat="1" applyFont="1" applyFill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 applyProtection="1">
      <alignment/>
      <protection hidden="1"/>
    </xf>
    <xf numFmtId="169" fontId="11" fillId="0" borderId="14" xfId="0" applyNumberFormat="1" applyFont="1" applyBorder="1" applyAlignment="1" applyProtection="1">
      <alignment/>
      <protection hidden="1"/>
    </xf>
    <xf numFmtId="4" fontId="10" fillId="0" borderId="15" xfId="0" applyNumberFormat="1" applyFont="1" applyBorder="1" applyAlignment="1" applyProtection="1">
      <alignment/>
      <protection hidden="1"/>
    </xf>
    <xf numFmtId="169" fontId="10" fillId="0" borderId="14" xfId="0" applyNumberFormat="1" applyFont="1" applyBorder="1" applyAlignment="1" applyProtection="1">
      <alignment/>
      <protection hidden="1"/>
    </xf>
    <xf numFmtId="169" fontId="13" fillId="0" borderId="14" xfId="0" applyNumberFormat="1" applyFont="1" applyBorder="1" applyAlignment="1" applyProtection="1">
      <alignment/>
      <protection hidden="1"/>
    </xf>
    <xf numFmtId="4" fontId="13" fillId="0" borderId="15" xfId="0" applyNumberFormat="1" applyFont="1" applyBorder="1" applyAlignment="1" applyProtection="1">
      <alignment horizontal="right"/>
      <protection hidden="1"/>
    </xf>
    <xf numFmtId="4" fontId="11" fillId="0" borderId="19" xfId="0" applyNumberFormat="1" applyFont="1" applyBorder="1" applyAlignment="1" applyProtection="1">
      <alignment/>
      <protection hidden="1"/>
    </xf>
    <xf numFmtId="4" fontId="11" fillId="3" borderId="19" xfId="0" applyNumberFormat="1" applyFont="1" applyFill="1" applyBorder="1" applyAlignment="1" applyProtection="1">
      <alignment vertical="center"/>
      <protection hidden="1"/>
    </xf>
    <xf numFmtId="169" fontId="11" fillId="3" borderId="69" xfId="0" applyNumberFormat="1" applyFont="1" applyFill="1" applyBorder="1" applyAlignment="1" applyProtection="1">
      <alignment vertical="center"/>
      <protection hidden="1"/>
    </xf>
    <xf numFmtId="4" fontId="11" fillId="0" borderId="10" xfId="0" applyNumberFormat="1" applyFont="1" applyBorder="1" applyAlignment="1">
      <alignment vertical="center"/>
    </xf>
    <xf numFmtId="169" fontId="11" fillId="0" borderId="62" xfId="0" applyNumberFormat="1" applyFont="1" applyBorder="1" applyAlignment="1">
      <alignment vertical="center"/>
    </xf>
    <xf numFmtId="169" fontId="10" fillId="0" borderId="62" xfId="0" applyNumberFormat="1" applyFont="1" applyBorder="1" applyAlignment="1">
      <alignment vertical="center"/>
    </xf>
    <xf numFmtId="169" fontId="13" fillId="0" borderId="62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169" fontId="17" fillId="0" borderId="62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169" fontId="23" fillId="0" borderId="62" xfId="0" applyNumberFormat="1" applyFont="1" applyBorder="1" applyAlignment="1">
      <alignment vertical="center"/>
    </xf>
    <xf numFmtId="169" fontId="22" fillId="0" borderId="62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vertical="center"/>
    </xf>
    <xf numFmtId="169" fontId="37" fillId="0" borderId="62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49" fontId="36" fillId="0" borderId="9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169" fontId="36" fillId="0" borderId="62" xfId="0" applyNumberFormat="1" applyFont="1" applyBorder="1" applyAlignment="1">
      <alignment vertical="center"/>
    </xf>
    <xf numFmtId="49" fontId="39" fillId="0" borderId="9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169" fontId="40" fillId="0" borderId="6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41" fillId="0" borderId="9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169" fontId="41" fillId="0" borderId="6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9" fontId="39" fillId="0" borderId="10" xfId="0" applyNumberFormat="1" applyFont="1" applyBorder="1" applyAlignment="1">
      <alignment horizontal="left" vertical="center" wrapText="1"/>
    </xf>
    <xf numFmtId="169" fontId="39" fillId="0" borderId="62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11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169" fontId="43" fillId="0" borderId="0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169" fontId="33" fillId="0" borderId="0" xfId="0" applyNumberFormat="1" applyFont="1" applyBorder="1" applyAlignment="1">
      <alignment vertical="center"/>
    </xf>
    <xf numFmtId="4" fontId="34" fillId="0" borderId="27" xfId="0" applyNumberFormat="1" applyFont="1" applyBorder="1" applyAlignment="1">
      <alignment vertical="center"/>
    </xf>
    <xf numFmtId="169" fontId="33" fillId="0" borderId="27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2" fillId="0" borderId="27" xfId="0" applyNumberFormat="1" applyFont="1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23" fillId="0" borderId="18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9" fontId="41" fillId="0" borderId="16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 wrapText="1"/>
    </xf>
    <xf numFmtId="4" fontId="22" fillId="0" borderId="15" xfId="0" applyNumberFormat="1" applyFont="1" applyBorder="1" applyAlignment="1">
      <alignment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169" fontId="11" fillId="3" borderId="60" xfId="0" applyNumberFormat="1" applyFont="1" applyFill="1" applyBorder="1" applyAlignment="1">
      <alignment vertical="center"/>
    </xf>
    <xf numFmtId="0" fontId="21" fillId="0" borderId="62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 wrapText="1"/>
    </xf>
    <xf numFmtId="4" fontId="23" fillId="0" borderId="15" xfId="0" applyNumberFormat="1" applyFont="1" applyBorder="1" applyAlignment="1">
      <alignment vertical="center"/>
    </xf>
    <xf numFmtId="169" fontId="15" fillId="0" borderId="62" xfId="0" applyNumberFormat="1" applyFont="1" applyBorder="1" applyAlignment="1">
      <alignment vertical="center"/>
    </xf>
    <xf numFmtId="169" fontId="11" fillId="3" borderId="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5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46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3" borderId="0" xfId="0" applyNumberFormat="1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8" fillId="3" borderId="0" xfId="0" applyNumberFormat="1" applyFont="1" applyFill="1" applyAlignment="1">
      <alignment horizontal="center" vertical="center"/>
    </xf>
    <xf numFmtId="169" fontId="23" fillId="0" borderId="68" xfId="0" applyNumberFormat="1" applyFont="1" applyBorder="1" applyAlignment="1">
      <alignment vertical="center"/>
    </xf>
    <xf numFmtId="169" fontId="22" fillId="0" borderId="62" xfId="0" applyNumberFormat="1" applyFont="1" applyFill="1" applyBorder="1" applyAlignment="1">
      <alignment vertical="center"/>
    </xf>
    <xf numFmtId="169" fontId="23" fillId="0" borderId="62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 horizontal="right" vertical="center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vertical="center"/>
    </xf>
    <xf numFmtId="4" fontId="13" fillId="0" borderId="31" xfId="0" applyNumberFormat="1" applyFont="1" applyFill="1" applyBorder="1" applyAlignment="1">
      <alignment horizontal="right" vertical="center"/>
    </xf>
    <xf numFmtId="4" fontId="13" fillId="0" borderId="60" xfId="0" applyNumberFormat="1" applyFont="1" applyBorder="1" applyAlignment="1">
      <alignment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47" xfId="0" applyNumberFormat="1" applyFont="1" applyBorder="1" applyAlignment="1">
      <alignment vertical="center"/>
    </xf>
    <xf numFmtId="4" fontId="11" fillId="3" borderId="30" xfId="0" applyNumberFormat="1" applyFont="1" applyFill="1" applyBorder="1" applyAlignment="1">
      <alignment vertical="center"/>
    </xf>
    <xf numFmtId="174" fontId="11" fillId="3" borderId="42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vertical="center"/>
    </xf>
    <xf numFmtId="174" fontId="11" fillId="3" borderId="6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174" fontId="10" fillId="0" borderId="14" xfId="0" applyNumberFormat="1" applyFont="1" applyBorder="1" applyAlignment="1">
      <alignment vertical="center"/>
    </xf>
    <xf numFmtId="4" fontId="11" fillId="4" borderId="61" xfId="0" applyNumberFormat="1" applyFont="1" applyFill="1" applyBorder="1" applyAlignment="1">
      <alignment vertical="center"/>
    </xf>
    <xf numFmtId="174" fontId="11" fillId="4" borderId="69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4" fontId="10" fillId="0" borderId="15" xfId="0" applyNumberFormat="1" applyFont="1" applyBorder="1" applyAlignment="1">
      <alignment vertical="center"/>
    </xf>
    <xf numFmtId="174" fontId="10" fillId="0" borderId="62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174" fontId="10" fillId="0" borderId="60" xfId="0" applyNumberFormat="1" applyFont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174" fontId="11" fillId="3" borderId="3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vertical="center"/>
    </xf>
    <xf numFmtId="174" fontId="11" fillId="3" borderId="14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left" vertical="center"/>
    </xf>
    <xf numFmtId="174" fontId="11" fillId="3" borderId="60" xfId="0" applyNumberFormat="1" applyFont="1" applyFill="1" applyBorder="1" applyAlignment="1">
      <alignment horizontal="center" vertical="center"/>
    </xf>
    <xf numFmtId="174" fontId="11" fillId="3" borderId="42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" fontId="11" fillId="3" borderId="48" xfId="0" applyNumberFormat="1" applyFont="1" applyFill="1" applyBorder="1" applyAlignment="1">
      <alignment horizontal="right" vertical="center"/>
    </xf>
    <xf numFmtId="4" fontId="11" fillId="3" borderId="42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right" vertical="center"/>
    </xf>
    <xf numFmtId="4" fontId="11" fillId="4" borderId="18" xfId="0" applyNumberFormat="1" applyFont="1" applyFill="1" applyBorder="1" applyAlignment="1">
      <alignment horizontal="right" vertical="center"/>
    </xf>
    <xf numFmtId="4" fontId="11" fillId="4" borderId="47" xfId="0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174" fontId="10" fillId="0" borderId="14" xfId="0" applyNumberFormat="1" applyFont="1" applyBorder="1" applyAlignment="1">
      <alignment horizontal="right" vertical="center"/>
    </xf>
    <xf numFmtId="4" fontId="11" fillId="4" borderId="12" xfId="0" applyNumberFormat="1" applyFont="1" applyFill="1" applyBorder="1" applyAlignment="1">
      <alignment vertical="center"/>
    </xf>
    <xf numFmtId="174" fontId="11" fillId="4" borderId="38" xfId="0" applyNumberFormat="1" applyFont="1" applyFill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74" fontId="10" fillId="0" borderId="14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horizontal="center" vertical="center"/>
    </xf>
    <xf numFmtId="4" fontId="11" fillId="3" borderId="30" xfId="18" applyNumberFormat="1" applyFont="1" applyFill="1" applyBorder="1" applyAlignment="1">
      <alignment vertical="center"/>
      <protection/>
    </xf>
    <xf numFmtId="174" fontId="11" fillId="3" borderId="42" xfId="18" applyNumberFormat="1" applyFont="1" applyFill="1" applyBorder="1" applyAlignment="1">
      <alignment horizontal="center" vertical="center"/>
      <protection/>
    </xf>
    <xf numFmtId="4" fontId="11" fillId="3" borderId="6" xfId="18" applyNumberFormat="1" applyFont="1" applyFill="1" applyBorder="1" applyAlignment="1">
      <alignment vertical="center"/>
      <protection/>
    </xf>
    <xf numFmtId="174" fontId="11" fillId="3" borderId="60" xfId="18" applyNumberFormat="1" applyFont="1" applyFill="1" applyBorder="1" applyAlignment="1">
      <alignment vertical="center"/>
      <protection/>
    </xf>
    <xf numFmtId="4" fontId="10" fillId="0" borderId="10" xfId="18" applyNumberFormat="1" applyFont="1" applyBorder="1" applyAlignment="1">
      <alignment vertical="center"/>
      <protection/>
    </xf>
    <xf numFmtId="174" fontId="10" fillId="0" borderId="14" xfId="18" applyNumberFormat="1" applyFont="1" applyBorder="1" applyAlignment="1">
      <alignment vertical="center"/>
      <protection/>
    </xf>
    <xf numFmtId="4" fontId="11" fillId="4" borderId="61" xfId="18" applyNumberFormat="1" applyFont="1" applyFill="1" applyBorder="1" applyAlignment="1">
      <alignment vertical="center"/>
      <protection/>
    </xf>
    <xf numFmtId="174" fontId="11" fillId="4" borderId="69" xfId="18" applyNumberFormat="1" applyFont="1" applyFill="1" applyBorder="1" applyAlignment="1">
      <alignment vertical="center"/>
      <protection/>
    </xf>
    <xf numFmtId="4" fontId="10" fillId="0" borderId="6" xfId="18" applyNumberFormat="1" applyFont="1" applyBorder="1" applyAlignment="1">
      <alignment vertical="center"/>
      <protection/>
    </xf>
    <xf numFmtId="174" fontId="10" fillId="0" borderId="60" xfId="18" applyNumberFormat="1" applyFont="1" applyBorder="1" applyAlignment="1">
      <alignment vertical="center"/>
      <protection/>
    </xf>
    <xf numFmtId="4" fontId="11" fillId="3" borderId="10" xfId="18" applyNumberFormat="1" applyFont="1" applyFill="1" applyBorder="1" applyAlignment="1">
      <alignment vertical="center"/>
      <protection/>
    </xf>
    <xf numFmtId="174" fontId="11" fillId="3" borderId="14" xfId="18" applyNumberFormat="1" applyFont="1" applyFill="1" applyBorder="1" applyAlignment="1">
      <alignment horizontal="center" vertical="center"/>
      <protection/>
    </xf>
    <xf numFmtId="4" fontId="11" fillId="4" borderId="12" xfId="18" applyNumberFormat="1" applyFont="1" applyFill="1" applyBorder="1" applyAlignment="1">
      <alignment vertical="center"/>
      <protection/>
    </xf>
    <xf numFmtId="174" fontId="11" fillId="4" borderId="38" xfId="18" applyNumberFormat="1" applyFont="1" applyFill="1" applyBorder="1" applyAlignment="1">
      <alignment vertical="center"/>
      <protection/>
    </xf>
    <xf numFmtId="4" fontId="10" fillId="0" borderId="15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174" fontId="10" fillId="0" borderId="47" xfId="0" applyNumberFormat="1" applyFont="1" applyBorder="1" applyAlignment="1">
      <alignment vertical="center"/>
    </xf>
    <xf numFmtId="4" fontId="11" fillId="3" borderId="35" xfId="0" applyNumberFormat="1" applyFont="1" applyFill="1" applyBorder="1" applyAlignment="1">
      <alignment horizontal="right" vertical="center"/>
    </xf>
    <xf numFmtId="4" fontId="11" fillId="4" borderId="19" xfId="0" applyNumberFormat="1" applyFont="1" applyFill="1" applyBorder="1" applyAlignment="1">
      <alignment horizontal="right" vertical="center"/>
    </xf>
    <xf numFmtId="174" fontId="11" fillId="4" borderId="47" xfId="0" applyNumberFormat="1" applyFont="1" applyFill="1" applyBorder="1" applyAlignment="1">
      <alignment vertical="center"/>
    </xf>
    <xf numFmtId="4" fontId="11" fillId="3" borderId="40" xfId="0" applyNumberFormat="1" applyFont="1" applyFill="1" applyBorder="1" applyAlignment="1">
      <alignment horizontal="right" vertical="center"/>
    </xf>
    <xf numFmtId="174" fontId="11" fillId="3" borderId="41" xfId="0" applyNumberFormat="1" applyFont="1" applyFill="1" applyBorder="1" applyAlignment="1">
      <alignment vertical="center"/>
    </xf>
    <xf numFmtId="4" fontId="11" fillId="3" borderId="76" xfId="0" applyNumberFormat="1" applyFont="1" applyFill="1" applyBorder="1" applyAlignment="1">
      <alignment horizontal="right" vertical="center"/>
    </xf>
    <xf numFmtId="174" fontId="11" fillId="3" borderId="41" xfId="0" applyNumberFormat="1" applyFont="1" applyFill="1" applyBorder="1" applyAlignment="1">
      <alignment horizontal="center" vertical="center"/>
    </xf>
    <xf numFmtId="4" fontId="11" fillId="4" borderId="36" xfId="0" applyNumberFormat="1" applyFont="1" applyFill="1" applyBorder="1" applyAlignment="1">
      <alignment horizontal="right" vertical="center"/>
    </xf>
    <xf numFmtId="169" fontId="11" fillId="4" borderId="69" xfId="0" applyNumberFormat="1" applyFont="1" applyFill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174" fontId="13" fillId="0" borderId="14" xfId="0" applyNumberFormat="1" applyFont="1" applyBorder="1" applyAlignment="1">
      <alignment horizontal="right" vertical="center"/>
    </xf>
    <xf numFmtId="4" fontId="11" fillId="3" borderId="34" xfId="0" applyNumberFormat="1" applyFont="1" applyFill="1" applyBorder="1" applyAlignment="1">
      <alignment horizontal="right" vertical="center"/>
    </xf>
    <xf numFmtId="174" fontId="11" fillId="3" borderId="3" xfId="0" applyNumberFormat="1" applyFont="1" applyFill="1" applyBorder="1" applyAlignment="1">
      <alignment horizontal="right" vertical="center"/>
    </xf>
    <xf numFmtId="174" fontId="11" fillId="4" borderId="69" xfId="0" applyNumberFormat="1" applyFont="1" applyFill="1" applyBorder="1" applyAlignment="1">
      <alignment horizontal="right" vertical="center"/>
    </xf>
    <xf numFmtId="4" fontId="11" fillId="3" borderId="15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top"/>
    </xf>
    <xf numFmtId="169" fontId="10" fillId="0" borderId="47" xfId="0" applyNumberFormat="1" applyFont="1" applyFill="1" applyBorder="1" applyAlignment="1">
      <alignment horizontal="right" vertical="top"/>
    </xf>
    <xf numFmtId="169" fontId="10" fillId="3" borderId="14" xfId="0" applyNumberFormat="1" applyFont="1" applyFill="1" applyBorder="1" applyAlignment="1">
      <alignment horizontal="right" vertical="top"/>
    </xf>
    <xf numFmtId="169" fontId="11" fillId="3" borderId="47" xfId="0" applyNumberFormat="1" applyFont="1" applyFill="1" applyBorder="1" applyAlignment="1">
      <alignment horizontal="right" vertical="top"/>
    </xf>
    <xf numFmtId="4" fontId="11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1" fillId="3" borderId="18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1" fillId="0" borderId="44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174" fontId="10" fillId="0" borderId="3" xfId="0" applyNumberFormat="1" applyFont="1" applyBorder="1" applyAlignment="1">
      <alignment vertical="center"/>
    </xf>
    <xf numFmtId="174" fontId="10" fillId="0" borderId="1" xfId="0" applyNumberFormat="1" applyFont="1" applyBorder="1" applyAlignment="1">
      <alignment vertical="center"/>
    </xf>
    <xf numFmtId="174" fontId="11" fillId="3" borderId="47" xfId="0" applyNumberFormat="1" applyFont="1" applyFill="1" applyBorder="1" applyAlignment="1">
      <alignment vertical="center"/>
    </xf>
    <xf numFmtId="4" fontId="18" fillId="4" borderId="6" xfId="0" applyNumberFormat="1" applyFont="1" applyFill="1" applyBorder="1" applyAlignment="1">
      <alignment vertical="center"/>
    </xf>
    <xf numFmtId="174" fontId="18" fillId="4" borderId="60" xfId="0" applyNumberFormat="1" applyFont="1" applyFill="1" applyBorder="1" applyAlignment="1">
      <alignment vertical="center"/>
    </xf>
    <xf numFmtId="4" fontId="18" fillId="4" borderId="23" xfId="0" applyNumberFormat="1" applyFont="1" applyFill="1" applyBorder="1" applyAlignment="1">
      <alignment vertical="center"/>
    </xf>
    <xf numFmtId="174" fontId="18" fillId="4" borderId="77" xfId="0" applyNumberFormat="1" applyFont="1" applyFill="1" applyBorder="1" applyAlignment="1">
      <alignment vertical="center"/>
    </xf>
    <xf numFmtId="4" fontId="11" fillId="4" borderId="18" xfId="0" applyNumberFormat="1" applyFont="1" applyFill="1" applyBorder="1" applyAlignment="1">
      <alignment vertical="center"/>
    </xf>
    <xf numFmtId="174" fontId="10" fillId="0" borderId="77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174" fontId="11" fillId="0" borderId="60" xfId="0" applyNumberFormat="1" applyFont="1" applyBorder="1" applyAlignment="1">
      <alignment vertical="center"/>
    </xf>
    <xf numFmtId="4" fontId="10" fillId="0" borderId="34" xfId="0" applyNumberFormat="1" applyFont="1" applyFill="1" applyBorder="1" applyAlignment="1">
      <alignment vertical="center"/>
    </xf>
    <xf numFmtId="49" fontId="15" fillId="0" borderId="16" xfId="0" applyNumberFormat="1" applyFont="1" applyBorder="1" applyAlignment="1" applyProtection="1">
      <alignment/>
      <protection hidden="1"/>
    </xf>
    <xf numFmtId="4" fontId="15" fillId="0" borderId="10" xfId="0" applyNumberFormat="1" applyFont="1" applyFill="1" applyBorder="1" applyAlignment="1" applyProtection="1">
      <alignment/>
      <protection hidden="1"/>
    </xf>
    <xf numFmtId="4" fontId="11" fillId="3" borderId="36" xfId="0" applyNumberFormat="1" applyFont="1" applyFill="1" applyBorder="1" applyAlignment="1">
      <alignment horizontal="right" vertical="center"/>
    </xf>
    <xf numFmtId="174" fontId="11" fillId="3" borderId="69" xfId="0" applyNumberFormat="1" applyFont="1" applyFill="1" applyBorder="1" applyAlignment="1">
      <alignment vertical="center"/>
    </xf>
    <xf numFmtId="4" fontId="11" fillId="4" borderId="15" xfId="0" applyNumberFormat="1" applyFont="1" applyFill="1" applyBorder="1" applyAlignment="1">
      <alignment horizontal="right" vertical="center"/>
    </xf>
    <xf numFmtId="174" fontId="11" fillId="4" borderId="14" xfId="0" applyNumberFormat="1" applyFont="1" applyFill="1" applyBorder="1" applyAlignment="1">
      <alignment vertical="center"/>
    </xf>
    <xf numFmtId="4" fontId="10" fillId="0" borderId="31" xfId="0" applyNumberFormat="1" applyFont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11" fillId="4" borderId="61" xfId="0" applyNumberFormat="1" applyFont="1" applyFill="1" applyBorder="1" applyAlignment="1">
      <alignment horizontal="right" vertical="center"/>
    </xf>
    <xf numFmtId="49" fontId="13" fillId="0" borderId="31" xfId="0" applyNumberFormat="1" applyFont="1" applyBorder="1" applyAlignment="1">
      <alignment horizontal="center" vertical="top" wrapText="1"/>
    </xf>
    <xf numFmtId="49" fontId="13" fillId="0" borderId="31" xfId="0" applyNumberFormat="1" applyFont="1" applyBorder="1" applyAlignment="1">
      <alignment vertical="top" wrapText="1"/>
    </xf>
    <xf numFmtId="4" fontId="13" fillId="0" borderId="31" xfId="0" applyNumberFormat="1" applyFont="1" applyBorder="1" applyAlignment="1">
      <alignment vertical="top"/>
    </xf>
    <xf numFmtId="169" fontId="13" fillId="0" borderId="60" xfId="0" applyNumberFormat="1" applyFont="1" applyFill="1" applyBorder="1" applyAlignment="1">
      <alignment horizontal="right" vertical="top"/>
    </xf>
    <xf numFmtId="49" fontId="13" fillId="0" borderId="5" xfId="0" applyNumberFormat="1" applyFont="1" applyBorder="1" applyAlignment="1">
      <alignment horizontal="center" vertical="top"/>
    </xf>
    <xf numFmtId="4" fontId="11" fillId="0" borderId="30" xfId="0" applyNumberFormat="1" applyFont="1" applyFill="1" applyBorder="1" applyAlignment="1">
      <alignment horizontal="right" vertical="center"/>
    </xf>
    <xf numFmtId="174" fontId="11" fillId="0" borderId="6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horizontal="right" vertical="center"/>
    </xf>
    <xf numFmtId="174" fontId="10" fillId="0" borderId="6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 horizontal="right" vertical="center"/>
    </xf>
    <xf numFmtId="174" fontId="11" fillId="0" borderId="60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vertical="center"/>
    </xf>
    <xf numFmtId="174" fontId="10" fillId="0" borderId="6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174" fontId="10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174" fontId="11" fillId="0" borderId="6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174" fontId="10" fillId="0" borderId="6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20" fillId="2" borderId="1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174" fontId="10" fillId="0" borderId="3" xfId="0" applyNumberFormat="1" applyFont="1" applyFill="1" applyBorder="1" applyAlignment="1">
      <alignment horizontal="right" vertical="center"/>
    </xf>
    <xf numFmtId="174" fontId="11" fillId="0" borderId="3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4" fontId="11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10" fillId="2" borderId="60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0" fillId="0" borderId="77" xfId="0" applyNumberFormat="1" applyFont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4" fontId="11" fillId="2" borderId="60" xfId="0" applyNumberFormat="1" applyFon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3" fontId="14" fillId="2" borderId="10" xfId="0" applyNumberFormat="1" applyFont="1" applyFill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4" fontId="10" fillId="2" borderId="44" xfId="0" applyNumberFormat="1" applyFont="1" applyFill="1" applyBorder="1" applyAlignment="1">
      <alignment vertical="center"/>
    </xf>
    <xf numFmtId="4" fontId="10" fillId="2" borderId="45" xfId="0" applyNumberFormat="1" applyFont="1" applyFill="1" applyBorder="1" applyAlignment="1">
      <alignment vertical="center"/>
    </xf>
    <xf numFmtId="4" fontId="10" fillId="0" borderId="60" xfId="0" applyNumberFormat="1" applyFont="1" applyBorder="1" applyAlignment="1">
      <alignment vertical="center"/>
    </xf>
    <xf numFmtId="4" fontId="11" fillId="2" borderId="10" xfId="0" applyNumberFormat="1" applyFont="1" applyFill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3" fontId="22" fillId="2" borderId="44" xfId="0" applyNumberFormat="1" applyFont="1" applyFill="1" applyBorder="1" applyAlignment="1">
      <alignment vertical="center" wrapText="1"/>
    </xf>
    <xf numFmtId="4" fontId="13" fillId="2" borderId="44" xfId="0" applyNumberFormat="1" applyFont="1" applyFill="1" applyBorder="1" applyAlignment="1">
      <alignment vertical="center"/>
    </xf>
    <xf numFmtId="4" fontId="13" fillId="2" borderId="45" xfId="0" applyNumberFormat="1" applyFont="1" applyFill="1" applyBorder="1" applyAlignment="1">
      <alignment vertical="center" wrapText="1"/>
    </xf>
    <xf numFmtId="3" fontId="22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vertical="center"/>
    </xf>
    <xf numFmtId="4" fontId="13" fillId="0" borderId="60" xfId="0" applyNumberFormat="1" applyFont="1" applyBorder="1" applyAlignment="1">
      <alignment vertical="center" wrapText="1"/>
    </xf>
    <xf numFmtId="3" fontId="22" fillId="0" borderId="78" xfId="0" applyNumberFormat="1" applyFont="1" applyBorder="1" applyAlignment="1">
      <alignment vertical="center" wrapText="1"/>
    </xf>
    <xf numFmtId="4" fontId="13" fillId="0" borderId="78" xfId="0" applyNumberFormat="1" applyFont="1" applyBorder="1" applyAlignment="1">
      <alignment vertical="center"/>
    </xf>
    <xf numFmtId="4" fontId="13" fillId="0" borderId="79" xfId="0" applyNumberFormat="1" applyFont="1" applyBorder="1" applyAlignment="1">
      <alignment vertical="center" wrapText="1"/>
    </xf>
    <xf numFmtId="4" fontId="10" fillId="0" borderId="1" xfId="19" applyNumberFormat="1" applyFont="1" applyBorder="1" applyAlignment="1">
      <alignment vertical="center"/>
      <protection/>
    </xf>
    <xf numFmtId="4" fontId="10" fillId="0" borderId="34" xfId="19" applyNumberFormat="1" applyFont="1" applyBorder="1" applyAlignment="1">
      <alignment vertical="center"/>
      <protection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174" fontId="10" fillId="0" borderId="60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74" fontId="10" fillId="0" borderId="3" xfId="0" applyNumberFormat="1" applyFont="1" applyBorder="1" applyAlignment="1">
      <alignment vertical="center" wrapText="1"/>
    </xf>
    <xf numFmtId="4" fontId="10" fillId="0" borderId="53" xfId="0" applyNumberFormat="1" applyFont="1" applyBorder="1" applyAlignment="1">
      <alignment horizontal="right" vertical="center" wrapText="1"/>
    </xf>
    <xf numFmtId="174" fontId="10" fillId="0" borderId="80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horizontal="right" vertical="center" wrapText="1"/>
    </xf>
    <xf numFmtId="174" fontId="10" fillId="0" borderId="45" xfId="0" applyNumberFormat="1" applyFont="1" applyBorder="1" applyAlignment="1">
      <alignment vertical="center" wrapText="1"/>
    </xf>
    <xf numFmtId="4" fontId="10" fillId="0" borderId="64" xfId="0" applyNumberFormat="1" applyFont="1" applyBorder="1" applyAlignment="1">
      <alignment horizontal="right" vertical="center" wrapText="1"/>
    </xf>
    <xf numFmtId="174" fontId="10" fillId="0" borderId="81" xfId="0" applyNumberFormat="1" applyFont="1" applyBorder="1" applyAlignment="1">
      <alignment vertical="center" wrapText="1"/>
    </xf>
    <xf numFmtId="4" fontId="13" fillId="0" borderId="55" xfId="0" applyNumberFormat="1" applyFont="1" applyBorder="1" applyAlignment="1">
      <alignment horizontal="right" vertical="center" wrapText="1"/>
    </xf>
    <xf numFmtId="174" fontId="13" fillId="0" borderId="82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174" fontId="13" fillId="0" borderId="60" xfId="0" applyNumberFormat="1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4" fontId="13" fillId="0" borderId="64" xfId="0" applyNumberFormat="1" applyFont="1" applyBorder="1" applyAlignment="1">
      <alignment horizontal="right" vertical="center" wrapText="1"/>
    </xf>
    <xf numFmtId="174" fontId="13" fillId="0" borderId="81" xfId="0" applyNumberFormat="1" applyFont="1" applyBorder="1" applyAlignment="1">
      <alignment vertical="center" wrapText="1"/>
    </xf>
    <xf numFmtId="4" fontId="13" fillId="0" borderId="66" xfId="0" applyNumberFormat="1" applyFont="1" applyBorder="1" applyAlignment="1">
      <alignment horizontal="right" vertical="center" wrapText="1"/>
    </xf>
    <xf numFmtId="174" fontId="13" fillId="0" borderId="83" xfId="0" applyNumberFormat="1" applyFont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174" fontId="11" fillId="3" borderId="3" xfId="0" applyNumberFormat="1" applyFont="1" applyFill="1" applyBorder="1" applyAlignment="1">
      <alignment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174" fontId="11" fillId="3" borderId="60" xfId="0" applyNumberFormat="1" applyFont="1" applyFill="1" applyBorder="1" applyAlignment="1">
      <alignment vertical="center" wrapText="1"/>
    </xf>
    <xf numFmtId="4" fontId="13" fillId="0" borderId="59" xfId="0" applyNumberFormat="1" applyFont="1" applyBorder="1" applyAlignment="1">
      <alignment horizontal="right" vertical="center" wrapText="1"/>
    </xf>
    <xf numFmtId="4" fontId="13" fillId="0" borderId="31" xfId="0" applyNumberFormat="1" applyFont="1" applyBorder="1" applyAlignment="1">
      <alignment horizontal="righ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174" fontId="13" fillId="0" borderId="3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0" fontId="10" fillId="0" borderId="84" xfId="0" applyFont="1" applyBorder="1" applyAlignment="1">
      <alignment vertical="center" wrapText="1"/>
    </xf>
    <xf numFmtId="0" fontId="10" fillId="0" borderId="85" xfId="0" applyFont="1" applyBorder="1" applyAlignment="1">
      <alignment horizontal="center" vertical="center" wrapText="1"/>
    </xf>
    <xf numFmtId="4" fontId="10" fillId="0" borderId="84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vertical="center" wrapText="1"/>
    </xf>
    <xf numFmtId="174" fontId="10" fillId="0" borderId="60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174" fontId="10" fillId="0" borderId="77" xfId="0" applyNumberFormat="1" applyFont="1" applyBorder="1" applyAlignment="1">
      <alignment vertical="center" wrapText="1"/>
    </xf>
    <xf numFmtId="4" fontId="11" fillId="4" borderId="86" xfId="0" applyNumberFormat="1" applyFont="1" applyFill="1" applyBorder="1" applyAlignment="1">
      <alignment horizontal="right" vertical="center" wrapText="1"/>
    </xf>
    <xf numFmtId="174" fontId="11" fillId="4" borderId="87" xfId="0" applyNumberFormat="1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 wrapText="1"/>
    </xf>
    <xf numFmtId="174" fontId="18" fillId="0" borderId="0" xfId="0" applyNumberFormat="1" applyFont="1" applyBorder="1" applyAlignment="1">
      <alignment vertical="center" wrapText="1"/>
    </xf>
    <xf numFmtId="43" fontId="11" fillId="3" borderId="31" xfId="15" applyFont="1" applyFill="1" applyBorder="1" applyAlignment="1">
      <alignment vertical="center" wrapText="1"/>
    </xf>
    <xf numFmtId="169" fontId="11" fillId="3" borderId="60" xfId="21" applyNumberFormat="1" applyFont="1" applyFill="1" applyBorder="1" applyAlignment="1">
      <alignment vertical="center" wrapText="1"/>
      <protection/>
    </xf>
    <xf numFmtId="43" fontId="11" fillId="3" borderId="8" xfId="15" applyFont="1" applyFill="1" applyBorder="1" applyAlignment="1">
      <alignment vertical="center" wrapText="1"/>
    </xf>
    <xf numFmtId="169" fontId="11" fillId="3" borderId="45" xfId="21" applyNumberFormat="1" applyFont="1" applyFill="1" applyBorder="1" applyAlignment="1">
      <alignment vertical="center" wrapText="1"/>
      <protection/>
    </xf>
    <xf numFmtId="43" fontId="10" fillId="0" borderId="15" xfId="15" applyFont="1" applyBorder="1" applyAlignment="1">
      <alignment vertical="center" wrapText="1"/>
    </xf>
    <xf numFmtId="169" fontId="10" fillId="0" borderId="14" xfId="21" applyNumberFormat="1" applyFont="1" applyBorder="1" applyAlignment="1">
      <alignment vertical="center" wrapText="1"/>
      <protection/>
    </xf>
    <xf numFmtId="43" fontId="10" fillId="0" borderId="31" xfId="15" applyFont="1" applyBorder="1" applyAlignment="1">
      <alignment vertical="center" wrapText="1"/>
    </xf>
    <xf numFmtId="169" fontId="10" fillId="0" borderId="60" xfId="21" applyNumberFormat="1" applyFont="1" applyBorder="1" applyAlignment="1">
      <alignment vertical="center" wrapText="1"/>
      <protection/>
    </xf>
    <xf numFmtId="169" fontId="10" fillId="0" borderId="60" xfId="21" applyNumberFormat="1" applyFont="1" applyBorder="1" applyAlignment="1">
      <alignment horizontal="right" vertical="center" wrapText="1"/>
      <protection/>
    </xf>
    <xf numFmtId="43" fontId="11" fillId="3" borderId="34" xfId="15" applyFont="1" applyFill="1" applyBorder="1" applyAlignment="1">
      <alignment vertical="center" wrapText="1"/>
    </xf>
    <xf numFmtId="169" fontId="11" fillId="3" borderId="3" xfId="21" applyNumberFormat="1" applyFont="1" applyFill="1" applyBorder="1" applyAlignment="1">
      <alignment vertical="center" wrapText="1"/>
      <protection/>
    </xf>
    <xf numFmtId="169" fontId="11" fillId="3" borderId="60" xfId="21" applyNumberFormat="1" applyFont="1" applyFill="1" applyBorder="1" applyAlignment="1">
      <alignment horizontal="right" vertical="center" wrapText="1"/>
      <protection/>
    </xf>
    <xf numFmtId="169" fontId="11" fillId="3" borderId="14" xfId="21" applyNumberFormat="1" applyFont="1" applyFill="1" applyBorder="1" applyAlignment="1">
      <alignment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37" xfId="21" applyFont="1" applyFill="1" applyBorder="1" applyAlignment="1">
      <alignment vertical="center" wrapText="1"/>
      <protection/>
    </xf>
    <xf numFmtId="43" fontId="11" fillId="3" borderId="37" xfId="15" applyFont="1" applyFill="1" applyBorder="1" applyAlignment="1">
      <alignment vertical="center" wrapText="1"/>
    </xf>
    <xf numFmtId="169" fontId="11" fillId="3" borderId="38" xfId="21" applyNumberFormat="1" applyFont="1" applyFill="1" applyBorder="1" applyAlignment="1">
      <alignment horizontal="right" vertical="center" wrapText="1"/>
      <protection/>
    </xf>
    <xf numFmtId="43" fontId="11" fillId="3" borderId="30" xfId="15" applyFont="1" applyFill="1" applyBorder="1" applyAlignment="1">
      <alignment vertical="center" wrapText="1"/>
    </xf>
    <xf numFmtId="43" fontId="11" fillId="3" borderId="35" xfId="15" applyFont="1" applyFill="1" applyBorder="1" applyAlignment="1">
      <alignment vertical="center" wrapText="1"/>
    </xf>
    <xf numFmtId="169" fontId="11" fillId="3" borderId="42" xfId="21" applyNumberFormat="1" applyFont="1" applyFill="1" applyBorder="1" applyAlignment="1">
      <alignment vertical="center" wrapText="1"/>
      <protection/>
    </xf>
    <xf numFmtId="43" fontId="11" fillId="3" borderId="15" xfId="15" applyFont="1" applyFill="1" applyBorder="1" applyAlignment="1">
      <alignment vertical="center" wrapText="1"/>
    </xf>
    <xf numFmtId="43" fontId="13" fillId="0" borderId="15" xfId="15" applyFont="1" applyBorder="1" applyAlignment="1">
      <alignment vertical="center" wrapText="1"/>
    </xf>
    <xf numFmtId="169" fontId="13" fillId="0" borderId="14" xfId="21" applyNumberFormat="1" applyFont="1" applyBorder="1" applyAlignment="1">
      <alignment vertical="center" wrapText="1"/>
      <protection/>
    </xf>
    <xf numFmtId="43" fontId="13" fillId="0" borderId="31" xfId="15" applyFont="1" applyBorder="1" applyAlignment="1">
      <alignment vertical="center" wrapText="1"/>
    </xf>
    <xf numFmtId="169" fontId="13" fillId="0" borderId="60" xfId="21" applyNumberFormat="1" applyFont="1" applyBorder="1" applyAlignment="1">
      <alignment vertical="center" wrapText="1"/>
      <protection/>
    </xf>
    <xf numFmtId="43" fontId="10" fillId="0" borderId="19" xfId="15" applyFont="1" applyBorder="1" applyAlignment="1">
      <alignment vertical="center" wrapText="1"/>
    </xf>
    <xf numFmtId="169" fontId="10" fillId="0" borderId="47" xfId="21" applyNumberFormat="1" applyFont="1" applyBorder="1" applyAlignment="1">
      <alignment vertical="center" wrapText="1"/>
      <protection/>
    </xf>
    <xf numFmtId="43" fontId="11" fillId="3" borderId="1" xfId="15" applyFont="1" applyFill="1" applyBorder="1" applyAlignment="1">
      <alignment vertical="center" wrapText="1"/>
    </xf>
    <xf numFmtId="169" fontId="11" fillId="3" borderId="3" xfId="21" applyNumberFormat="1" applyFont="1" applyFill="1" applyBorder="1" applyAlignment="1">
      <alignment horizontal="right" vertical="center" wrapText="1"/>
      <protection/>
    </xf>
    <xf numFmtId="43" fontId="10" fillId="3" borderId="1" xfId="15" applyFont="1" applyFill="1" applyBorder="1" applyAlignment="1">
      <alignment vertical="center" wrapText="1"/>
    </xf>
    <xf numFmtId="43" fontId="11" fillId="3" borderId="19" xfId="15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 vertical="center"/>
    </xf>
    <xf numFmtId="169" fontId="13" fillId="0" borderId="62" xfId="0" applyNumberFormat="1" applyFont="1" applyFill="1" applyBorder="1" applyAlignment="1">
      <alignment vertical="center"/>
    </xf>
    <xf numFmtId="169" fontId="17" fillId="0" borderId="62" xfId="0" applyNumberFormat="1" applyFont="1" applyFill="1" applyBorder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/>
    </xf>
    <xf numFmtId="172" fontId="10" fillId="0" borderId="15" xfId="0" applyNumberFormat="1" applyFont="1" applyBorder="1" applyAlignment="1">
      <alignment horizontal="right" vertical="center"/>
    </xf>
    <xf numFmtId="172" fontId="13" fillId="0" borderId="15" xfId="0" applyNumberFormat="1" applyFont="1" applyBorder="1" applyAlignment="1">
      <alignment horizontal="right" vertical="center"/>
    </xf>
    <xf numFmtId="172" fontId="11" fillId="3" borderId="34" xfId="0" applyNumberFormat="1" applyFont="1" applyFill="1" applyBorder="1" applyAlignment="1">
      <alignment horizontal="right" vertical="center"/>
    </xf>
    <xf numFmtId="195" fontId="11" fillId="3" borderId="3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172" fontId="13" fillId="0" borderId="31" xfId="0" applyNumberFormat="1" applyFont="1" applyBorder="1" applyAlignment="1">
      <alignment horizontal="right" vertical="center"/>
    </xf>
    <xf numFmtId="195" fontId="13" fillId="0" borderId="60" xfId="0" applyNumberFormat="1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72" fontId="11" fillId="3" borderId="31" xfId="0" applyNumberFormat="1" applyFont="1" applyFill="1" applyBorder="1" applyAlignment="1">
      <alignment horizontal="center" vertical="center"/>
    </xf>
    <xf numFmtId="195" fontId="11" fillId="3" borderId="3" xfId="0" applyNumberFormat="1" applyFont="1" applyFill="1" applyBorder="1" applyAlignment="1">
      <alignment horizontal="center" vertical="center"/>
    </xf>
    <xf numFmtId="195" fontId="11" fillId="3" borderId="60" xfId="0" applyNumberFormat="1" applyFont="1" applyFill="1" applyBorder="1" applyAlignment="1">
      <alignment horizontal="center" vertical="center"/>
    </xf>
    <xf numFmtId="172" fontId="11" fillId="0" borderId="15" xfId="0" applyNumberFormat="1" applyFont="1" applyBorder="1" applyAlignment="1">
      <alignment horizontal="right" vertical="center"/>
    </xf>
    <xf numFmtId="195" fontId="11" fillId="0" borderId="45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195" fontId="11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11" fillId="2" borderId="0" xfId="22" applyFont="1" applyFill="1" applyAlignment="1">
      <alignment vertical="center"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11" fillId="2" borderId="3" xfId="22" applyFont="1" applyFill="1" applyBorder="1" applyAlignment="1">
      <alignment horizontal="center" vertical="center"/>
      <protection/>
    </xf>
    <xf numFmtId="0" fontId="11" fillId="2" borderId="2" xfId="22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0" fontId="11" fillId="0" borderId="0" xfId="19" applyFont="1" applyAlignment="1">
      <alignment horizontal="center" vertical="center"/>
      <protection/>
    </xf>
    <xf numFmtId="1" fontId="11" fillId="0" borderId="0" xfId="19" applyNumberFormat="1" applyFont="1" applyAlignment="1">
      <alignment horizontal="center" vertical="center"/>
      <protection/>
    </xf>
    <xf numFmtId="4" fontId="10" fillId="0" borderId="34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vertical="center"/>
      <protection/>
    </xf>
    <xf numFmtId="4" fontId="11" fillId="3" borderId="1" xfId="19" applyNumberFormat="1" applyFont="1" applyFill="1" applyBorder="1" applyAlignment="1">
      <alignment vertical="center"/>
      <protection/>
    </xf>
    <xf numFmtId="49" fontId="10" fillId="0" borderId="0" xfId="0" applyNumberFormat="1" applyFont="1" applyBorder="1" applyAlignment="1">
      <alignment vertical="center" wrapText="1"/>
    </xf>
    <xf numFmtId="172" fontId="10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Border="1" applyAlignment="1">
      <alignment horizontal="right" vertical="center"/>
    </xf>
    <xf numFmtId="174" fontId="10" fillId="0" borderId="77" xfId="0" applyNumberFormat="1" applyFont="1" applyBorder="1" applyAlignment="1">
      <alignment horizontal="right" vertical="center"/>
    </xf>
    <xf numFmtId="174" fontId="11" fillId="3" borderId="47" xfId="0" applyNumberFormat="1" applyFont="1" applyFill="1" applyBorder="1" applyAlignment="1">
      <alignment horizontal="right" vertical="center"/>
    </xf>
    <xf numFmtId="169" fontId="23" fillId="0" borderId="14" xfId="0" applyNumberFormat="1" applyFont="1" applyBorder="1" applyAlignment="1">
      <alignment vertical="center"/>
    </xf>
    <xf numFmtId="169" fontId="22" fillId="0" borderId="14" xfId="0" applyNumberFormat="1" applyFont="1" applyBorder="1" applyAlignment="1">
      <alignment vertical="center"/>
    </xf>
    <xf numFmtId="169" fontId="10" fillId="0" borderId="62" xfId="0" applyNumberFormat="1" applyFont="1" applyFill="1" applyBorder="1" applyAlignment="1">
      <alignment horizontal="right" vertical="top"/>
    </xf>
    <xf numFmtId="169" fontId="11" fillId="0" borderId="62" xfId="0" applyNumberFormat="1" applyFont="1" applyFill="1" applyBorder="1" applyAlignment="1">
      <alignment horizontal="right" vertical="top"/>
    </xf>
    <xf numFmtId="169" fontId="10" fillId="0" borderId="14" xfId="0" applyNumberFormat="1" applyFont="1" applyFill="1" applyBorder="1" applyAlignment="1">
      <alignment horizontal="right" vertical="top"/>
    </xf>
    <xf numFmtId="169" fontId="13" fillId="0" borderId="62" xfId="0" applyNumberFormat="1" applyFont="1" applyFill="1" applyBorder="1" applyAlignment="1">
      <alignment horizontal="right" vertical="top"/>
    </xf>
    <xf numFmtId="169" fontId="10" fillId="0" borderId="62" xfId="0" applyNumberFormat="1" applyFont="1" applyBorder="1" applyAlignment="1">
      <alignment horizontal="right" vertical="top"/>
    </xf>
    <xf numFmtId="49" fontId="10" fillId="0" borderId="15" xfId="0" applyNumberFormat="1" applyFont="1" applyBorder="1" applyAlignment="1">
      <alignment vertical="top"/>
    </xf>
    <xf numFmtId="49" fontId="10" fillId="0" borderId="16" xfId="0" applyNumberFormat="1" applyFont="1" applyBorder="1" applyAlignment="1">
      <alignment horizontal="center" vertical="top"/>
    </xf>
    <xf numFmtId="4" fontId="11" fillId="3" borderId="30" xfId="0" applyNumberFormat="1" applyFont="1" applyFill="1" applyBorder="1" applyAlignment="1">
      <alignment horizontal="right" vertical="center"/>
    </xf>
    <xf numFmtId="169" fontId="11" fillId="3" borderId="42" xfId="0" applyNumberFormat="1" applyFont="1" applyFill="1" applyBorder="1" applyAlignment="1">
      <alignment horizontal="right" vertical="center"/>
    </xf>
    <xf numFmtId="49" fontId="10" fillId="0" borderId="88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left" vertical="center" wrapText="1"/>
    </xf>
    <xf numFmtId="4" fontId="10" fillId="0" borderId="72" xfId="0" applyNumberFormat="1" applyFont="1" applyFill="1" applyBorder="1" applyAlignment="1">
      <alignment horizontal="right" vertical="center"/>
    </xf>
    <xf numFmtId="4" fontId="10" fillId="0" borderId="73" xfId="0" applyNumberFormat="1" applyFont="1" applyBorder="1" applyAlignment="1">
      <alignment vertical="center"/>
    </xf>
    <xf numFmtId="49" fontId="13" fillId="0" borderId="90" xfId="0" applyNumberFormat="1" applyFont="1" applyFill="1" applyBorder="1" applyAlignment="1">
      <alignment horizontal="center" vertical="center"/>
    </xf>
    <xf numFmtId="49" fontId="13" fillId="0" borderId="67" xfId="0" applyNumberFormat="1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left" vertical="center" wrapText="1"/>
    </xf>
    <xf numFmtId="4" fontId="13" fillId="0" borderId="67" xfId="0" applyNumberFormat="1" applyFont="1" applyFill="1" applyBorder="1" applyAlignment="1">
      <alignment horizontal="right" vertical="center"/>
    </xf>
    <xf numFmtId="4" fontId="13" fillId="0" borderId="91" xfId="0" applyNumberFormat="1" applyFont="1" applyFill="1" applyBorder="1" applyAlignment="1">
      <alignment horizontal="right" vertical="center"/>
    </xf>
    <xf numFmtId="4" fontId="13" fillId="0" borderId="75" xfId="0" applyNumberFormat="1" applyFont="1" applyBorder="1" applyAlignment="1">
      <alignment vertical="center"/>
    </xf>
    <xf numFmtId="49" fontId="13" fillId="0" borderId="92" xfId="0" applyNumberFormat="1" applyFont="1" applyFill="1" applyBorder="1" applyAlignment="1">
      <alignment horizontal="center" vertical="center"/>
    </xf>
    <xf numFmtId="49" fontId="13" fillId="0" borderId="93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left" vertical="center" wrapText="1"/>
    </xf>
    <xf numFmtId="4" fontId="13" fillId="0" borderId="93" xfId="0" applyNumberFormat="1" applyFont="1" applyFill="1" applyBorder="1" applyAlignment="1">
      <alignment horizontal="right" vertical="center"/>
    </xf>
    <xf numFmtId="4" fontId="13" fillId="0" borderId="94" xfId="0" applyNumberFormat="1" applyFont="1" applyFill="1" applyBorder="1" applyAlignment="1">
      <alignment horizontal="right" vertical="center"/>
    </xf>
    <xf numFmtId="4" fontId="13" fillId="0" borderId="95" xfId="0" applyNumberFormat="1" applyFont="1" applyBorder="1" applyAlignment="1">
      <alignment vertical="center"/>
    </xf>
    <xf numFmtId="4" fontId="10" fillId="0" borderId="73" xfId="0" applyNumberFormat="1" applyFont="1" applyFill="1" applyBorder="1" applyAlignment="1">
      <alignment horizontal="right" vertical="center"/>
    </xf>
    <xf numFmtId="49" fontId="10" fillId="0" borderId="88" xfId="0" applyNumberFormat="1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left" vertical="center" wrapText="1"/>
    </xf>
    <xf numFmtId="4" fontId="10" fillId="0" borderId="72" xfId="0" applyNumberFormat="1" applyFont="1" applyBorder="1" applyAlignment="1">
      <alignment horizontal="right" vertical="center"/>
    </xf>
    <xf numFmtId="4" fontId="10" fillId="0" borderId="73" xfId="0" applyNumberFormat="1" applyFont="1" applyBorder="1" applyAlignment="1">
      <alignment horizontal="right" vertical="center"/>
    </xf>
    <xf numFmtId="174" fontId="10" fillId="0" borderId="3" xfId="0" applyNumberFormat="1" applyFont="1" applyFill="1" applyBorder="1" applyAlignment="1">
      <alignment horizontal="right" vertical="center"/>
    </xf>
    <xf numFmtId="169" fontId="10" fillId="0" borderId="14" xfId="21" applyNumberFormat="1" applyFont="1" applyBorder="1" applyAlignment="1">
      <alignment horizontal="right" vertical="center" wrapText="1"/>
      <protection/>
    </xf>
    <xf numFmtId="169" fontId="11" fillId="3" borderId="47" xfId="21" applyNumberFormat="1" applyFont="1" applyFill="1" applyBorder="1" applyAlignment="1">
      <alignment horizontal="right" vertical="center" wrapText="1"/>
      <protection/>
    </xf>
    <xf numFmtId="0" fontId="10" fillId="0" borderId="20" xfId="21" applyFont="1" applyBorder="1" applyAlignment="1">
      <alignment horizontal="center" vertical="center" wrapText="1"/>
      <protection/>
    </xf>
    <xf numFmtId="49" fontId="11" fillId="3" borderId="27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vertical="center" wrapText="1"/>
    </xf>
    <xf numFmtId="4" fontId="13" fillId="0" borderId="18" xfId="0" applyNumberFormat="1" applyFont="1" applyBorder="1" applyAlignment="1">
      <alignment vertical="center"/>
    </xf>
    <xf numFmtId="169" fontId="13" fillId="0" borderId="68" xfId="0" applyNumberFormat="1" applyFont="1" applyBorder="1" applyAlignment="1">
      <alignment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vertical="center" wrapText="1"/>
    </xf>
    <xf numFmtId="4" fontId="23" fillId="0" borderId="6" xfId="0" applyNumberFormat="1" applyFont="1" applyBorder="1" applyAlignment="1">
      <alignment vertical="center"/>
    </xf>
    <xf numFmtId="169" fontId="23" fillId="0" borderId="70" xfId="0" applyNumberFormat="1" applyFont="1" applyBorder="1" applyAlignment="1">
      <alignment vertical="center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57" xfId="0" applyNumberFormat="1" applyFont="1" applyFill="1" applyBorder="1" applyAlignment="1">
      <alignment horizontal="center" vertical="center"/>
    </xf>
    <xf numFmtId="49" fontId="11" fillId="4" borderId="96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169" fontId="11" fillId="4" borderId="3" xfId="0" applyNumberFormat="1" applyFont="1" applyFill="1" applyBorder="1" applyAlignment="1">
      <alignment vertical="center"/>
    </xf>
    <xf numFmtId="174" fontId="11" fillId="4" borderId="12" xfId="0" applyNumberFormat="1" applyFont="1" applyFill="1" applyBorder="1" applyAlignment="1">
      <alignment vertical="center"/>
    </xf>
    <xf numFmtId="174" fontId="11" fillId="4" borderId="38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9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49" fontId="11" fillId="3" borderId="32" xfId="0" applyNumberFormat="1" applyFont="1" applyFill="1" applyBorder="1" applyAlignment="1">
      <alignment horizontal="center" vertical="center"/>
    </xf>
    <xf numFmtId="49" fontId="11" fillId="3" borderId="4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98" xfId="0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35" xfId="0" applyFont="1" applyFill="1" applyBorder="1" applyAlignment="1">
      <alignment vertical="center"/>
    </xf>
    <xf numFmtId="0" fontId="11" fillId="2" borderId="97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4" fontId="11" fillId="4" borderId="34" xfId="22" applyNumberFormat="1" applyFont="1" applyFill="1" applyBorder="1" applyAlignment="1">
      <alignment horizontal="center" vertical="center"/>
      <protection/>
    </xf>
    <xf numFmtId="4" fontId="11" fillId="4" borderId="96" xfId="22" applyNumberFormat="1" applyFont="1" applyFill="1" applyBorder="1" applyAlignment="1">
      <alignment horizontal="center" vertical="center"/>
      <protection/>
    </xf>
    <xf numFmtId="0" fontId="11" fillId="2" borderId="40" xfId="22" applyFont="1" applyFill="1" applyBorder="1" applyAlignment="1">
      <alignment horizontal="center" vertical="center" wrapText="1"/>
      <protection/>
    </xf>
    <xf numFmtId="0" fontId="11" fillId="2" borderId="6" xfId="22" applyFont="1" applyFill="1" applyBorder="1" applyAlignment="1">
      <alignment horizontal="center" vertical="center" wrapText="1"/>
      <protection/>
    </xf>
    <xf numFmtId="0" fontId="11" fillId="3" borderId="2" xfId="22" applyFont="1" applyFill="1" applyBorder="1" applyAlignment="1">
      <alignment horizontal="center" vertical="center"/>
      <protection/>
    </xf>
    <xf numFmtId="0" fontId="11" fillId="3" borderId="1" xfId="22" applyFont="1" applyFill="1" applyBorder="1" applyAlignment="1">
      <alignment horizontal="center" vertical="center"/>
      <protection/>
    </xf>
    <xf numFmtId="0" fontId="11" fillId="4" borderId="2" xfId="22" applyFont="1" applyFill="1" applyBorder="1" applyAlignment="1">
      <alignment horizontal="center" vertical="center"/>
      <protection/>
    </xf>
    <xf numFmtId="0" fontId="11" fillId="4" borderId="1" xfId="22" applyFont="1" applyFill="1" applyBorder="1" applyAlignment="1">
      <alignment horizontal="center" vertical="center"/>
      <protection/>
    </xf>
    <xf numFmtId="0" fontId="11" fillId="2" borderId="98" xfId="22" applyFont="1" applyFill="1" applyBorder="1" applyAlignment="1">
      <alignment horizontal="center" vertical="center" wrapText="1"/>
      <protection/>
    </xf>
    <xf numFmtId="4" fontId="11" fillId="4" borderId="99" xfId="2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11" fillId="4" borderId="12" xfId="22" applyFont="1" applyFill="1" applyBorder="1" applyAlignment="1">
      <alignment horizontal="center" vertical="center"/>
      <protection/>
    </xf>
    <xf numFmtId="0" fontId="11" fillId="2" borderId="39" xfId="22" applyFont="1" applyFill="1" applyBorder="1" applyAlignment="1">
      <alignment horizontal="center" vertical="center" wrapText="1"/>
      <protection/>
    </xf>
    <xf numFmtId="0" fontId="11" fillId="2" borderId="5" xfId="22" applyFont="1" applyFill="1" applyBorder="1" applyAlignment="1">
      <alignment horizontal="center" vertical="center" wrapText="1"/>
      <protection/>
    </xf>
    <xf numFmtId="0" fontId="11" fillId="2" borderId="35" xfId="22" applyFont="1" applyFill="1" applyBorder="1" applyAlignment="1">
      <alignment horizontal="center" vertical="center" wrapText="1"/>
      <protection/>
    </xf>
    <xf numFmtId="0" fontId="11" fillId="2" borderId="97" xfId="22" applyFont="1" applyFill="1" applyBorder="1" applyAlignment="1">
      <alignment horizontal="center" vertical="center" wrapText="1"/>
      <protection/>
    </xf>
    <xf numFmtId="0" fontId="11" fillId="0" borderId="0" xfId="22" applyFont="1" applyAlignment="1">
      <alignment horizontal="center" vertical="center" wrapText="1"/>
      <protection/>
    </xf>
    <xf numFmtId="4" fontId="11" fillId="3" borderId="34" xfId="22" applyNumberFormat="1" applyFont="1" applyFill="1" applyBorder="1" applyAlignment="1">
      <alignment horizontal="center" vertical="center"/>
      <protection/>
    </xf>
    <xf numFmtId="4" fontId="11" fillId="3" borderId="99" xfId="22" applyNumberFormat="1" applyFont="1" applyFill="1" applyBorder="1" applyAlignment="1">
      <alignment horizontal="center" vertical="center"/>
      <protection/>
    </xf>
    <xf numFmtId="0" fontId="11" fillId="7" borderId="39" xfId="22" applyFont="1" applyFill="1" applyBorder="1" applyAlignment="1">
      <alignment horizontal="center" vertical="center" wrapText="1"/>
      <protection/>
    </xf>
    <xf numFmtId="0" fontId="11" fillId="7" borderId="5" xfId="22" applyFont="1" applyFill="1" applyBorder="1" applyAlignment="1">
      <alignment horizontal="center" vertical="center" wrapText="1"/>
      <protection/>
    </xf>
    <xf numFmtId="0" fontId="11" fillId="7" borderId="40" xfId="22" applyFont="1" applyFill="1" applyBorder="1" applyAlignment="1">
      <alignment horizontal="center" vertical="center" wrapText="1"/>
      <protection/>
    </xf>
    <xf numFmtId="0" fontId="11" fillId="7" borderId="6" xfId="22" applyFont="1" applyFill="1" applyBorder="1" applyAlignment="1">
      <alignment horizontal="center" vertical="center" wrapText="1"/>
      <protection/>
    </xf>
    <xf numFmtId="0" fontId="11" fillId="7" borderId="35" xfId="22" applyFont="1" applyFill="1" applyBorder="1" applyAlignment="1">
      <alignment horizontal="center" vertical="center" wrapText="1"/>
      <protection/>
    </xf>
    <xf numFmtId="0" fontId="11" fillId="7" borderId="97" xfId="22" applyFont="1" applyFill="1" applyBorder="1" applyAlignment="1">
      <alignment horizontal="center" vertical="center" wrapText="1"/>
      <protection/>
    </xf>
    <xf numFmtId="4" fontId="11" fillId="4" borderId="37" xfId="22" applyNumberFormat="1" applyFont="1" applyFill="1" applyBorder="1" applyAlignment="1">
      <alignment horizontal="center" vertical="center"/>
      <protection/>
    </xf>
    <xf numFmtId="4" fontId="11" fillId="4" borderId="100" xfId="22" applyNumberFormat="1" applyFont="1" applyFill="1" applyBorder="1" applyAlignment="1">
      <alignment horizontal="center" vertical="center"/>
      <protection/>
    </xf>
    <xf numFmtId="4" fontId="11" fillId="4" borderId="101" xfId="22" applyNumberFormat="1" applyFont="1" applyFill="1" applyBorder="1" applyAlignment="1">
      <alignment horizontal="center" vertical="center"/>
      <protection/>
    </xf>
    <xf numFmtId="4" fontId="11" fillId="3" borderId="96" xfId="22" applyNumberFormat="1" applyFont="1" applyFill="1" applyBorder="1" applyAlignment="1">
      <alignment horizontal="center" vertical="center"/>
      <protection/>
    </xf>
    <xf numFmtId="0" fontId="11" fillId="3" borderId="4" xfId="22" applyFont="1" applyFill="1" applyBorder="1" applyAlignment="1">
      <alignment horizontal="center" vertical="center"/>
      <protection/>
    </xf>
    <xf numFmtId="0" fontId="11" fillId="3" borderId="96" xfId="22" applyFont="1" applyFill="1" applyBorder="1" applyAlignment="1">
      <alignment horizontal="center" vertical="center"/>
      <protection/>
    </xf>
    <xf numFmtId="0" fontId="11" fillId="4" borderId="46" xfId="22" applyFont="1" applyFill="1" applyBorder="1" applyAlignment="1">
      <alignment horizontal="center" vertical="center"/>
      <protection/>
    </xf>
    <xf numFmtId="0" fontId="11" fillId="4" borderId="100" xfId="22" applyFont="1" applyFill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 wrapText="1"/>
      <protection/>
    </xf>
    <xf numFmtId="0" fontId="11" fillId="7" borderId="98" xfId="22" applyFont="1" applyFill="1" applyBorder="1" applyAlignment="1">
      <alignment horizontal="center" vertical="center" wrapText="1"/>
      <protection/>
    </xf>
    <xf numFmtId="0" fontId="11" fillId="4" borderId="11" xfId="22" applyFont="1" applyFill="1" applyBorder="1" applyAlignment="1">
      <alignment horizontal="center" vertical="center"/>
      <protection/>
    </xf>
    <xf numFmtId="49" fontId="11" fillId="3" borderId="97" xfId="0" applyNumberFormat="1" applyFont="1" applyFill="1" applyBorder="1" applyAlignment="1">
      <alignment horizontal="center" vertical="center"/>
    </xf>
    <xf numFmtId="49" fontId="11" fillId="4" borderId="102" xfId="0" applyNumberFormat="1" applyFont="1" applyFill="1" applyBorder="1" applyAlignment="1">
      <alignment horizontal="center" vertical="center"/>
    </xf>
    <xf numFmtId="49" fontId="11" fillId="4" borderId="103" xfId="0" applyNumberFormat="1" applyFont="1" applyFill="1" applyBorder="1" applyAlignment="1">
      <alignment horizontal="center" vertical="center"/>
    </xf>
    <xf numFmtId="49" fontId="11" fillId="4" borderId="104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top"/>
    </xf>
    <xf numFmtId="169" fontId="13" fillId="0" borderId="14" xfId="0" applyNumberFormat="1" applyFont="1" applyFill="1" applyBorder="1" applyAlignment="1">
      <alignment horizontal="right" vertical="top"/>
    </xf>
    <xf numFmtId="49" fontId="11" fillId="3" borderId="24" xfId="0" applyNumberFormat="1" applyFont="1" applyFill="1" applyBorder="1" applyAlignment="1">
      <alignment horizontal="center" vertical="center"/>
    </xf>
    <xf numFmtId="49" fontId="11" fillId="3" borderId="27" xfId="0" applyNumberFormat="1" applyFont="1" applyFill="1" applyBorder="1" applyAlignment="1">
      <alignment horizontal="center" vertical="center"/>
    </xf>
    <xf numFmtId="49" fontId="11" fillId="3" borderId="26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8" fillId="3" borderId="105" xfId="0" applyNumberFormat="1" applyFont="1" applyFill="1" applyBorder="1" applyAlignment="1">
      <alignment horizontal="left" vertical="center"/>
    </xf>
    <xf numFmtId="49" fontId="18" fillId="3" borderId="106" xfId="0" applyNumberFormat="1" applyFont="1" applyFill="1" applyBorder="1" applyAlignment="1">
      <alignment horizontal="left" vertical="center"/>
    </xf>
    <xf numFmtId="49" fontId="18" fillId="3" borderId="2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center"/>
      <protection hidden="1"/>
    </xf>
    <xf numFmtId="49" fontId="11" fillId="3" borderId="4" xfId="0" applyNumberFormat="1" applyFont="1" applyFill="1" applyBorder="1" applyAlignment="1">
      <alignment horizontal="center" vertical="center"/>
    </xf>
    <xf numFmtId="49" fontId="11" fillId="3" borderId="57" xfId="0" applyNumberFormat="1" applyFont="1" applyFill="1" applyBorder="1" applyAlignment="1">
      <alignment horizontal="center" vertical="center"/>
    </xf>
    <xf numFmtId="49" fontId="11" fillId="3" borderId="96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97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wrapText="1"/>
    </xf>
    <xf numFmtId="0" fontId="11" fillId="0" borderId="21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7" xfId="0" applyFont="1" applyFill="1" applyBorder="1" applyAlignment="1">
      <alignment horizontal="left" vertical="center" wrapText="1"/>
    </xf>
    <xf numFmtId="0" fontId="18" fillId="4" borderId="108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 vertical="center"/>
    </xf>
    <xf numFmtId="0" fontId="18" fillId="4" borderId="109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1" fillId="4" borderId="17" xfId="0" applyNumberFormat="1" applyFont="1" applyFill="1" applyBorder="1" applyAlignment="1">
      <alignment horizontal="center" vertical="center"/>
    </xf>
    <xf numFmtId="49" fontId="11" fillId="4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49" fontId="11" fillId="2" borderId="29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20" fillId="2" borderId="30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9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3" fontId="10" fillId="0" borderId="7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96" xfId="0" applyFont="1" applyFill="1" applyBorder="1" applyAlignment="1">
      <alignment horizontal="center" vertical="center" wrapText="1"/>
    </xf>
    <xf numFmtId="0" fontId="11" fillId="4" borderId="114" xfId="0" applyFont="1" applyFill="1" applyBorder="1" applyAlignment="1">
      <alignment horizontal="center" vertical="center" wrapText="1"/>
    </xf>
    <xf numFmtId="0" fontId="11" fillId="4" borderId="115" xfId="0" applyFont="1" applyFill="1" applyBorder="1" applyAlignment="1">
      <alignment horizontal="center" vertical="center" wrapText="1"/>
    </xf>
    <xf numFmtId="0" fontId="11" fillId="4" borderId="116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96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3" borderId="24" xfId="0" applyNumberFormat="1" applyFont="1" applyFill="1" applyBorder="1" applyAlignment="1">
      <alignment horizontal="center" vertical="center"/>
    </xf>
    <xf numFmtId="49" fontId="11" fillId="3" borderId="27" xfId="0" applyNumberFormat="1" applyFont="1" applyFill="1" applyBorder="1" applyAlignment="1">
      <alignment horizontal="center" vertical="center"/>
    </xf>
    <xf numFmtId="49" fontId="11" fillId="3" borderId="26" xfId="0" applyNumberFormat="1" applyFont="1" applyFill="1" applyBorder="1" applyAlignment="1">
      <alignment horizontal="center" vertical="center"/>
    </xf>
    <xf numFmtId="49" fontId="11" fillId="3" borderId="32" xfId="0" applyNumberFormat="1" applyFont="1" applyFill="1" applyBorder="1" applyAlignment="1">
      <alignment horizontal="center" vertical="center"/>
    </xf>
    <xf numFmtId="49" fontId="11" fillId="3" borderId="48" xfId="0" applyNumberFormat="1" applyFont="1" applyFill="1" applyBorder="1" applyAlignment="1">
      <alignment horizontal="center" vertical="center"/>
    </xf>
    <xf numFmtId="49" fontId="11" fillId="3" borderId="97" xfId="0" applyNumberFormat="1" applyFont="1" applyFill="1" applyBorder="1" applyAlignment="1">
      <alignment horizontal="center" vertical="center"/>
    </xf>
    <xf numFmtId="0" fontId="11" fillId="3" borderId="34" xfId="19" applyFont="1" applyFill="1" applyBorder="1" applyAlignment="1">
      <alignment horizontal="center" vertical="center"/>
      <protection/>
    </xf>
    <xf numFmtId="0" fontId="11" fillId="3" borderId="57" xfId="19" applyFont="1" applyFill="1" applyBorder="1" applyAlignment="1">
      <alignment horizontal="center" vertical="center"/>
      <protection/>
    </xf>
    <xf numFmtId="0" fontId="11" fillId="3" borderId="96" xfId="19" applyFont="1" applyFill="1" applyBorder="1" applyAlignment="1">
      <alignment horizontal="center" vertical="center"/>
      <protection/>
    </xf>
    <xf numFmtId="0" fontId="11" fillId="0" borderId="0" xfId="19" applyFont="1" applyAlignment="1">
      <alignment horizontal="center"/>
      <protection/>
    </xf>
    <xf numFmtId="0" fontId="11" fillId="4" borderId="33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0" borderId="0" xfId="18" applyFont="1" applyAlignment="1">
      <alignment horizontal="center" vertical="center"/>
      <protection/>
    </xf>
    <xf numFmtId="0" fontId="11" fillId="4" borderId="33" xfId="18" applyFont="1" applyFill="1" applyBorder="1" applyAlignment="1">
      <alignment horizontal="center" vertical="center"/>
      <protection/>
    </xf>
    <xf numFmtId="0" fontId="11" fillId="4" borderId="61" xfId="18" applyFont="1" applyFill="1" applyBorder="1" applyAlignment="1">
      <alignment horizontal="center" vertical="center"/>
      <protection/>
    </xf>
    <xf numFmtId="0" fontId="11" fillId="4" borderId="11" xfId="18" applyFont="1" applyFill="1" applyBorder="1" applyAlignment="1">
      <alignment horizontal="center" vertical="center"/>
      <protection/>
    </xf>
    <xf numFmtId="0" fontId="11" fillId="4" borderId="12" xfId="18" applyFont="1" applyFill="1" applyBorder="1" applyAlignment="1">
      <alignment horizontal="center" vertical="center"/>
      <protection/>
    </xf>
    <xf numFmtId="0" fontId="11" fillId="4" borderId="36" xfId="0" applyFont="1" applyFill="1" applyBorder="1" applyAlignment="1">
      <alignment horizontal="center" vertical="center"/>
    </xf>
    <xf numFmtId="0" fontId="11" fillId="4" borderId="102" xfId="0" applyFont="1" applyFill="1" applyBorder="1" applyAlignment="1">
      <alignment horizontal="center" vertical="center"/>
    </xf>
    <xf numFmtId="0" fontId="11" fillId="4" borderId="10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0" borderId="0" xfId="21" applyFont="1" applyAlignment="1">
      <alignment horizontal="center" vertical="center" wrapText="1"/>
      <protection/>
    </xf>
    <xf numFmtId="0" fontId="11" fillId="0" borderId="0" xfId="20" applyFont="1" applyAlignment="1">
      <alignment horizontal="right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fundusze" xfId="18"/>
    <cellStyle name="Normalny_niewygasy 2006" xfId="19"/>
    <cellStyle name="Normalny_tabele2007" xfId="20"/>
    <cellStyle name="Normalny_zaklady opieki zdrowotnej" xfId="21"/>
    <cellStyle name="Normalny_Zmiany w budżecie 2006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57"/>
  <sheetViews>
    <sheetView view="pageBreakPreview" zoomScaleSheetLayoutView="100" workbookViewId="0" topLeftCell="A37">
      <selection activeCell="J47" sqref="J47"/>
    </sheetView>
  </sheetViews>
  <sheetFormatPr defaultColWidth="9.00390625" defaultRowHeight="12.75"/>
  <cols>
    <col min="1" max="1" width="14.375" style="28" customWidth="1"/>
    <col min="2" max="2" width="17.00390625" style="28" customWidth="1"/>
    <col min="3" max="3" width="13.75390625" style="27" customWidth="1"/>
    <col min="4" max="4" width="13.875" style="27" customWidth="1"/>
    <col min="5" max="5" width="14.25390625" style="27" customWidth="1"/>
    <col min="6" max="6" width="13.625" style="27" customWidth="1"/>
    <col min="7" max="7" width="17.25390625" style="27" customWidth="1"/>
    <col min="8" max="8" width="5.25390625" style="27" customWidth="1"/>
    <col min="9" max="9" width="13.875" style="27" customWidth="1"/>
    <col min="10" max="10" width="13.375" style="27" customWidth="1"/>
    <col min="11" max="16384" width="9.125" style="27" customWidth="1"/>
  </cols>
  <sheetData>
    <row r="1" spans="1:6" ht="26.25" customHeight="1">
      <c r="A1" s="27"/>
      <c r="B1" s="27"/>
      <c r="F1" s="511" t="s">
        <v>239</v>
      </c>
    </row>
    <row r="2" spans="1:6" ht="26.25" customHeight="1">
      <c r="A2" s="26"/>
      <c r="B2" s="26"/>
      <c r="C2" s="26"/>
      <c r="D2" s="26"/>
      <c r="E2" s="26"/>
      <c r="F2" s="26"/>
    </row>
    <row r="3" spans="1:6" ht="36" customHeight="1">
      <c r="A3" s="1438" t="s">
        <v>1297</v>
      </c>
      <c r="B3" s="1438"/>
      <c r="C3" s="1438"/>
      <c r="D3" s="1438"/>
      <c r="E3" s="1438"/>
      <c r="F3" s="1438"/>
    </row>
    <row r="4" spans="6:8" ht="18" customHeight="1" thickBot="1">
      <c r="F4" s="29" t="s">
        <v>833</v>
      </c>
      <c r="G4" s="1455" t="s">
        <v>1298</v>
      </c>
      <c r="H4" s="1455"/>
    </row>
    <row r="5" spans="1:8" s="30" customFormat="1" ht="18" customHeight="1">
      <c r="A5" s="1441" t="s">
        <v>39</v>
      </c>
      <c r="B5" s="1443" t="s">
        <v>814</v>
      </c>
      <c r="C5" s="1445" t="s">
        <v>1316</v>
      </c>
      <c r="D5" s="1446"/>
      <c r="E5" s="1445" t="s">
        <v>1317</v>
      </c>
      <c r="F5" s="1456"/>
      <c r="G5" s="1455"/>
      <c r="H5" s="1455"/>
    </row>
    <row r="6" spans="1:6" s="31" customFormat="1" ht="18" customHeight="1">
      <c r="A6" s="1442"/>
      <c r="B6" s="1444"/>
      <c r="C6" s="509" t="s">
        <v>40</v>
      </c>
      <c r="D6" s="509" t="s">
        <v>41</v>
      </c>
      <c r="E6" s="509" t="s">
        <v>40</v>
      </c>
      <c r="F6" s="510" t="s">
        <v>41</v>
      </c>
    </row>
    <row r="7" spans="1:6" s="413" customFormat="1" ht="13.5" customHeight="1">
      <c r="A7" s="544">
        <v>1</v>
      </c>
      <c r="B7" s="545">
        <v>2</v>
      </c>
      <c r="C7" s="546">
        <v>3</v>
      </c>
      <c r="D7" s="546">
        <v>4</v>
      </c>
      <c r="E7" s="546">
        <v>5</v>
      </c>
      <c r="F7" s="547">
        <v>6</v>
      </c>
    </row>
    <row r="8" spans="1:6" s="31" customFormat="1" ht="18" customHeight="1">
      <c r="A8" s="1451" t="s">
        <v>42</v>
      </c>
      <c r="B8" s="1452"/>
      <c r="C8" s="1439">
        <v>215027682</v>
      </c>
      <c r="D8" s="1450"/>
      <c r="E8" s="1439">
        <v>202542127</v>
      </c>
      <c r="F8" s="1440"/>
    </row>
    <row r="9" spans="1:10" s="41" customFormat="1" ht="18" customHeight="1">
      <c r="A9" s="37" t="s">
        <v>1256</v>
      </c>
      <c r="B9" s="38" t="s">
        <v>827</v>
      </c>
      <c r="C9" s="39">
        <v>0</v>
      </c>
      <c r="D9" s="39">
        <v>0</v>
      </c>
      <c r="E9" s="39">
        <v>-243623</v>
      </c>
      <c r="F9" s="40">
        <v>243623</v>
      </c>
      <c r="G9" s="41" t="s">
        <v>1296</v>
      </c>
      <c r="H9" s="41" t="s">
        <v>1109</v>
      </c>
      <c r="I9" s="842"/>
      <c r="J9" s="842"/>
    </row>
    <row r="10" spans="1:10" ht="18" customHeight="1">
      <c r="A10" s="32" t="s">
        <v>1257</v>
      </c>
      <c r="B10" s="33" t="s">
        <v>1258</v>
      </c>
      <c r="C10" s="34">
        <v>0</v>
      </c>
      <c r="D10" s="34">
        <v>420356</v>
      </c>
      <c r="E10" s="34">
        <v>-167000</v>
      </c>
      <c r="F10" s="35">
        <v>587356</v>
      </c>
      <c r="H10" s="41" t="s">
        <v>1110</v>
      </c>
      <c r="I10" s="842"/>
      <c r="J10" s="842"/>
    </row>
    <row r="11" spans="1:10" s="41" customFormat="1" ht="18" customHeight="1">
      <c r="A11" s="37" t="s">
        <v>1257</v>
      </c>
      <c r="B11" s="38" t="s">
        <v>1259</v>
      </c>
      <c r="C11" s="39">
        <v>0</v>
      </c>
      <c r="D11" s="39">
        <v>0</v>
      </c>
      <c r="E11" s="39">
        <v>-1200389</v>
      </c>
      <c r="F11" s="40">
        <v>1200389</v>
      </c>
      <c r="G11" s="41" t="s">
        <v>1296</v>
      </c>
      <c r="H11" s="41" t="s">
        <v>1192</v>
      </c>
      <c r="I11" s="842"/>
      <c r="J11" s="842"/>
    </row>
    <row r="12" spans="1:10" s="41" customFormat="1" ht="18" customHeight="1">
      <c r="A12" s="37" t="s">
        <v>1260</v>
      </c>
      <c r="B12" s="38" t="s">
        <v>1261</v>
      </c>
      <c r="C12" s="39">
        <v>0</v>
      </c>
      <c r="D12" s="39">
        <v>0</v>
      </c>
      <c r="E12" s="39">
        <v>-7136</v>
      </c>
      <c r="F12" s="40">
        <v>7136</v>
      </c>
      <c r="G12" s="41" t="s">
        <v>1296</v>
      </c>
      <c r="H12" s="41" t="s">
        <v>1199</v>
      </c>
      <c r="I12" s="842"/>
      <c r="J12" s="842"/>
    </row>
    <row r="13" spans="1:10" s="41" customFormat="1" ht="18" customHeight="1">
      <c r="A13" s="37" t="s">
        <v>1262</v>
      </c>
      <c r="B13" s="38" t="s">
        <v>1263</v>
      </c>
      <c r="C13" s="39">
        <v>0</v>
      </c>
      <c r="D13" s="39">
        <v>0</v>
      </c>
      <c r="E13" s="39">
        <v>-15600</v>
      </c>
      <c r="F13" s="40">
        <v>15600</v>
      </c>
      <c r="G13" s="41" t="s">
        <v>1296</v>
      </c>
      <c r="H13" s="41" t="s">
        <v>1200</v>
      </c>
      <c r="I13" s="842"/>
      <c r="J13" s="842"/>
    </row>
    <row r="14" spans="1:10" ht="18" customHeight="1">
      <c r="A14" s="32" t="s">
        <v>1264</v>
      </c>
      <c r="B14" s="33" t="s">
        <v>1265</v>
      </c>
      <c r="C14" s="34">
        <v>0</v>
      </c>
      <c r="D14" s="34">
        <v>0</v>
      </c>
      <c r="E14" s="34">
        <v>-1152000</v>
      </c>
      <c r="F14" s="35">
        <v>3844661</v>
      </c>
      <c r="H14" s="41" t="s">
        <v>1201</v>
      </c>
      <c r="I14" s="842"/>
      <c r="J14" s="842"/>
    </row>
    <row r="15" spans="1:10" ht="18" customHeight="1">
      <c r="A15" s="32" t="s">
        <v>1275</v>
      </c>
      <c r="B15" s="33" t="s">
        <v>1276</v>
      </c>
      <c r="C15" s="34">
        <v>-756</v>
      </c>
      <c r="D15" s="34">
        <v>2001600</v>
      </c>
      <c r="E15" s="34">
        <v>-756</v>
      </c>
      <c r="F15" s="35">
        <v>2001600</v>
      </c>
      <c r="H15" s="41" t="s">
        <v>1310</v>
      </c>
      <c r="I15" s="842"/>
      <c r="J15" s="842"/>
    </row>
    <row r="16" spans="1:10" s="41" customFormat="1" ht="18" customHeight="1">
      <c r="A16" s="37" t="s">
        <v>1275</v>
      </c>
      <c r="B16" s="38" t="s">
        <v>1277</v>
      </c>
      <c r="C16" s="39">
        <v>0</v>
      </c>
      <c r="D16" s="39">
        <v>0</v>
      </c>
      <c r="E16" s="39">
        <v>-6163744</v>
      </c>
      <c r="F16" s="40">
        <v>6163744</v>
      </c>
      <c r="G16" s="41" t="s">
        <v>1296</v>
      </c>
      <c r="H16" s="41" t="s">
        <v>1311</v>
      </c>
      <c r="I16" s="842"/>
      <c r="J16" s="842"/>
    </row>
    <row r="17" spans="1:10" s="41" customFormat="1" ht="18" customHeight="1">
      <c r="A17" s="37" t="s">
        <v>1278</v>
      </c>
      <c r="B17" s="38" t="s">
        <v>1279</v>
      </c>
      <c r="C17" s="39">
        <v>0</v>
      </c>
      <c r="D17" s="39">
        <v>0</v>
      </c>
      <c r="E17" s="39">
        <v>-235684</v>
      </c>
      <c r="F17" s="40">
        <v>235684</v>
      </c>
      <c r="G17" s="41" t="s">
        <v>1296</v>
      </c>
      <c r="H17" s="41" t="s">
        <v>1202</v>
      </c>
      <c r="I17" s="842"/>
      <c r="J17" s="842"/>
    </row>
    <row r="18" spans="1:10" s="41" customFormat="1" ht="18" customHeight="1">
      <c r="A18" s="42" t="s">
        <v>1280</v>
      </c>
      <c r="B18" s="38" t="s">
        <v>1281</v>
      </c>
      <c r="C18" s="39">
        <v>0</v>
      </c>
      <c r="D18" s="39">
        <v>0</v>
      </c>
      <c r="E18" s="39">
        <v>-3000000</v>
      </c>
      <c r="F18" s="40">
        <v>3000000</v>
      </c>
      <c r="G18" s="41" t="s">
        <v>1296</v>
      </c>
      <c r="H18" s="41" t="s">
        <v>1204</v>
      </c>
      <c r="I18" s="842"/>
      <c r="J18" s="842"/>
    </row>
    <row r="19" spans="1:10" ht="18" customHeight="1">
      <c r="A19" s="36" t="s">
        <v>1282</v>
      </c>
      <c r="B19" s="33" t="s">
        <v>1283</v>
      </c>
      <c r="C19" s="34">
        <v>-7921710</v>
      </c>
      <c r="D19" s="34">
        <v>2960436</v>
      </c>
      <c r="E19" s="34">
        <v>-5200</v>
      </c>
      <c r="F19" s="35">
        <v>18501509</v>
      </c>
      <c r="H19" s="41" t="s">
        <v>1312</v>
      </c>
      <c r="I19" s="842">
        <f>SUM(C8,C9,C10,C11,C12,C13,C14,C15,C16,C17,C18,C19,D9,D10,D11,D12,D13,D14,D15,D16,D17,D18,D19)</f>
        <v>212487608</v>
      </c>
      <c r="J19" s="842"/>
    </row>
    <row r="20" spans="1:10" s="41" customFormat="1" ht="18" customHeight="1">
      <c r="A20" s="42" t="s">
        <v>1284</v>
      </c>
      <c r="B20" s="38" t="s">
        <v>1285</v>
      </c>
      <c r="C20" s="39">
        <v>0</v>
      </c>
      <c r="D20" s="39">
        <v>0</v>
      </c>
      <c r="E20" s="39">
        <v>-281250</v>
      </c>
      <c r="F20" s="40">
        <v>281250</v>
      </c>
      <c r="G20" s="41" t="s">
        <v>1296</v>
      </c>
      <c r="H20" s="41" t="s">
        <v>1205</v>
      </c>
      <c r="I20" s="842"/>
      <c r="J20" s="842"/>
    </row>
    <row r="21" spans="1:10" ht="18" customHeight="1">
      <c r="A21" s="36" t="s">
        <v>1284</v>
      </c>
      <c r="B21" s="33" t="s">
        <v>1286</v>
      </c>
      <c r="C21" s="34">
        <v>0</v>
      </c>
      <c r="D21" s="34">
        <v>644042</v>
      </c>
      <c r="E21" s="34">
        <v>0</v>
      </c>
      <c r="F21" s="35">
        <v>644042</v>
      </c>
      <c r="H21" s="41" t="s">
        <v>1206</v>
      </c>
      <c r="I21" s="842"/>
      <c r="J21" s="842"/>
    </row>
    <row r="22" spans="1:10" s="41" customFormat="1" ht="18" customHeight="1">
      <c r="A22" s="42" t="s">
        <v>1287</v>
      </c>
      <c r="B22" s="38" t="s">
        <v>1288</v>
      </c>
      <c r="C22" s="39">
        <v>0</v>
      </c>
      <c r="D22" s="39">
        <v>0</v>
      </c>
      <c r="E22" s="39">
        <v>-1263091</v>
      </c>
      <c r="F22" s="40">
        <v>1263091</v>
      </c>
      <c r="G22" s="41" t="s">
        <v>1296</v>
      </c>
      <c r="H22" s="41" t="s">
        <v>1313</v>
      </c>
      <c r="I22" s="842"/>
      <c r="J22" s="842"/>
    </row>
    <row r="23" spans="1:10" ht="18" customHeight="1">
      <c r="A23" s="36" t="s">
        <v>1287</v>
      </c>
      <c r="B23" s="33" t="s">
        <v>1289</v>
      </c>
      <c r="C23" s="34">
        <v>0</v>
      </c>
      <c r="D23" s="34">
        <v>254805.66</v>
      </c>
      <c r="E23" s="34">
        <v>0</v>
      </c>
      <c r="F23" s="35">
        <v>254805.66</v>
      </c>
      <c r="H23" s="41" t="s">
        <v>1207</v>
      </c>
      <c r="I23" s="842"/>
      <c r="J23" s="842"/>
    </row>
    <row r="24" spans="1:10" s="41" customFormat="1" ht="18" customHeight="1">
      <c r="A24" s="42" t="s">
        <v>1290</v>
      </c>
      <c r="B24" s="38" t="s">
        <v>1291</v>
      </c>
      <c r="C24" s="39">
        <v>0</v>
      </c>
      <c r="D24" s="39">
        <v>0</v>
      </c>
      <c r="E24" s="39">
        <v>-1665039</v>
      </c>
      <c r="F24" s="40">
        <v>1665039</v>
      </c>
      <c r="G24" s="41" t="s">
        <v>1296</v>
      </c>
      <c r="H24" s="41" t="s">
        <v>1208</v>
      </c>
      <c r="I24" s="842"/>
      <c r="J24" s="842"/>
    </row>
    <row r="25" spans="1:10" ht="18" customHeight="1">
      <c r="A25" s="36" t="s">
        <v>1292</v>
      </c>
      <c r="B25" s="33" t="s">
        <v>234</v>
      </c>
      <c r="C25" s="34">
        <v>0</v>
      </c>
      <c r="D25" s="34">
        <v>5242548</v>
      </c>
      <c r="E25" s="34">
        <v>-2485039</v>
      </c>
      <c r="F25" s="35">
        <v>7727587</v>
      </c>
      <c r="H25" s="41" t="s">
        <v>1209</v>
      </c>
      <c r="I25" s="842"/>
      <c r="J25" s="842"/>
    </row>
    <row r="26" spans="1:10" ht="18" customHeight="1">
      <c r="A26" s="42" t="s">
        <v>1292</v>
      </c>
      <c r="B26" s="38" t="s">
        <v>235</v>
      </c>
      <c r="C26" s="39">
        <v>0</v>
      </c>
      <c r="D26" s="39">
        <v>0</v>
      </c>
      <c r="E26" s="39">
        <v>-1051989.33</v>
      </c>
      <c r="F26" s="40">
        <v>1051989.33</v>
      </c>
      <c r="G26" s="41" t="s">
        <v>1296</v>
      </c>
      <c r="H26" s="41" t="s">
        <v>1210</v>
      </c>
      <c r="I26" s="842"/>
      <c r="J26" s="842"/>
    </row>
    <row r="27" spans="1:10" ht="18" customHeight="1">
      <c r="A27" s="36" t="s">
        <v>236</v>
      </c>
      <c r="B27" s="33" t="s">
        <v>237</v>
      </c>
      <c r="C27" s="34">
        <v>0</v>
      </c>
      <c r="D27" s="34">
        <v>56770</v>
      </c>
      <c r="E27" s="34">
        <v>0</v>
      </c>
      <c r="F27" s="35">
        <v>56770</v>
      </c>
      <c r="H27" s="41" t="s">
        <v>1213</v>
      </c>
      <c r="I27" s="842"/>
      <c r="J27" s="842"/>
    </row>
    <row r="28" spans="1:10" s="41" customFormat="1" ht="18" customHeight="1">
      <c r="A28" s="42" t="s">
        <v>236</v>
      </c>
      <c r="B28" s="38" t="s">
        <v>238</v>
      </c>
      <c r="C28" s="39">
        <v>0</v>
      </c>
      <c r="D28" s="39">
        <v>0</v>
      </c>
      <c r="E28" s="39">
        <v>-9780</v>
      </c>
      <c r="F28" s="40">
        <v>9780</v>
      </c>
      <c r="G28" s="41" t="s">
        <v>1296</v>
      </c>
      <c r="H28" s="41" t="s">
        <v>1214</v>
      </c>
      <c r="I28" s="842">
        <f>SUM(I19,C20,C21,C22,C23,C24,C25,C26,C27,C28,D20,D21,D22,D23,D24,D25,D26,D27,D28)</f>
        <v>218685773.66</v>
      </c>
      <c r="J28" s="842"/>
    </row>
    <row r="29" spans="1:10" s="41" customFormat="1" ht="18" customHeight="1">
      <c r="A29" s="42" t="s">
        <v>177</v>
      </c>
      <c r="B29" s="38" t="s">
        <v>178</v>
      </c>
      <c r="C29" s="39">
        <v>0</v>
      </c>
      <c r="D29" s="39">
        <v>0</v>
      </c>
      <c r="E29" s="39">
        <v>-96600</v>
      </c>
      <c r="F29" s="40">
        <v>96600</v>
      </c>
      <c r="G29" s="41" t="s">
        <v>1296</v>
      </c>
      <c r="H29" s="41" t="s">
        <v>1215</v>
      </c>
      <c r="I29" s="842"/>
      <c r="J29" s="842"/>
    </row>
    <row r="30" spans="1:10" s="41" customFormat="1" ht="18" customHeight="1">
      <c r="A30" s="42" t="s">
        <v>179</v>
      </c>
      <c r="B30" s="38" t="s">
        <v>180</v>
      </c>
      <c r="C30" s="39">
        <v>0</v>
      </c>
      <c r="D30" s="39">
        <v>0</v>
      </c>
      <c r="E30" s="39">
        <v>-202813</v>
      </c>
      <c r="F30" s="40">
        <v>202813</v>
      </c>
      <c r="G30" s="41" t="s">
        <v>1296</v>
      </c>
      <c r="H30" s="41" t="s">
        <v>1216</v>
      </c>
      <c r="I30" s="842"/>
      <c r="J30" s="842"/>
    </row>
    <row r="31" spans="1:10" s="508" customFormat="1" ht="18" customHeight="1">
      <c r="A31" s="504" t="s">
        <v>179</v>
      </c>
      <c r="B31" s="505" t="s">
        <v>181</v>
      </c>
      <c r="C31" s="506">
        <v>0</v>
      </c>
      <c r="D31" s="506">
        <v>50150</v>
      </c>
      <c r="E31" s="506">
        <v>0</v>
      </c>
      <c r="F31" s="507">
        <v>50150</v>
      </c>
      <c r="H31" s="41" t="s">
        <v>1056</v>
      </c>
      <c r="I31" s="842">
        <f>SUM(I28,C29,C30,C31,D29,D30,D31)</f>
        <v>218735923.66</v>
      </c>
      <c r="J31" s="842"/>
    </row>
    <row r="32" spans="1:10" s="41" customFormat="1" ht="18" customHeight="1">
      <c r="A32" s="42" t="s">
        <v>182</v>
      </c>
      <c r="B32" s="38" t="s">
        <v>183</v>
      </c>
      <c r="C32" s="39">
        <v>0</v>
      </c>
      <c r="D32" s="39">
        <v>0</v>
      </c>
      <c r="E32" s="39">
        <v>-91685</v>
      </c>
      <c r="F32" s="40">
        <v>91685</v>
      </c>
      <c r="G32" s="41" t="s">
        <v>1296</v>
      </c>
      <c r="H32" s="41" t="s">
        <v>1057</v>
      </c>
      <c r="I32" s="842"/>
      <c r="J32" s="842"/>
    </row>
    <row r="33" spans="1:10" s="41" customFormat="1" ht="18" customHeight="1">
      <c r="A33" s="42" t="s">
        <v>184</v>
      </c>
      <c r="B33" s="38" t="s">
        <v>185</v>
      </c>
      <c r="C33" s="39">
        <v>0</v>
      </c>
      <c r="D33" s="39">
        <v>0</v>
      </c>
      <c r="E33" s="39">
        <v>-44981</v>
      </c>
      <c r="F33" s="40">
        <v>44981</v>
      </c>
      <c r="G33" s="41" t="s">
        <v>1296</v>
      </c>
      <c r="H33" s="41" t="s">
        <v>1058</v>
      </c>
      <c r="I33" s="842"/>
      <c r="J33" s="842"/>
    </row>
    <row r="34" spans="1:10" s="508" customFormat="1" ht="18" customHeight="1">
      <c r="A34" s="504" t="s">
        <v>184</v>
      </c>
      <c r="B34" s="505" t="s">
        <v>186</v>
      </c>
      <c r="C34" s="841">
        <v>-3851</v>
      </c>
      <c r="D34" s="506">
        <v>200377</v>
      </c>
      <c r="E34" s="841">
        <v>-3851</v>
      </c>
      <c r="F34" s="507">
        <v>200377</v>
      </c>
      <c r="H34" s="41" t="s">
        <v>1059</v>
      </c>
      <c r="I34" s="842">
        <f>SUM(I31,C32,C33,C34,D32,D33,D34)</f>
        <v>218932449.66</v>
      </c>
      <c r="J34" s="842"/>
    </row>
    <row r="35" spans="1:10" s="41" customFormat="1" ht="18" customHeight="1">
      <c r="A35" s="42" t="s">
        <v>187</v>
      </c>
      <c r="B35" s="38" t="s">
        <v>188</v>
      </c>
      <c r="C35" s="39">
        <v>0</v>
      </c>
      <c r="D35" s="39">
        <v>0</v>
      </c>
      <c r="E35" s="39">
        <v>-563750</v>
      </c>
      <c r="F35" s="40">
        <v>563750</v>
      </c>
      <c r="G35" s="41" t="s">
        <v>1296</v>
      </c>
      <c r="H35" s="41" t="s">
        <v>447</v>
      </c>
      <c r="I35" s="842"/>
      <c r="J35" s="842"/>
    </row>
    <row r="36" spans="1:10" s="41" customFormat="1" ht="18" customHeight="1">
      <c r="A36" s="42" t="s">
        <v>189</v>
      </c>
      <c r="B36" s="38" t="s">
        <v>190</v>
      </c>
      <c r="C36" s="39">
        <v>0</v>
      </c>
      <c r="D36" s="39">
        <v>0</v>
      </c>
      <c r="E36" s="39">
        <v>-313418</v>
      </c>
      <c r="F36" s="40">
        <v>313418</v>
      </c>
      <c r="G36" s="41" t="s">
        <v>1296</v>
      </c>
      <c r="H36" s="41" t="s">
        <v>448</v>
      </c>
      <c r="I36" s="842"/>
      <c r="J36" s="842"/>
    </row>
    <row r="37" spans="1:10" s="508" customFormat="1" ht="18" customHeight="1">
      <c r="A37" s="504" t="s">
        <v>191</v>
      </c>
      <c r="B37" s="505" t="s">
        <v>192</v>
      </c>
      <c r="C37" s="506">
        <v>-7015401</v>
      </c>
      <c r="D37" s="506">
        <v>4609930</v>
      </c>
      <c r="E37" s="506">
        <v>-4846365</v>
      </c>
      <c r="F37" s="507">
        <v>2490894</v>
      </c>
      <c r="H37" s="41" t="s">
        <v>449</v>
      </c>
      <c r="I37" s="842"/>
      <c r="J37" s="842"/>
    </row>
    <row r="38" spans="1:10" s="508" customFormat="1" ht="18" customHeight="1">
      <c r="A38" s="504" t="s">
        <v>193</v>
      </c>
      <c r="B38" s="505" t="s">
        <v>194</v>
      </c>
      <c r="C38" s="506">
        <v>0</v>
      </c>
      <c r="D38" s="506">
        <v>78731</v>
      </c>
      <c r="E38" s="506">
        <v>0</v>
      </c>
      <c r="F38" s="507">
        <v>78731</v>
      </c>
      <c r="H38" s="41" t="s">
        <v>698</v>
      </c>
      <c r="I38" s="842"/>
      <c r="J38" s="842"/>
    </row>
    <row r="39" spans="1:10" s="41" customFormat="1" ht="18" customHeight="1">
      <c r="A39" s="42" t="s">
        <v>193</v>
      </c>
      <c r="B39" s="38" t="s">
        <v>195</v>
      </c>
      <c r="C39" s="39">
        <v>0</v>
      </c>
      <c r="D39" s="39">
        <v>0</v>
      </c>
      <c r="E39" s="39">
        <v>-2600</v>
      </c>
      <c r="F39" s="40">
        <v>2600</v>
      </c>
      <c r="G39" s="41" t="s">
        <v>1296</v>
      </c>
      <c r="H39" s="41" t="s">
        <v>699</v>
      </c>
      <c r="I39" s="842">
        <f>SUM(I34,C35,C36,C37,C38,C39,D35,D36,D37,D38,D39)</f>
        <v>216605709.66</v>
      </c>
      <c r="J39" s="842"/>
    </row>
    <row r="40" spans="1:10" s="41" customFormat="1" ht="18" customHeight="1">
      <c r="A40" s="42" t="s">
        <v>196</v>
      </c>
      <c r="B40" s="38" t="s">
        <v>197</v>
      </c>
      <c r="C40" s="39">
        <v>0</v>
      </c>
      <c r="D40" s="39">
        <v>0</v>
      </c>
      <c r="E40" s="39">
        <v>-872608</v>
      </c>
      <c r="F40" s="40">
        <v>872608</v>
      </c>
      <c r="G40" s="41" t="s">
        <v>1296</v>
      </c>
      <c r="H40" s="41" t="s">
        <v>471</v>
      </c>
      <c r="I40" s="842"/>
      <c r="J40" s="842"/>
    </row>
    <row r="41" spans="1:10" s="41" customFormat="1" ht="18" customHeight="1">
      <c r="A41" s="42" t="s">
        <v>198</v>
      </c>
      <c r="B41" s="38" t="s">
        <v>199</v>
      </c>
      <c r="C41" s="39">
        <v>0</v>
      </c>
      <c r="D41" s="39">
        <v>0</v>
      </c>
      <c r="E41" s="39">
        <v>-1715044</v>
      </c>
      <c r="F41" s="40">
        <v>1715044</v>
      </c>
      <c r="G41" s="41" t="s">
        <v>1296</v>
      </c>
      <c r="H41" s="41" t="s">
        <v>910</v>
      </c>
      <c r="I41" s="842"/>
      <c r="J41" s="842"/>
    </row>
    <row r="42" spans="1:10" s="508" customFormat="1" ht="18" customHeight="1">
      <c r="A42" s="504" t="s">
        <v>200</v>
      </c>
      <c r="B42" s="505" t="s">
        <v>201</v>
      </c>
      <c r="C42" s="506">
        <v>0</v>
      </c>
      <c r="D42" s="506">
        <v>785085</v>
      </c>
      <c r="E42" s="506">
        <v>-1659157</v>
      </c>
      <c r="F42" s="507">
        <v>2444242</v>
      </c>
      <c r="H42" s="41" t="s">
        <v>689</v>
      </c>
      <c r="I42" s="842"/>
      <c r="J42" s="842"/>
    </row>
    <row r="43" spans="1:10" s="508" customFormat="1" ht="18" customHeight="1">
      <c r="A43" s="504" t="s">
        <v>202</v>
      </c>
      <c r="B43" s="505" t="s">
        <v>203</v>
      </c>
      <c r="C43" s="506">
        <v>-1664500</v>
      </c>
      <c r="D43" s="506">
        <v>910115</v>
      </c>
      <c r="E43" s="506">
        <v>-1664500</v>
      </c>
      <c r="F43" s="507">
        <v>910115</v>
      </c>
      <c r="H43" s="41" t="s">
        <v>749</v>
      </c>
      <c r="I43" s="842"/>
      <c r="J43" s="842"/>
    </row>
    <row r="44" spans="1:10" s="41" customFormat="1" ht="18" customHeight="1">
      <c r="A44" s="42" t="s">
        <v>202</v>
      </c>
      <c r="B44" s="38" t="s">
        <v>204</v>
      </c>
      <c r="C44" s="39">
        <v>0</v>
      </c>
      <c r="D44" s="39">
        <v>0</v>
      </c>
      <c r="E44" s="39">
        <v>-260825</v>
      </c>
      <c r="F44" s="40">
        <v>260825</v>
      </c>
      <c r="G44" s="41" t="s">
        <v>1296</v>
      </c>
      <c r="H44" s="41" t="s">
        <v>329</v>
      </c>
      <c r="I44" s="842">
        <f>SUM(I39,C40,C41,C42,C43,C44,D40,D41,D42,D43,D44)</f>
        <v>216636409.66</v>
      </c>
      <c r="J44" s="842"/>
    </row>
    <row r="45" spans="1:10" s="41" customFormat="1" ht="18" customHeight="1">
      <c r="A45" s="42" t="s">
        <v>205</v>
      </c>
      <c r="B45" s="38" t="s">
        <v>206</v>
      </c>
      <c r="C45" s="39">
        <v>0</v>
      </c>
      <c r="D45" s="39">
        <v>0</v>
      </c>
      <c r="E45" s="39">
        <v>-5000</v>
      </c>
      <c r="F45" s="40">
        <v>5000</v>
      </c>
      <c r="G45" s="41" t="s">
        <v>1296</v>
      </c>
      <c r="H45" s="41" t="s">
        <v>330</v>
      </c>
      <c r="I45" s="842"/>
      <c r="J45" s="842"/>
    </row>
    <row r="46" spans="1:10" s="41" customFormat="1" ht="18" customHeight="1">
      <c r="A46" s="42" t="s">
        <v>207</v>
      </c>
      <c r="B46" s="38" t="s">
        <v>208</v>
      </c>
      <c r="C46" s="39">
        <v>0</v>
      </c>
      <c r="D46" s="39">
        <v>0</v>
      </c>
      <c r="E46" s="39">
        <v>-284610</v>
      </c>
      <c r="F46" s="40">
        <v>284610</v>
      </c>
      <c r="G46" s="41" t="s">
        <v>1296</v>
      </c>
      <c r="H46" s="41" t="s">
        <v>520</v>
      </c>
      <c r="I46" s="842"/>
      <c r="J46" s="842"/>
    </row>
    <row r="47" spans="1:10" s="508" customFormat="1" ht="18" customHeight="1">
      <c r="A47" s="504" t="s">
        <v>209</v>
      </c>
      <c r="B47" s="505" t="s">
        <v>210</v>
      </c>
      <c r="C47" s="506">
        <v>-6751849</v>
      </c>
      <c r="D47" s="506">
        <v>683259</v>
      </c>
      <c r="E47" s="506">
        <v>-6678722</v>
      </c>
      <c r="F47" s="507">
        <v>717581</v>
      </c>
      <c r="H47" s="41" t="s">
        <v>750</v>
      </c>
      <c r="I47" s="842"/>
      <c r="J47" s="842"/>
    </row>
    <row r="48" spans="1:10" s="508" customFormat="1" ht="18" customHeight="1">
      <c r="A48" s="504" t="s">
        <v>209</v>
      </c>
      <c r="B48" s="505" t="s">
        <v>212</v>
      </c>
      <c r="C48" s="506">
        <v>-593021</v>
      </c>
      <c r="D48" s="506">
        <v>170729.9</v>
      </c>
      <c r="E48" s="506">
        <v>-593021</v>
      </c>
      <c r="F48" s="507">
        <v>170729.9</v>
      </c>
      <c r="H48" s="41" t="s">
        <v>754</v>
      </c>
      <c r="I48" s="842"/>
      <c r="J48" s="842"/>
    </row>
    <row r="49" spans="1:10" s="41" customFormat="1" ht="18" customHeight="1">
      <c r="A49" s="42" t="s">
        <v>213</v>
      </c>
      <c r="B49" s="38" t="s">
        <v>214</v>
      </c>
      <c r="C49" s="39">
        <v>0</v>
      </c>
      <c r="D49" s="39">
        <v>0</v>
      </c>
      <c r="E49" s="39">
        <v>-385360</v>
      </c>
      <c r="F49" s="40">
        <v>385360</v>
      </c>
      <c r="G49" s="41" t="s">
        <v>1296</v>
      </c>
      <c r="H49" s="41" t="s">
        <v>755</v>
      </c>
      <c r="I49" s="842">
        <f>SUM(I44,C45,C46,C47,C48,C49,D45,D46,D47,D48,D49)</f>
        <v>210145528.56</v>
      </c>
      <c r="J49" s="842"/>
    </row>
    <row r="50" spans="1:10" s="41" customFormat="1" ht="18" customHeight="1">
      <c r="A50" s="42" t="s">
        <v>215</v>
      </c>
      <c r="B50" s="38" t="s">
        <v>216</v>
      </c>
      <c r="C50" s="39">
        <v>0</v>
      </c>
      <c r="D50" s="39">
        <v>0</v>
      </c>
      <c r="E50" s="39">
        <v>-1122761</v>
      </c>
      <c r="F50" s="40">
        <v>1122761</v>
      </c>
      <c r="G50" s="41" t="s">
        <v>1296</v>
      </c>
      <c r="H50" s="41" t="s">
        <v>756</v>
      </c>
      <c r="I50" s="842"/>
      <c r="J50" s="842"/>
    </row>
    <row r="51" spans="1:10" s="508" customFormat="1" ht="18" customHeight="1">
      <c r="A51" s="504" t="s">
        <v>217</v>
      </c>
      <c r="B51" s="505" t="s">
        <v>218</v>
      </c>
      <c r="C51" s="506">
        <v>-19656582</v>
      </c>
      <c r="D51" s="506">
        <v>9726815</v>
      </c>
      <c r="E51" s="506">
        <v>-6809700</v>
      </c>
      <c r="F51" s="507">
        <v>1004700</v>
      </c>
      <c r="H51" s="41" t="s">
        <v>757</v>
      </c>
      <c r="I51" s="842"/>
      <c r="J51" s="842"/>
    </row>
    <row r="52" spans="1:10" s="508" customFormat="1" ht="18" customHeight="1">
      <c r="A52" s="504" t="s">
        <v>219</v>
      </c>
      <c r="B52" s="505" t="s">
        <v>220</v>
      </c>
      <c r="C52" s="506">
        <v>-383757</v>
      </c>
      <c r="D52" s="506">
        <v>43890</v>
      </c>
      <c r="E52" s="506">
        <v>-383757</v>
      </c>
      <c r="F52" s="507">
        <v>43890</v>
      </c>
      <c r="H52" s="41" t="s">
        <v>758</v>
      </c>
      <c r="I52" s="842"/>
      <c r="J52" s="842"/>
    </row>
    <row r="53" spans="1:10" s="41" customFormat="1" ht="18" customHeight="1">
      <c r="A53" s="42" t="s">
        <v>221</v>
      </c>
      <c r="B53" s="38" t="s">
        <v>222</v>
      </c>
      <c r="C53" s="39">
        <v>0</v>
      </c>
      <c r="D53" s="39">
        <v>0</v>
      </c>
      <c r="E53" s="39">
        <v>-137436</v>
      </c>
      <c r="F53" s="40">
        <v>137436</v>
      </c>
      <c r="G53" s="41" t="s">
        <v>1296</v>
      </c>
      <c r="H53" s="41" t="s">
        <v>759</v>
      </c>
      <c r="I53" s="842"/>
      <c r="J53" s="842"/>
    </row>
    <row r="54" spans="1:10" s="41" customFormat="1" ht="18" customHeight="1">
      <c r="A54" s="42" t="s">
        <v>223</v>
      </c>
      <c r="B54" s="38" t="s">
        <v>224</v>
      </c>
      <c r="C54" s="39">
        <v>0</v>
      </c>
      <c r="D54" s="39">
        <v>0</v>
      </c>
      <c r="E54" s="39">
        <v>-744106</v>
      </c>
      <c r="F54" s="40">
        <v>744106</v>
      </c>
      <c r="G54" s="41" t="s">
        <v>1296</v>
      </c>
      <c r="H54" s="41" t="s">
        <v>761</v>
      </c>
      <c r="I54" s="842">
        <f>SUM(I49,C50,C51,C52,C53,C54,D50,D51,D52,D53,D54)</f>
        <v>199875894.56</v>
      </c>
      <c r="J54" s="842"/>
    </row>
    <row r="55" spans="1:6" s="31" customFormat="1" ht="18" customHeight="1">
      <c r="A55" s="1451" t="s">
        <v>1102</v>
      </c>
      <c r="B55" s="1452"/>
      <c r="C55" s="839">
        <f>SUM(C9,C10,C11,C12,C13,C14,C15,C16,C17,C18,C19,C20,C21,C22,C23,C24,C25,C26,C27,C28,C29,C30,C31,C32,C33,C34,C35,C36,C37)+C38+C39+C40+C41+C42+C43+C44+C45+C46+C47+C48+C49+C50+C51+C52+C53+C54</f>
        <v>-43991427</v>
      </c>
      <c r="D55" s="839">
        <f>SUM(D9,D10,D11,D12,D13,D14,D15,D16,D17,D18,D19,D20,D21,D22,D23,D24,D25,D26,D27,D28,D29,D30,D31,D32,D33,D34,D35,D36,D37)+D38+D39+D40+D41+D42+D43+D44+D45+D46+D47+D48+D49+D50+D51+D52+D53+D54</f>
        <v>28839639.56</v>
      </c>
      <c r="E55" s="839">
        <f>SUM(E9,E10,E11,E12,E13,E14,E15,E16,E17,E18,E19,E20,E21,E22,E23,E24,E25,E26,E27,E28,E29,E30,E31,E32,E33,E34,E35,E36,E37)+E38+E39+E40+E41+E42+E43+E44+E45+E46+E47+E48+E49+E50+E51+E52+E53+E54</f>
        <v>-48429990.33</v>
      </c>
      <c r="F55" s="840">
        <f>SUM(F9,F10,F11,F12,F13,F14,F15,F16,F17,F18,F19,F20,F21,F22,F23,F24,F25,F26,F27,F28,F29,F30,F31,F32,F33,F34,F35,F36,F37)+F38+F39+F40+F41+F42+F43+F44+F45+F46+F47+F48+F49+F50+F51+F52+F53+F54</f>
        <v>63710662.88999999</v>
      </c>
    </row>
    <row r="56" spans="1:6" s="31" customFormat="1" ht="18" customHeight="1">
      <c r="A56" s="1451" t="s">
        <v>43</v>
      </c>
      <c r="B56" s="1452"/>
      <c r="C56" s="1439">
        <f>SUM(C55:D55)</f>
        <v>-15151787.440000001</v>
      </c>
      <c r="D56" s="1450"/>
      <c r="E56" s="1439">
        <f>SUM(E55:F55)</f>
        <v>15280672.559999995</v>
      </c>
      <c r="F56" s="1440"/>
    </row>
    <row r="57" spans="1:6" s="31" customFormat="1" ht="18" customHeight="1" thickBot="1">
      <c r="A57" s="1453" t="s">
        <v>44</v>
      </c>
      <c r="B57" s="1454"/>
      <c r="C57" s="1447">
        <f>SUM(C8,C56)</f>
        <v>199875894.56</v>
      </c>
      <c r="D57" s="1448"/>
      <c r="E57" s="1447">
        <f>SUM(E8,E56)</f>
        <v>217822799.56</v>
      </c>
      <c r="F57" s="1449"/>
    </row>
    <row r="58" ht="44.25" customHeight="1"/>
  </sheetData>
  <sheetProtection/>
  <mergeCells count="17">
    <mergeCell ref="G4:G5"/>
    <mergeCell ref="H4:H5"/>
    <mergeCell ref="E5:F5"/>
    <mergeCell ref="C56:D56"/>
    <mergeCell ref="E56:F56"/>
    <mergeCell ref="C57:D57"/>
    <mergeCell ref="E57:F57"/>
    <mergeCell ref="C8:D8"/>
    <mergeCell ref="A8:B8"/>
    <mergeCell ref="A57:B57"/>
    <mergeCell ref="A55:B55"/>
    <mergeCell ref="A56:B56"/>
    <mergeCell ref="A3:F3"/>
    <mergeCell ref="E8:F8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I98"/>
  <sheetViews>
    <sheetView view="pageBreakPreview" zoomScaleSheetLayoutView="100" workbookViewId="0" topLeftCell="A86">
      <selection activeCell="E1" sqref="E1:F1"/>
    </sheetView>
  </sheetViews>
  <sheetFormatPr defaultColWidth="9.00390625" defaultRowHeight="12.75"/>
  <cols>
    <col min="1" max="1" width="3.375" style="43" customWidth="1"/>
    <col min="2" max="2" width="7.375" style="43" customWidth="1"/>
    <col min="3" max="3" width="42.625" style="44" customWidth="1"/>
    <col min="4" max="4" width="12.25390625" style="44" customWidth="1"/>
    <col min="5" max="5" width="12.625" style="44" customWidth="1"/>
    <col min="6" max="6" width="6.125" style="44" customWidth="1"/>
    <col min="7" max="7" width="13.00390625" style="306" customWidth="1"/>
    <col min="8" max="8" width="16.625" style="415" customWidth="1"/>
    <col min="9" max="9" width="14.125" style="44" customWidth="1"/>
    <col min="10" max="16384" width="9.125" style="44" customWidth="1"/>
  </cols>
  <sheetData>
    <row r="1" spans="5:6" ht="13.5">
      <c r="E1" s="1493" t="s">
        <v>244</v>
      </c>
      <c r="F1" s="1493"/>
    </row>
    <row r="2" spans="5:6" ht="13.5">
      <c r="E2" s="19"/>
      <c r="F2" s="19"/>
    </row>
    <row r="3" spans="1:6" ht="13.5">
      <c r="A3" s="1400" t="s">
        <v>600</v>
      </c>
      <c r="B3" s="1400"/>
      <c r="C3" s="1400"/>
      <c r="D3" s="1400"/>
      <c r="E3" s="1400"/>
      <c r="F3" s="1400"/>
    </row>
    <row r="4" spans="1:6" ht="11.25" customHeight="1">
      <c r="A4" s="14"/>
      <c r="B4" s="14"/>
      <c r="C4" s="14"/>
      <c r="D4" s="14"/>
      <c r="E4" s="14"/>
      <c r="F4" s="14"/>
    </row>
    <row r="5" spans="1:6" ht="32.25" customHeight="1" thickBot="1">
      <c r="A5" s="1484" t="s">
        <v>1222</v>
      </c>
      <c r="B5" s="1485"/>
      <c r="C5" s="1485"/>
      <c r="D5" s="1485"/>
      <c r="E5" s="1485"/>
      <c r="F5" s="416" t="s">
        <v>833</v>
      </c>
    </row>
    <row r="6" spans="1:8" s="295" customFormat="1" ht="17.25" customHeight="1">
      <c r="A6" s="569" t="s">
        <v>1106</v>
      </c>
      <c r="B6" s="570" t="s">
        <v>834</v>
      </c>
      <c r="C6" s="571" t="s">
        <v>544</v>
      </c>
      <c r="D6" s="613" t="s">
        <v>836</v>
      </c>
      <c r="E6" s="660" t="s">
        <v>837</v>
      </c>
      <c r="F6" s="614" t="s">
        <v>61</v>
      </c>
      <c r="G6" s="280"/>
      <c r="H6" s="432"/>
    </row>
    <row r="7" spans="1:8" s="452" customFormat="1" ht="11.25" customHeight="1">
      <c r="A7" s="661">
        <v>1</v>
      </c>
      <c r="B7" s="662">
        <v>2</v>
      </c>
      <c r="C7" s="662">
        <v>3</v>
      </c>
      <c r="D7" s="662">
        <v>4</v>
      </c>
      <c r="E7" s="663">
        <v>5</v>
      </c>
      <c r="F7" s="664">
        <v>6</v>
      </c>
      <c r="G7" s="250"/>
      <c r="H7" s="548"/>
    </row>
    <row r="8" spans="1:6" ht="18" customHeight="1">
      <c r="A8" s="1486" t="s">
        <v>535</v>
      </c>
      <c r="B8" s="1487"/>
      <c r="C8" s="1488"/>
      <c r="D8" s="1097">
        <f>SUM(D9,D10)</f>
        <v>1000000</v>
      </c>
      <c r="E8" s="1097">
        <f>SUM(E9,E10)</f>
        <v>997184.24</v>
      </c>
      <c r="F8" s="1103">
        <f>E8/D8*100</f>
        <v>99.718424</v>
      </c>
    </row>
    <row r="9" spans="1:7" ht="40.5" customHeight="1">
      <c r="A9" s="49" t="s">
        <v>1109</v>
      </c>
      <c r="B9" s="51">
        <v>70001</v>
      </c>
      <c r="C9" s="50" t="s">
        <v>545</v>
      </c>
      <c r="D9" s="1098">
        <f>SUM(9W!D67)</f>
        <v>550000</v>
      </c>
      <c r="E9" s="1098">
        <f>SUM(9W!E67)</f>
        <v>547184.24</v>
      </c>
      <c r="F9" s="1104">
        <f>E9/D9*100</f>
        <v>99.48804363636363</v>
      </c>
      <c r="G9" s="306" t="s">
        <v>1230</v>
      </c>
    </row>
    <row r="10" spans="1:7" ht="67.5" customHeight="1" thickBot="1">
      <c r="A10" s="299" t="s">
        <v>1110</v>
      </c>
      <c r="B10" s="417">
        <v>92605</v>
      </c>
      <c r="C10" s="418" t="s">
        <v>599</v>
      </c>
      <c r="D10" s="1099">
        <v>450000</v>
      </c>
      <c r="E10" s="1099">
        <v>450000</v>
      </c>
      <c r="F10" s="1112">
        <f>E10/D10*100</f>
        <v>100</v>
      </c>
      <c r="G10" s="306" t="s">
        <v>1230</v>
      </c>
    </row>
    <row r="11" spans="1:6" ht="17.25" customHeight="1" thickBot="1" thickTop="1">
      <c r="A11" s="1489" t="s">
        <v>538</v>
      </c>
      <c r="B11" s="1490"/>
      <c r="C11" s="1491"/>
      <c r="D11" s="1100">
        <f>SUM(D8)</f>
        <v>1000000</v>
      </c>
      <c r="E11" s="1100">
        <f>SUM(E8)</f>
        <v>997184.24</v>
      </c>
      <c r="F11" s="1106">
        <f>E11/D11*100</f>
        <v>99.718424</v>
      </c>
    </row>
    <row r="12" ht="45.75" customHeight="1">
      <c r="F12" s="279"/>
    </row>
    <row r="13" spans="1:8" s="306" customFormat="1" ht="43.5" customHeight="1" thickBot="1">
      <c r="A13" s="1483" t="s">
        <v>1064</v>
      </c>
      <c r="B13" s="1483"/>
      <c r="C13" s="1483"/>
      <c r="D13" s="1483"/>
      <c r="E13" s="1483"/>
      <c r="F13" s="1483"/>
      <c r="H13" s="415"/>
    </row>
    <row r="14" spans="1:8" s="295" customFormat="1" ht="19.5" customHeight="1">
      <c r="A14" s="442" t="s">
        <v>1106</v>
      </c>
      <c r="B14" s="443" t="s">
        <v>834</v>
      </c>
      <c r="C14" s="443" t="s">
        <v>546</v>
      </c>
      <c r="D14" s="613" t="s">
        <v>836</v>
      </c>
      <c r="E14" s="660" t="s">
        <v>837</v>
      </c>
      <c r="F14" s="614" t="s">
        <v>61</v>
      </c>
      <c r="G14" s="280"/>
      <c r="H14" s="432"/>
    </row>
    <row r="15" spans="1:8" s="550" customFormat="1" ht="10.5" customHeight="1">
      <c r="A15" s="661">
        <v>1</v>
      </c>
      <c r="B15" s="662">
        <v>2</v>
      </c>
      <c r="C15" s="662">
        <v>3</v>
      </c>
      <c r="D15" s="662">
        <v>4</v>
      </c>
      <c r="E15" s="663">
        <v>5</v>
      </c>
      <c r="F15" s="664">
        <v>6</v>
      </c>
      <c r="G15" s="411"/>
      <c r="H15" s="549"/>
    </row>
    <row r="16" spans="1:6" ht="18.75" customHeight="1">
      <c r="A16" s="1486" t="s">
        <v>535</v>
      </c>
      <c r="B16" s="1487"/>
      <c r="C16" s="1488"/>
      <c r="D16" s="1097">
        <f>SUM(D17,D18,D19,D20,D21,D22,D23,D24,D25,D26,D27)</f>
        <v>8838424</v>
      </c>
      <c r="E16" s="1097">
        <f>SUM(E17,E18,E19,E20,E21,E22,E23,E24,E25,E26,E27)</f>
        <v>8835423.190000001</v>
      </c>
      <c r="F16" s="1103">
        <f>E16/D16*100</f>
        <v>99.96604813256302</v>
      </c>
    </row>
    <row r="17" spans="1:9" ht="30" customHeight="1">
      <c r="A17" s="49" t="s">
        <v>1109</v>
      </c>
      <c r="B17" s="51">
        <v>80101</v>
      </c>
      <c r="C17" s="50" t="s">
        <v>678</v>
      </c>
      <c r="D17" s="1101">
        <v>229604</v>
      </c>
      <c r="E17" s="1118">
        <v>229604.19</v>
      </c>
      <c r="F17" s="1104">
        <f aca="true" t="shared" si="0" ref="F17:F43">E17/D17*100</f>
        <v>100.00008275117158</v>
      </c>
      <c r="G17" s="415" t="s">
        <v>1231</v>
      </c>
      <c r="H17" s="1497"/>
      <c r="I17" s="1498"/>
    </row>
    <row r="18" spans="1:9" ht="24" customHeight="1">
      <c r="A18" s="49" t="s">
        <v>1110</v>
      </c>
      <c r="B18" s="51">
        <v>80101</v>
      </c>
      <c r="C18" s="419" t="s">
        <v>156</v>
      </c>
      <c r="D18" s="1101">
        <v>15446</v>
      </c>
      <c r="E18" s="1118">
        <v>15445.56</v>
      </c>
      <c r="F18" s="1104">
        <f t="shared" si="0"/>
        <v>99.99715136604947</v>
      </c>
      <c r="G18" s="415" t="s">
        <v>1231</v>
      </c>
      <c r="H18" s="1497"/>
      <c r="I18" s="1498"/>
    </row>
    <row r="19" spans="1:7" ht="24" customHeight="1">
      <c r="A19" s="49" t="s">
        <v>1192</v>
      </c>
      <c r="B19" s="51">
        <v>80104</v>
      </c>
      <c r="C19" s="419" t="s">
        <v>771</v>
      </c>
      <c r="D19" s="1101">
        <v>5374268</v>
      </c>
      <c r="E19" s="1101">
        <v>5374268</v>
      </c>
      <c r="F19" s="1104">
        <f t="shared" si="0"/>
        <v>100</v>
      </c>
      <c r="G19" s="420" t="s">
        <v>1066</v>
      </c>
    </row>
    <row r="20" spans="1:8" ht="30" customHeight="1">
      <c r="A20" s="49" t="s">
        <v>1199</v>
      </c>
      <c r="B20" s="51">
        <v>80110</v>
      </c>
      <c r="C20" s="50" t="s">
        <v>547</v>
      </c>
      <c r="D20" s="1101">
        <v>156931</v>
      </c>
      <c r="E20" s="1118">
        <v>156931.36</v>
      </c>
      <c r="F20" s="1104">
        <f t="shared" si="0"/>
        <v>100.00022940018223</v>
      </c>
      <c r="G20" s="306" t="s">
        <v>1231</v>
      </c>
      <c r="H20" s="415" t="s">
        <v>1065</v>
      </c>
    </row>
    <row r="21" spans="1:8" ht="24.75" customHeight="1">
      <c r="A21" s="49" t="s">
        <v>1200</v>
      </c>
      <c r="B21" s="51">
        <v>80110</v>
      </c>
      <c r="C21" s="419" t="s">
        <v>548</v>
      </c>
      <c r="D21" s="1098">
        <v>90823</v>
      </c>
      <c r="E21" s="1113">
        <v>90822.48</v>
      </c>
      <c r="F21" s="1104">
        <f t="shared" si="0"/>
        <v>99.99942745780254</v>
      </c>
      <c r="G21" s="306" t="s">
        <v>1231</v>
      </c>
      <c r="H21" s="415" t="s">
        <v>1065</v>
      </c>
    </row>
    <row r="22" spans="1:8" ht="24.75" customHeight="1">
      <c r="A22" s="49" t="s">
        <v>1201</v>
      </c>
      <c r="B22" s="51">
        <v>80110</v>
      </c>
      <c r="C22" s="419" t="s">
        <v>157</v>
      </c>
      <c r="D22" s="1098">
        <v>16064</v>
      </c>
      <c r="E22" s="1113">
        <v>16063.84</v>
      </c>
      <c r="F22" s="1104">
        <f t="shared" si="0"/>
        <v>99.99900398406375</v>
      </c>
      <c r="G22" s="306" t="s">
        <v>1231</v>
      </c>
      <c r="H22" s="415" t="s">
        <v>1065</v>
      </c>
    </row>
    <row r="23" spans="1:8" ht="24.75" customHeight="1">
      <c r="A23" s="49" t="s">
        <v>1310</v>
      </c>
      <c r="B23" s="51">
        <v>80110</v>
      </c>
      <c r="C23" s="419" t="s">
        <v>549</v>
      </c>
      <c r="D23" s="1098">
        <v>203346</v>
      </c>
      <c r="E23" s="1113">
        <v>203345.76</v>
      </c>
      <c r="F23" s="1104">
        <f t="shared" si="0"/>
        <v>99.99988197456553</v>
      </c>
      <c r="G23" s="306" t="s">
        <v>1225</v>
      </c>
      <c r="H23" s="415" t="s">
        <v>1065</v>
      </c>
    </row>
    <row r="24" spans="1:8" ht="24.75" customHeight="1">
      <c r="A24" s="49" t="s">
        <v>1311</v>
      </c>
      <c r="B24" s="48">
        <v>85154</v>
      </c>
      <c r="C24" s="47" t="s">
        <v>1074</v>
      </c>
      <c r="D24" s="1034">
        <v>5200</v>
      </c>
      <c r="E24" s="1034">
        <v>5200</v>
      </c>
      <c r="F24" s="1104">
        <f>E24/D24*100</f>
        <v>100</v>
      </c>
      <c r="G24" s="306" t="s">
        <v>1233</v>
      </c>
      <c r="H24" s="415" t="s">
        <v>1065</v>
      </c>
    </row>
    <row r="25" spans="1:8" ht="24" customHeight="1">
      <c r="A25" s="49" t="s">
        <v>1202</v>
      </c>
      <c r="B25" s="51">
        <v>92109</v>
      </c>
      <c r="C25" s="419" t="s">
        <v>1020</v>
      </c>
      <c r="D25" s="1098">
        <v>1290742</v>
      </c>
      <c r="E25" s="1098">
        <v>1287742</v>
      </c>
      <c r="F25" s="1104">
        <f t="shared" si="0"/>
        <v>99.76757554956761</v>
      </c>
      <c r="G25" s="306" t="s">
        <v>1232</v>
      </c>
      <c r="H25" s="415" t="s">
        <v>1067</v>
      </c>
    </row>
    <row r="26" spans="1:7" ht="24.75" customHeight="1">
      <c r="A26" s="49" t="s">
        <v>1204</v>
      </c>
      <c r="B26" s="51">
        <v>92116</v>
      </c>
      <c r="C26" s="419" t="s">
        <v>772</v>
      </c>
      <c r="D26" s="1098">
        <f>SUM(9W!D365)</f>
        <v>1075000</v>
      </c>
      <c r="E26" s="1098">
        <f>SUM(9W!E365)</f>
        <v>1075000</v>
      </c>
      <c r="F26" s="1104">
        <f t="shared" si="0"/>
        <v>100</v>
      </c>
      <c r="G26" s="306" t="s">
        <v>1232</v>
      </c>
    </row>
    <row r="27" spans="1:7" ht="24.75" customHeight="1">
      <c r="A27" s="49" t="s">
        <v>1312</v>
      </c>
      <c r="B27" s="51">
        <v>92118</v>
      </c>
      <c r="C27" s="419" t="s">
        <v>773</v>
      </c>
      <c r="D27" s="1098">
        <f>SUM(9W!D369)</f>
        <v>381000</v>
      </c>
      <c r="E27" s="1098">
        <f>SUM(9W!E369)</f>
        <v>381000</v>
      </c>
      <c r="F27" s="1104">
        <f t="shared" si="0"/>
        <v>100</v>
      </c>
      <c r="G27" s="306" t="s">
        <v>1232</v>
      </c>
    </row>
    <row r="28" spans="1:6" ht="18" customHeight="1">
      <c r="A28" s="1494" t="s">
        <v>536</v>
      </c>
      <c r="B28" s="1495"/>
      <c r="C28" s="1496"/>
      <c r="D28" s="1116">
        <f>SUM(D29,D30,D31,D32,D33,D34,D35,D36,D37,D38,D39,D40,D41,D42)</f>
        <v>4956012</v>
      </c>
      <c r="E28" s="1116">
        <f>SUM(E29,E30,E31,E32,E33,E34,E35,E36,E37,E38,E39,E40,E41,E42)</f>
        <v>4916912.14</v>
      </c>
      <c r="F28" s="1117">
        <f t="shared" si="0"/>
        <v>99.2110620393978</v>
      </c>
    </row>
    <row r="29" spans="1:9" ht="30" customHeight="1">
      <c r="A29" s="49" t="s">
        <v>1109</v>
      </c>
      <c r="B29" s="51">
        <v>80120</v>
      </c>
      <c r="C29" s="50" t="s">
        <v>604</v>
      </c>
      <c r="D29" s="1101">
        <v>155524</v>
      </c>
      <c r="E29" s="1118">
        <v>155523.72</v>
      </c>
      <c r="F29" s="1104">
        <f t="shared" si="0"/>
        <v>99.9998199634783</v>
      </c>
      <c r="G29" s="306" t="s">
        <v>1231</v>
      </c>
      <c r="H29" s="415" t="s">
        <v>1065</v>
      </c>
      <c r="I29" s="307">
        <f>SUM(E29,E30,E31,E32,E33,E34,E35)</f>
        <v>907752.5399999998</v>
      </c>
    </row>
    <row r="30" spans="1:8" ht="28.5" customHeight="1">
      <c r="A30" s="49" t="s">
        <v>1110</v>
      </c>
      <c r="B30" s="51">
        <v>80120</v>
      </c>
      <c r="C30" s="419" t="s">
        <v>601</v>
      </c>
      <c r="D30" s="1098">
        <v>261241</v>
      </c>
      <c r="E30" s="1113">
        <v>261241.29</v>
      </c>
      <c r="F30" s="1104">
        <f t="shared" si="0"/>
        <v>100.00011100860891</v>
      </c>
      <c r="G30" s="306" t="s">
        <v>1231</v>
      </c>
      <c r="H30" s="415" t="s">
        <v>1065</v>
      </c>
    </row>
    <row r="31" spans="1:8" ht="30" customHeight="1">
      <c r="A31" s="46" t="s">
        <v>1192</v>
      </c>
      <c r="B31" s="48">
        <v>80120</v>
      </c>
      <c r="C31" s="47" t="s">
        <v>158</v>
      </c>
      <c r="D31" s="1034">
        <v>98327</v>
      </c>
      <c r="E31" s="1059">
        <v>98326.98</v>
      </c>
      <c r="F31" s="1035">
        <f t="shared" si="0"/>
        <v>99.9999796597069</v>
      </c>
      <c r="G31" s="306" t="s">
        <v>1231</v>
      </c>
      <c r="H31" s="415" t="s">
        <v>1065</v>
      </c>
    </row>
    <row r="32" spans="1:8" ht="30" customHeight="1">
      <c r="A32" s="46" t="s">
        <v>1199</v>
      </c>
      <c r="B32" s="48">
        <v>80120</v>
      </c>
      <c r="C32" s="47" t="s">
        <v>550</v>
      </c>
      <c r="D32" s="1034">
        <v>198261</v>
      </c>
      <c r="E32" s="1059">
        <v>198260.61</v>
      </c>
      <c r="F32" s="1035">
        <f t="shared" si="0"/>
        <v>99.9998032896031</v>
      </c>
      <c r="G32" s="306" t="s">
        <v>1231</v>
      </c>
      <c r="H32" s="415" t="s">
        <v>1065</v>
      </c>
    </row>
    <row r="33" spans="1:8" ht="42.75" customHeight="1">
      <c r="A33" s="49" t="s">
        <v>1200</v>
      </c>
      <c r="B33" s="51">
        <v>80120</v>
      </c>
      <c r="C33" s="50" t="s">
        <v>828</v>
      </c>
      <c r="D33" s="1098">
        <v>93532</v>
      </c>
      <c r="E33" s="1113">
        <v>93532.56</v>
      </c>
      <c r="F33" s="1104">
        <f t="shared" si="0"/>
        <v>100.00059872556986</v>
      </c>
      <c r="G33" s="306" t="s">
        <v>1231</v>
      </c>
      <c r="H33" s="415" t="s">
        <v>1065</v>
      </c>
    </row>
    <row r="34" spans="1:8" ht="30" customHeight="1">
      <c r="A34" s="49" t="s">
        <v>1201</v>
      </c>
      <c r="B34" s="51">
        <v>80120</v>
      </c>
      <c r="C34" s="50" t="s">
        <v>159</v>
      </c>
      <c r="D34" s="1098">
        <v>48742</v>
      </c>
      <c r="E34" s="1113">
        <v>48742.32</v>
      </c>
      <c r="F34" s="1104">
        <f t="shared" si="0"/>
        <v>100.00065651799271</v>
      </c>
      <c r="G34" s="306" t="s">
        <v>1231</v>
      </c>
      <c r="H34" s="415" t="s">
        <v>1065</v>
      </c>
    </row>
    <row r="35" spans="1:8" ht="30" customHeight="1">
      <c r="A35" s="49" t="s">
        <v>1310</v>
      </c>
      <c r="B35" s="51">
        <v>80120</v>
      </c>
      <c r="C35" s="50" t="s">
        <v>160</v>
      </c>
      <c r="D35" s="1098">
        <v>52125</v>
      </c>
      <c r="E35" s="1113">
        <v>52125.06</v>
      </c>
      <c r="F35" s="1104">
        <f t="shared" si="0"/>
        <v>100.00011510791367</v>
      </c>
      <c r="G35" s="306" t="s">
        <v>1231</v>
      </c>
      <c r="H35" s="415" t="s">
        <v>1065</v>
      </c>
    </row>
    <row r="36" spans="1:8" ht="30" customHeight="1">
      <c r="A36" s="49" t="s">
        <v>1311</v>
      </c>
      <c r="B36" s="51">
        <v>80130</v>
      </c>
      <c r="C36" s="50" t="s">
        <v>598</v>
      </c>
      <c r="D36" s="1098">
        <v>16900</v>
      </c>
      <c r="E36" s="1113">
        <v>16899.84</v>
      </c>
      <c r="F36" s="1104">
        <f>E36/D36*100</f>
        <v>99.99905325443788</v>
      </c>
      <c r="G36" s="306" t="s">
        <v>1231</v>
      </c>
      <c r="H36" s="415" t="s">
        <v>1065</v>
      </c>
    </row>
    <row r="37" spans="1:9" ht="30" customHeight="1">
      <c r="A37" s="49" t="s">
        <v>1202</v>
      </c>
      <c r="B37" s="51">
        <v>80130</v>
      </c>
      <c r="C37" s="50" t="s">
        <v>589</v>
      </c>
      <c r="D37" s="1101">
        <v>518917</v>
      </c>
      <c r="E37" s="1118">
        <v>518917.11</v>
      </c>
      <c r="F37" s="1104">
        <f t="shared" si="0"/>
        <v>100.00002119799505</v>
      </c>
      <c r="G37" s="306" t="s">
        <v>1225</v>
      </c>
      <c r="H37" s="415" t="s">
        <v>1065</v>
      </c>
      <c r="I37" s="307">
        <f>SUM(E37,E38)</f>
        <v>839855.26</v>
      </c>
    </row>
    <row r="38" spans="1:8" ht="30" customHeight="1">
      <c r="A38" s="49" t="s">
        <v>1204</v>
      </c>
      <c r="B38" s="51">
        <v>80130</v>
      </c>
      <c r="C38" s="50" t="s">
        <v>597</v>
      </c>
      <c r="D38" s="1098">
        <v>320938</v>
      </c>
      <c r="E38" s="1113">
        <v>320938.15</v>
      </c>
      <c r="F38" s="1104">
        <f t="shared" si="0"/>
        <v>100.00004673799924</v>
      </c>
      <c r="G38" s="306" t="s">
        <v>1225</v>
      </c>
      <c r="H38" s="415" t="s">
        <v>1065</v>
      </c>
    </row>
    <row r="39" spans="1:8" ht="30" customHeight="1">
      <c r="A39" s="46" t="s">
        <v>1312</v>
      </c>
      <c r="B39" s="48">
        <v>85111</v>
      </c>
      <c r="C39" s="47" t="s">
        <v>1075</v>
      </c>
      <c r="D39" s="1034">
        <f>SUM(9W!D529)</f>
        <v>2356200</v>
      </c>
      <c r="E39" s="1034">
        <f>SUM(9W!E529)</f>
        <v>2317100</v>
      </c>
      <c r="F39" s="1035">
        <f t="shared" si="0"/>
        <v>98.34054834054834</v>
      </c>
      <c r="G39" s="306" t="s">
        <v>1233</v>
      </c>
      <c r="H39" s="44"/>
    </row>
    <row r="40" spans="1:7" ht="30" customHeight="1">
      <c r="A40" s="49" t="s">
        <v>1205</v>
      </c>
      <c r="B40" s="51">
        <v>85117</v>
      </c>
      <c r="C40" s="50" t="s">
        <v>566</v>
      </c>
      <c r="D40" s="1098">
        <f>SUM(9W!D538)</f>
        <v>114930</v>
      </c>
      <c r="E40" s="1098">
        <f>SUM(9W!E538)</f>
        <v>114930</v>
      </c>
      <c r="F40" s="1104">
        <f t="shared" si="0"/>
        <v>100</v>
      </c>
      <c r="G40" s="306" t="s">
        <v>1233</v>
      </c>
    </row>
    <row r="41" spans="1:7" ht="30" customHeight="1">
      <c r="A41" s="49" t="s">
        <v>1206</v>
      </c>
      <c r="B41" s="423">
        <v>85311</v>
      </c>
      <c r="C41" s="424" t="s">
        <v>1229</v>
      </c>
      <c r="D41" s="1114">
        <f>SUM(9W!D577)</f>
        <v>33535</v>
      </c>
      <c r="E41" s="1114">
        <f>SUM(9W!E577)</f>
        <v>33535</v>
      </c>
      <c r="F41" s="1035">
        <f>E41/D41*100</f>
        <v>100</v>
      </c>
      <c r="G41" s="306" t="s">
        <v>1224</v>
      </c>
    </row>
    <row r="42" spans="1:7" ht="39.75" customHeight="1" thickBot="1">
      <c r="A42" s="299" t="s">
        <v>1313</v>
      </c>
      <c r="B42" s="417">
        <v>85419</v>
      </c>
      <c r="C42" s="418" t="s">
        <v>349</v>
      </c>
      <c r="D42" s="1099">
        <f>SUM(9W!D636)</f>
        <v>686840</v>
      </c>
      <c r="E42" s="1099">
        <f>SUM(9W!E636)</f>
        <v>686839.5</v>
      </c>
      <c r="F42" s="1112">
        <f t="shared" si="0"/>
        <v>99.999927202842</v>
      </c>
      <c r="G42" s="306" t="s">
        <v>1231</v>
      </c>
    </row>
    <row r="43" spans="1:6" ht="18.75" customHeight="1" thickBot="1" thickTop="1">
      <c r="A43" s="1489" t="s">
        <v>537</v>
      </c>
      <c r="B43" s="1490"/>
      <c r="C43" s="1491"/>
      <c r="D43" s="1100">
        <f>SUM(D16,D28)</f>
        <v>13794436</v>
      </c>
      <c r="E43" s="1100">
        <f>SUM(E16,E28)</f>
        <v>13752335.330000002</v>
      </c>
      <c r="F43" s="1106">
        <f t="shared" si="0"/>
        <v>99.69479962790795</v>
      </c>
    </row>
    <row r="44" ht="45.75" customHeight="1"/>
    <row r="45" spans="1:6" ht="39" customHeight="1" thickBot="1">
      <c r="A45" s="1483" t="s">
        <v>1250</v>
      </c>
      <c r="B45" s="1483"/>
      <c r="C45" s="1483"/>
      <c r="D45" s="1483"/>
      <c r="E45" s="1483"/>
      <c r="F45" s="1483"/>
    </row>
    <row r="46" spans="1:8" s="295" customFormat="1" ht="20.25" customHeight="1">
      <c r="A46" s="442" t="s">
        <v>1106</v>
      </c>
      <c r="B46" s="443" t="s">
        <v>834</v>
      </c>
      <c r="C46" s="443" t="s">
        <v>551</v>
      </c>
      <c r="D46" s="613" t="s">
        <v>836</v>
      </c>
      <c r="E46" s="660" t="s">
        <v>837</v>
      </c>
      <c r="F46" s="614" t="s">
        <v>61</v>
      </c>
      <c r="G46" s="280"/>
      <c r="H46" s="432"/>
    </row>
    <row r="47" spans="1:8" s="550" customFormat="1" ht="9.75" customHeight="1">
      <c r="A47" s="661">
        <v>1</v>
      </c>
      <c r="B47" s="662">
        <v>2</v>
      </c>
      <c r="C47" s="662">
        <v>3</v>
      </c>
      <c r="D47" s="662">
        <v>4</v>
      </c>
      <c r="E47" s="663">
        <v>5</v>
      </c>
      <c r="F47" s="664">
        <v>6</v>
      </c>
      <c r="G47" s="411"/>
      <c r="H47" s="549"/>
    </row>
    <row r="48" spans="1:6" ht="15.75" customHeight="1">
      <c r="A48" s="1486" t="s">
        <v>535</v>
      </c>
      <c r="B48" s="1487"/>
      <c r="C48" s="1488"/>
      <c r="D48" s="1097">
        <f>SUM(D49,D50,D51,D52,D53,D54,D55,D56,D57,D58,D59,D60)</f>
        <v>1944196</v>
      </c>
      <c r="E48" s="1097">
        <f>SUM(E49,E50,E51,E52,E53,E54,E55,E56,E57,E58,E59,E60)</f>
        <v>1882867.13</v>
      </c>
      <c r="F48" s="1103">
        <f>E48/D48*100</f>
        <v>96.84554077881036</v>
      </c>
    </row>
    <row r="49" spans="1:7" ht="24" customHeight="1">
      <c r="A49" s="49" t="s">
        <v>1109</v>
      </c>
      <c r="B49" s="51">
        <v>75095</v>
      </c>
      <c r="C49" s="419" t="s">
        <v>1353</v>
      </c>
      <c r="D49" s="1098">
        <f>SUM(9W!D110)</f>
        <v>6255</v>
      </c>
      <c r="E49" s="1098">
        <f>SUM(9W!E110)</f>
        <v>6255</v>
      </c>
      <c r="F49" s="1104">
        <f aca="true" t="shared" si="1" ref="F49:F65">E49/D49*100</f>
        <v>100</v>
      </c>
      <c r="G49" s="306" t="s">
        <v>1219</v>
      </c>
    </row>
    <row r="50" spans="1:7" ht="24" customHeight="1">
      <c r="A50" s="49" t="s">
        <v>1110</v>
      </c>
      <c r="B50" s="51">
        <v>80113</v>
      </c>
      <c r="C50" s="419" t="s">
        <v>1096</v>
      </c>
      <c r="D50" s="1098">
        <f>SUM(9W!D190)</f>
        <v>10000</v>
      </c>
      <c r="E50" s="1098">
        <f>SUM(9W!E190)</f>
        <v>10000</v>
      </c>
      <c r="F50" s="1104">
        <f t="shared" si="1"/>
        <v>100</v>
      </c>
      <c r="G50" s="306" t="s">
        <v>1219</v>
      </c>
    </row>
    <row r="51" spans="1:7" ht="24" customHeight="1">
      <c r="A51" s="49" t="s">
        <v>1192</v>
      </c>
      <c r="B51" s="51">
        <v>80195</v>
      </c>
      <c r="C51" s="419" t="s">
        <v>1021</v>
      </c>
      <c r="D51" s="1098">
        <f>SUM(9W!D206)</f>
        <v>4000</v>
      </c>
      <c r="E51" s="1098">
        <f>SUM(9W!E206)</f>
        <v>4000</v>
      </c>
      <c r="F51" s="1104">
        <f t="shared" si="1"/>
        <v>100</v>
      </c>
      <c r="G51" s="306" t="s">
        <v>1219</v>
      </c>
    </row>
    <row r="52" spans="1:7" ht="42" customHeight="1">
      <c r="A52" s="49" t="s">
        <v>1199</v>
      </c>
      <c r="B52" s="51">
        <v>85152</v>
      </c>
      <c r="C52" s="50" t="s">
        <v>564</v>
      </c>
      <c r="D52" s="1098">
        <f>SUM(9W!D222)</f>
        <v>9000</v>
      </c>
      <c r="E52" s="1098">
        <f>SUM(9W!E222)</f>
        <v>9000</v>
      </c>
      <c r="F52" s="1104">
        <f t="shared" si="1"/>
        <v>100</v>
      </c>
      <c r="G52" s="306" t="s">
        <v>1219</v>
      </c>
    </row>
    <row r="53" spans="1:7" ht="30" customHeight="1">
      <c r="A53" s="49" t="s">
        <v>1200</v>
      </c>
      <c r="B53" s="48">
        <v>85153</v>
      </c>
      <c r="C53" s="47" t="s">
        <v>563</v>
      </c>
      <c r="D53" s="1034">
        <f>SUM(9W!D228)</f>
        <v>18450</v>
      </c>
      <c r="E53" s="1034">
        <f>SUM(9W!E228)</f>
        <v>18200</v>
      </c>
      <c r="F53" s="1035">
        <f t="shared" si="1"/>
        <v>98.6449864498645</v>
      </c>
      <c r="G53" s="306" t="s">
        <v>1219</v>
      </c>
    </row>
    <row r="54" spans="1:7" ht="24.75" customHeight="1">
      <c r="A54" s="49" t="s">
        <v>1201</v>
      </c>
      <c r="B54" s="51">
        <v>85154</v>
      </c>
      <c r="C54" s="419" t="s">
        <v>553</v>
      </c>
      <c r="D54" s="1098">
        <v>71138</v>
      </c>
      <c r="E54" s="1098">
        <v>51138</v>
      </c>
      <c r="F54" s="1104">
        <f t="shared" si="1"/>
        <v>71.88563074587422</v>
      </c>
      <c r="G54" s="306" t="s">
        <v>1221</v>
      </c>
    </row>
    <row r="55" spans="1:7" ht="24" customHeight="1">
      <c r="A55" s="46" t="s">
        <v>1310</v>
      </c>
      <c r="B55" s="48">
        <v>85195</v>
      </c>
      <c r="C55" s="47" t="s">
        <v>161</v>
      </c>
      <c r="D55" s="1034">
        <f>SUM(9W!D243)</f>
        <v>20000</v>
      </c>
      <c r="E55" s="1034">
        <f>SUM(9W!E243)</f>
        <v>20000</v>
      </c>
      <c r="F55" s="1035">
        <f t="shared" si="1"/>
        <v>100</v>
      </c>
      <c r="G55" s="306" t="s">
        <v>1220</v>
      </c>
    </row>
    <row r="56" spans="1:7" ht="24" customHeight="1">
      <c r="A56" s="46" t="s">
        <v>1311</v>
      </c>
      <c r="B56" s="294">
        <v>85203</v>
      </c>
      <c r="C56" s="425" t="s">
        <v>472</v>
      </c>
      <c r="D56" s="1101">
        <f>SUM(9W!D257)</f>
        <v>169750</v>
      </c>
      <c r="E56" s="1101">
        <f>SUM(9W!E257)</f>
        <v>169750</v>
      </c>
      <c r="F56" s="1104">
        <f t="shared" si="1"/>
        <v>100</v>
      </c>
      <c r="G56" s="306" t="s">
        <v>1219</v>
      </c>
    </row>
    <row r="57" spans="1:7" ht="24" customHeight="1">
      <c r="A57" s="46" t="s">
        <v>1202</v>
      </c>
      <c r="B57" s="48">
        <v>85395</v>
      </c>
      <c r="C57" s="421" t="s">
        <v>554</v>
      </c>
      <c r="D57" s="1034">
        <f>SUM(9W!D307)</f>
        <v>500000</v>
      </c>
      <c r="E57" s="1034">
        <f>SUM(9W!E307)</f>
        <v>499337.91</v>
      </c>
      <c r="F57" s="1035">
        <f t="shared" si="1"/>
        <v>99.867582</v>
      </c>
      <c r="G57" s="306" t="s">
        <v>1221</v>
      </c>
    </row>
    <row r="58" spans="1:6" ht="24" customHeight="1">
      <c r="A58" s="46" t="s">
        <v>1204</v>
      </c>
      <c r="B58" s="48">
        <v>92120</v>
      </c>
      <c r="C58" s="47" t="s">
        <v>1251</v>
      </c>
      <c r="D58" s="1034">
        <f>SUM(9W!D376)</f>
        <v>117500</v>
      </c>
      <c r="E58" s="1034">
        <v>79987.09</v>
      </c>
      <c r="F58" s="1035">
        <f t="shared" si="1"/>
        <v>68.07411914893616</v>
      </c>
    </row>
    <row r="59" spans="1:7" ht="24" customHeight="1">
      <c r="A59" s="46" t="s">
        <v>1312</v>
      </c>
      <c r="B59" s="51">
        <v>92195</v>
      </c>
      <c r="C59" s="50" t="s">
        <v>298</v>
      </c>
      <c r="D59" s="1098">
        <f>SUM(9W!D383)</f>
        <v>56783</v>
      </c>
      <c r="E59" s="1098">
        <f>SUM(9W!E383)</f>
        <v>54079.13</v>
      </c>
      <c r="F59" s="1104">
        <f t="shared" si="1"/>
        <v>95.23824031840516</v>
      </c>
      <c r="G59" s="306" t="s">
        <v>1219</v>
      </c>
    </row>
    <row r="60" spans="1:8" ht="24" customHeight="1">
      <c r="A60" s="46" t="s">
        <v>1205</v>
      </c>
      <c r="B60" s="51">
        <v>92605</v>
      </c>
      <c r="C60" s="419" t="s">
        <v>1017</v>
      </c>
      <c r="D60" s="1098">
        <v>961320</v>
      </c>
      <c r="E60" s="1098">
        <v>961120</v>
      </c>
      <c r="F60" s="1104">
        <f t="shared" si="1"/>
        <v>99.97919527316607</v>
      </c>
      <c r="G60" s="306" t="s">
        <v>1219</v>
      </c>
      <c r="H60" s="415" t="s">
        <v>1065</v>
      </c>
    </row>
    <row r="61" spans="1:6" ht="17.25" customHeight="1">
      <c r="A61" s="1486" t="s">
        <v>536</v>
      </c>
      <c r="B61" s="1487"/>
      <c r="C61" s="1488"/>
      <c r="D61" s="1097">
        <f>SUM(D62,D63,D64)</f>
        <v>936755</v>
      </c>
      <c r="E61" s="1097">
        <f>SUM(E62,E63,E64)</f>
        <v>911850.2</v>
      </c>
      <c r="F61" s="1103">
        <f t="shared" si="1"/>
        <v>97.34137527955549</v>
      </c>
    </row>
    <row r="62" spans="1:7" ht="30" customHeight="1">
      <c r="A62" s="49" t="s">
        <v>1109</v>
      </c>
      <c r="B62" s="51">
        <v>85201</v>
      </c>
      <c r="C62" s="50" t="s">
        <v>565</v>
      </c>
      <c r="D62" s="1098">
        <f>SUM(9W!D548)</f>
        <v>796986</v>
      </c>
      <c r="E62" s="1098">
        <f>SUM(9W!E548)</f>
        <v>789834.08</v>
      </c>
      <c r="F62" s="1104">
        <f t="shared" si="1"/>
        <v>99.10262915534275</v>
      </c>
      <c r="G62" s="306" t="s">
        <v>1223</v>
      </c>
    </row>
    <row r="63" spans="1:7" ht="24" customHeight="1">
      <c r="A63" s="49" t="s">
        <v>1110</v>
      </c>
      <c r="B63" s="294">
        <v>85204</v>
      </c>
      <c r="C63" s="425" t="s">
        <v>473</v>
      </c>
      <c r="D63" s="1101">
        <f>SUM(9W!D562)</f>
        <v>108769</v>
      </c>
      <c r="E63" s="1101">
        <f>SUM(9W!E562)</f>
        <v>91016.12</v>
      </c>
      <c r="F63" s="1104">
        <f>E63/D63*100</f>
        <v>83.67836423981097</v>
      </c>
      <c r="G63" s="306" t="s">
        <v>1223</v>
      </c>
    </row>
    <row r="64" spans="1:7" ht="24.75" customHeight="1" thickBot="1">
      <c r="A64" s="299" t="s">
        <v>1192</v>
      </c>
      <c r="B64" s="426">
        <v>85321</v>
      </c>
      <c r="C64" s="427" t="s">
        <v>301</v>
      </c>
      <c r="D64" s="1115">
        <f>SUM(9W!D581)</f>
        <v>31000</v>
      </c>
      <c r="E64" s="1115">
        <f>SUM(9W!E581)</f>
        <v>31000</v>
      </c>
      <c r="F64" s="1112">
        <f>E64/D64*100</f>
        <v>100</v>
      </c>
      <c r="G64" s="306" t="s">
        <v>1223</v>
      </c>
    </row>
    <row r="65" spans="1:6" ht="18" customHeight="1" thickBot="1" thickTop="1">
      <c r="A65" s="1489" t="s">
        <v>537</v>
      </c>
      <c r="B65" s="1490"/>
      <c r="C65" s="1491"/>
      <c r="D65" s="1100">
        <f>SUM(D48,D61)</f>
        <v>2880951</v>
      </c>
      <c r="E65" s="1100">
        <f>SUM(E48,E61)</f>
        <v>2794717.33</v>
      </c>
      <c r="F65" s="1106">
        <f t="shared" si="1"/>
        <v>97.00676373877931</v>
      </c>
    </row>
    <row r="66" ht="57.75" customHeight="1"/>
    <row r="67" spans="1:6" ht="15" customHeight="1" thickBot="1">
      <c r="A67" s="1492" t="s">
        <v>1071</v>
      </c>
      <c r="B67" s="1492"/>
      <c r="C67" s="1492"/>
      <c r="D67" s="1492"/>
      <c r="E67" s="1492"/>
      <c r="F67" s="1492"/>
    </row>
    <row r="68" spans="1:6" ht="12" customHeight="1">
      <c r="A68" s="442" t="s">
        <v>1106</v>
      </c>
      <c r="B68" s="443" t="s">
        <v>834</v>
      </c>
      <c r="C68" s="571" t="s">
        <v>1019</v>
      </c>
      <c r="D68" s="613" t="s">
        <v>836</v>
      </c>
      <c r="E68" s="660" t="s">
        <v>837</v>
      </c>
      <c r="F68" s="614" t="s">
        <v>838</v>
      </c>
    </row>
    <row r="69" spans="1:6" ht="12" customHeight="1">
      <c r="A69" s="661">
        <v>1</v>
      </c>
      <c r="B69" s="662">
        <v>2</v>
      </c>
      <c r="C69" s="662">
        <v>3</v>
      </c>
      <c r="D69" s="662">
        <v>4</v>
      </c>
      <c r="E69" s="663">
        <v>5</v>
      </c>
      <c r="F69" s="664">
        <v>6</v>
      </c>
    </row>
    <row r="70" spans="1:6" ht="18" customHeight="1">
      <c r="A70" s="1486" t="s">
        <v>536</v>
      </c>
      <c r="B70" s="1487"/>
      <c r="C70" s="1488"/>
      <c r="D70" s="1097">
        <f>SUM(D71)</f>
        <v>132640</v>
      </c>
      <c r="E70" s="1097">
        <f>SUM(E71)</f>
        <v>132640</v>
      </c>
      <c r="F70" s="1103">
        <f>E70/D70*100</f>
        <v>100</v>
      </c>
    </row>
    <row r="71" spans="1:7" ht="24" customHeight="1">
      <c r="A71" s="49" t="s">
        <v>1109</v>
      </c>
      <c r="B71" s="51">
        <v>75405</v>
      </c>
      <c r="C71" s="50" t="s">
        <v>1072</v>
      </c>
      <c r="D71" s="1098">
        <f>SUM(9W!D457)</f>
        <v>132640</v>
      </c>
      <c r="E71" s="1098">
        <f>SUM(9W!E457)</f>
        <v>132640</v>
      </c>
      <c r="F71" s="1104">
        <f>E71/D71*100</f>
        <v>100</v>
      </c>
      <c r="G71" s="306" t="s">
        <v>1073</v>
      </c>
    </row>
    <row r="72" spans="1:6" ht="17.25" customHeight="1" thickBot="1">
      <c r="A72" s="1489" t="s">
        <v>538</v>
      </c>
      <c r="B72" s="1490"/>
      <c r="C72" s="1491"/>
      <c r="D72" s="1100">
        <f>SUM(D70)</f>
        <v>132640</v>
      </c>
      <c r="E72" s="1100">
        <f>SUM(E70)</f>
        <v>132640</v>
      </c>
      <c r="F72" s="1106">
        <f>E72/D72*100</f>
        <v>100</v>
      </c>
    </row>
    <row r="73" ht="51.75" customHeight="1"/>
    <row r="74" spans="1:7" ht="27.75" customHeight="1" thickBot="1">
      <c r="A74" s="1483" t="s">
        <v>1252</v>
      </c>
      <c r="B74" s="1483"/>
      <c r="C74" s="1483"/>
      <c r="D74" s="1483"/>
      <c r="E74" s="1483"/>
      <c r="F74" s="1483"/>
      <c r="G74" s="422"/>
    </row>
    <row r="75" spans="1:6" ht="20.25" customHeight="1">
      <c r="A75" s="442" t="s">
        <v>1106</v>
      </c>
      <c r="B75" s="443" t="s">
        <v>834</v>
      </c>
      <c r="C75" s="571" t="s">
        <v>1019</v>
      </c>
      <c r="D75" s="613" t="s">
        <v>836</v>
      </c>
      <c r="E75" s="660" t="s">
        <v>837</v>
      </c>
      <c r="F75" s="614" t="s">
        <v>838</v>
      </c>
    </row>
    <row r="76" spans="1:8" s="550" customFormat="1" ht="10.5" customHeight="1">
      <c r="A76" s="661">
        <v>1</v>
      </c>
      <c r="B76" s="662">
        <v>2</v>
      </c>
      <c r="C76" s="662">
        <v>3</v>
      </c>
      <c r="D76" s="662">
        <v>4</v>
      </c>
      <c r="E76" s="663">
        <v>5</v>
      </c>
      <c r="F76" s="664">
        <v>6</v>
      </c>
      <c r="G76" s="411"/>
      <c r="H76" s="549"/>
    </row>
    <row r="77" spans="1:6" ht="18.75" customHeight="1">
      <c r="A77" s="1486" t="s">
        <v>535</v>
      </c>
      <c r="B77" s="1487"/>
      <c r="C77" s="1488"/>
      <c r="D77" s="1097">
        <f>SUM(D78,D79,D80,D81,D82)</f>
        <v>2032956</v>
      </c>
      <c r="E77" s="1097">
        <f>SUM(E78,E79,E80,E81,E82)</f>
        <v>1368817.65</v>
      </c>
      <c r="F77" s="1103">
        <f>E77/D77*100</f>
        <v>67.33139576065591</v>
      </c>
    </row>
    <row r="78" spans="1:7" ht="24" customHeight="1">
      <c r="A78" s="49" t="s">
        <v>1109</v>
      </c>
      <c r="B78" s="51">
        <v>70001</v>
      </c>
      <c r="C78" s="50" t="s">
        <v>1189</v>
      </c>
      <c r="D78" s="1098">
        <f>SUM(9W!D70)</f>
        <v>530200</v>
      </c>
      <c r="E78" s="1098">
        <f>SUM(9W!E70)</f>
        <v>439822.85</v>
      </c>
      <c r="F78" s="1104">
        <f aca="true" t="shared" si="2" ref="F78:F87">E78/D78*100</f>
        <v>82.95413994718973</v>
      </c>
      <c r="G78" s="306" t="s">
        <v>1234</v>
      </c>
    </row>
    <row r="79" spans="1:7" ht="24" customHeight="1">
      <c r="A79" s="49" t="s">
        <v>1110</v>
      </c>
      <c r="B79" s="51">
        <v>80104</v>
      </c>
      <c r="C79" s="50" t="s">
        <v>771</v>
      </c>
      <c r="D79" s="1098">
        <f>SUM(9W!D178)</f>
        <v>83000</v>
      </c>
      <c r="E79" s="1098">
        <f>SUM(9W!E178)</f>
        <v>83000</v>
      </c>
      <c r="F79" s="1104">
        <f t="shared" si="2"/>
        <v>100</v>
      </c>
      <c r="G79" s="306" t="s">
        <v>1234</v>
      </c>
    </row>
    <row r="80" spans="1:7" ht="24" customHeight="1">
      <c r="A80" s="49" t="s">
        <v>1192</v>
      </c>
      <c r="B80" s="51">
        <v>92109</v>
      </c>
      <c r="C80" s="419" t="s">
        <v>1020</v>
      </c>
      <c r="D80" s="1098">
        <f>SUM(9W!D361)</f>
        <v>600000</v>
      </c>
      <c r="E80" s="1098">
        <f>SUM(9W!E361)</f>
        <v>26238.8</v>
      </c>
      <c r="F80" s="1104">
        <f t="shared" si="2"/>
        <v>4.373133333333333</v>
      </c>
      <c r="G80" s="306" t="s">
        <v>1235</v>
      </c>
    </row>
    <row r="81" spans="1:7" ht="24" customHeight="1">
      <c r="A81" s="49" t="s">
        <v>1199</v>
      </c>
      <c r="B81" s="51">
        <v>92118</v>
      </c>
      <c r="C81" s="419" t="s">
        <v>773</v>
      </c>
      <c r="D81" s="1098">
        <f>SUM(9W!D372)</f>
        <v>25000</v>
      </c>
      <c r="E81" s="1098">
        <f>SUM(9W!E372)</f>
        <v>25000</v>
      </c>
      <c r="F81" s="1104">
        <f t="shared" si="2"/>
        <v>100</v>
      </c>
      <c r="G81" s="306" t="s">
        <v>1235</v>
      </c>
    </row>
    <row r="82" spans="1:7" ht="24" customHeight="1">
      <c r="A82" s="49" t="s">
        <v>1201</v>
      </c>
      <c r="B82" s="51">
        <v>92605</v>
      </c>
      <c r="C82" s="419" t="s">
        <v>299</v>
      </c>
      <c r="D82" s="1098">
        <f>SUM(9W!D398)</f>
        <v>794756</v>
      </c>
      <c r="E82" s="1098">
        <f>SUM(9W!E398)</f>
        <v>794756</v>
      </c>
      <c r="F82" s="1104">
        <f t="shared" si="2"/>
        <v>100</v>
      </c>
      <c r="G82" s="306" t="s">
        <v>1234</v>
      </c>
    </row>
    <row r="83" spans="1:8" s="306" customFormat="1" ht="20.25" customHeight="1">
      <c r="A83" s="1486" t="s">
        <v>536</v>
      </c>
      <c r="B83" s="1487"/>
      <c r="C83" s="1488"/>
      <c r="D83" s="1102">
        <f>SUM(D84,D85,D86)</f>
        <v>108520</v>
      </c>
      <c r="E83" s="1102">
        <f>SUM(E84,E85,E86)</f>
        <v>108520</v>
      </c>
      <c r="F83" s="1103">
        <f>E83/D83*100</f>
        <v>100</v>
      </c>
      <c r="H83" s="415"/>
    </row>
    <row r="84" spans="1:8" s="306" customFormat="1" ht="20.25" customHeight="1">
      <c r="A84" s="51" t="s">
        <v>1109</v>
      </c>
      <c r="B84" s="51">
        <v>75405</v>
      </c>
      <c r="C84" s="50" t="s">
        <v>1254</v>
      </c>
      <c r="D84" s="1098">
        <f>SUM(9W!D460)</f>
        <v>45000</v>
      </c>
      <c r="E84" s="1098">
        <f>SUM(9W!E460)</f>
        <v>45000</v>
      </c>
      <c r="F84" s="1105">
        <f>E84/D84*100</f>
        <v>100</v>
      </c>
      <c r="G84" s="306" t="s">
        <v>1253</v>
      </c>
      <c r="H84" s="415"/>
    </row>
    <row r="85" spans="1:8" ht="31.5" customHeight="1">
      <c r="A85" s="51" t="s">
        <v>1110</v>
      </c>
      <c r="B85" s="51">
        <v>85111</v>
      </c>
      <c r="C85" s="50" t="s">
        <v>1075</v>
      </c>
      <c r="D85" s="1098">
        <f>SUM(9W!D532)</f>
        <v>60000</v>
      </c>
      <c r="E85" s="1098">
        <f>SUM(9W!E532)</f>
        <v>60000</v>
      </c>
      <c r="F85" s="1105">
        <f>E85/D85*100</f>
        <v>100</v>
      </c>
      <c r="G85" s="306" t="s">
        <v>1235</v>
      </c>
      <c r="H85" s="58"/>
    </row>
    <row r="86" spans="1:7" ht="29.25" customHeight="1">
      <c r="A86" s="51" t="s">
        <v>1192</v>
      </c>
      <c r="B86" s="51">
        <v>85117</v>
      </c>
      <c r="C86" s="50" t="s">
        <v>566</v>
      </c>
      <c r="D86" s="1098">
        <f>SUM(9W!D541)</f>
        <v>3520</v>
      </c>
      <c r="E86" s="1098">
        <f>SUM(9W!E541)</f>
        <v>3520</v>
      </c>
      <c r="F86" s="1105">
        <f>E86/D86*100</f>
        <v>100</v>
      </c>
      <c r="G86" s="306" t="s">
        <v>1235</v>
      </c>
    </row>
    <row r="87" spans="1:8" s="306" customFormat="1" ht="18" customHeight="1" thickBot="1">
      <c r="A87" s="1489" t="s">
        <v>537</v>
      </c>
      <c r="B87" s="1490"/>
      <c r="C87" s="1491"/>
      <c r="D87" s="1100">
        <f>SUM(D77,D83)</f>
        <v>2141476</v>
      </c>
      <c r="E87" s="1100">
        <f>SUM(E77,E83)</f>
        <v>1477337.65</v>
      </c>
      <c r="F87" s="1106">
        <f t="shared" si="2"/>
        <v>68.98688801555562</v>
      </c>
      <c r="H87" s="415"/>
    </row>
    <row r="88" spans="1:8" s="280" customFormat="1" ht="21" customHeight="1" thickBot="1">
      <c r="A88" s="429"/>
      <c r="B88" s="429"/>
      <c r="C88" s="429"/>
      <c r="D88" s="430"/>
      <c r="E88" s="430"/>
      <c r="F88" s="431"/>
      <c r="H88" s="432"/>
    </row>
    <row r="89" spans="1:8" s="550" customFormat="1" ht="18" customHeight="1">
      <c r="A89" s="1480" t="s">
        <v>690</v>
      </c>
      <c r="B89" s="1481"/>
      <c r="C89" s="1482"/>
      <c r="D89" s="665" t="s">
        <v>79</v>
      </c>
      <c r="E89" s="666" t="s">
        <v>80</v>
      </c>
      <c r="F89" s="667" t="s">
        <v>838</v>
      </c>
      <c r="G89" s="411"/>
      <c r="H89" s="549"/>
    </row>
    <row r="90" spans="1:6" s="415" customFormat="1" ht="22.5" customHeight="1">
      <c r="A90" s="1506" t="s">
        <v>691</v>
      </c>
      <c r="B90" s="1507"/>
      <c r="C90" s="1508"/>
      <c r="D90" s="1107">
        <f>SUM(D11,D43,D65,D72)</f>
        <v>17808027</v>
      </c>
      <c r="E90" s="1107">
        <f>SUM(E11,E43,E65,E72)</f>
        <v>17676876.900000002</v>
      </c>
      <c r="F90" s="1108">
        <f>E90/D90*100</f>
        <v>99.26353379855051</v>
      </c>
    </row>
    <row r="91" spans="1:6" s="415" customFormat="1" ht="22.5" customHeight="1" thickBot="1">
      <c r="A91" s="1500" t="s">
        <v>1237</v>
      </c>
      <c r="B91" s="1501"/>
      <c r="C91" s="1502"/>
      <c r="D91" s="1109">
        <f>SUM(D87)</f>
        <v>2141476</v>
      </c>
      <c r="E91" s="1109">
        <f>SUM(E87)</f>
        <v>1477337.65</v>
      </c>
      <c r="F91" s="1110">
        <f>E91/D91*100</f>
        <v>68.98688801555562</v>
      </c>
    </row>
    <row r="92" spans="1:6" s="306" customFormat="1" ht="22.5" customHeight="1" thickBot="1" thickTop="1">
      <c r="A92" s="1503" t="s">
        <v>562</v>
      </c>
      <c r="B92" s="1504"/>
      <c r="C92" s="1505"/>
      <c r="D92" s="1111">
        <f>SUM(D90,D91)</f>
        <v>19949503</v>
      </c>
      <c r="E92" s="1111">
        <f>SUM(E90,E91)</f>
        <v>19154214.55</v>
      </c>
      <c r="F92" s="1080">
        <f>E92/D92*100</f>
        <v>96.01349241632737</v>
      </c>
    </row>
    <row r="93" spans="1:6" s="280" customFormat="1" ht="42" customHeight="1">
      <c r="A93" s="1499" t="s">
        <v>1069</v>
      </c>
      <c r="B93" s="1499"/>
      <c r="C93" s="1499"/>
      <c r="D93" s="1499"/>
      <c r="E93" s="1499"/>
      <c r="F93" s="1499"/>
    </row>
    <row r="94" spans="3:5" ht="13.5">
      <c r="C94" s="45" t="s">
        <v>1070</v>
      </c>
      <c r="D94" s="307">
        <v>17808027</v>
      </c>
      <c r="E94" s="307">
        <v>17676876.9</v>
      </c>
    </row>
    <row r="95" spans="3:5" ht="13.5">
      <c r="C95" s="45" t="s">
        <v>1226</v>
      </c>
      <c r="D95" s="307">
        <v>2141476</v>
      </c>
      <c r="E95" s="307">
        <v>1477337.65</v>
      </c>
    </row>
    <row r="96" spans="4:5" ht="13.5">
      <c r="D96" s="307"/>
      <c r="E96" s="307"/>
    </row>
    <row r="97" spans="3:5" ht="13.5">
      <c r="C97" s="45" t="s">
        <v>1227</v>
      </c>
      <c r="D97" s="307">
        <f>D94-D90</f>
        <v>0</v>
      </c>
      <c r="E97" s="307">
        <f>E94-E90</f>
        <v>0</v>
      </c>
    </row>
    <row r="98" spans="3:5" ht="13.5">
      <c r="C98" s="45" t="s">
        <v>1228</v>
      </c>
      <c r="D98" s="307">
        <f>D95-D91</f>
        <v>0</v>
      </c>
      <c r="E98" s="307">
        <f>E95-E91</f>
        <v>0</v>
      </c>
    </row>
  </sheetData>
  <sheetProtection/>
  <mergeCells count="27">
    <mergeCell ref="H17:H18"/>
    <mergeCell ref="I17:I18"/>
    <mergeCell ref="A93:F93"/>
    <mergeCell ref="A65:C65"/>
    <mergeCell ref="A83:C83"/>
    <mergeCell ref="A91:C91"/>
    <mergeCell ref="A92:C92"/>
    <mergeCell ref="A48:C48"/>
    <mergeCell ref="A61:C61"/>
    <mergeCell ref="A90:C90"/>
    <mergeCell ref="E1:F1"/>
    <mergeCell ref="A43:C43"/>
    <mergeCell ref="A16:C16"/>
    <mergeCell ref="A28:C28"/>
    <mergeCell ref="A8:C8"/>
    <mergeCell ref="A11:C11"/>
    <mergeCell ref="A3:F3"/>
    <mergeCell ref="A89:C89"/>
    <mergeCell ref="A13:F13"/>
    <mergeCell ref="A5:E5"/>
    <mergeCell ref="A70:C70"/>
    <mergeCell ref="A72:C72"/>
    <mergeCell ref="A45:F45"/>
    <mergeCell ref="A74:F74"/>
    <mergeCell ref="A77:C77"/>
    <mergeCell ref="A87:C87"/>
    <mergeCell ref="A67:F6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5.375" style="44" customWidth="1"/>
    <col min="2" max="2" width="9.125" style="44" customWidth="1"/>
    <col min="3" max="3" width="10.125" style="44" customWidth="1"/>
    <col min="4" max="4" width="29.875" style="44" customWidth="1"/>
    <col min="5" max="5" width="14.00390625" style="44" customWidth="1"/>
    <col min="6" max="6" width="10.625" style="44" customWidth="1"/>
    <col min="7" max="7" width="7.375" style="44" customWidth="1"/>
    <col min="8" max="16384" width="9.125" style="44" customWidth="1"/>
  </cols>
  <sheetData>
    <row r="1" spans="5:7" ht="12.75">
      <c r="E1" s="306"/>
      <c r="F1" s="1493" t="s">
        <v>245</v>
      </c>
      <c r="G1" s="1493"/>
    </row>
    <row r="2" ht="24" customHeight="1"/>
    <row r="3" spans="1:7" ht="12.75">
      <c r="A3" s="1400" t="s">
        <v>302</v>
      </c>
      <c r="B3" s="1400"/>
      <c r="C3" s="1400"/>
      <c r="D3" s="1400"/>
      <c r="E3" s="1400"/>
      <c r="F3" s="1400"/>
      <c r="G3" s="1400"/>
    </row>
    <row r="4" spans="1:5" ht="15" customHeight="1">
      <c r="A4" s="14"/>
      <c r="B4" s="14"/>
      <c r="C4" s="14"/>
      <c r="D4" s="14"/>
      <c r="E4" s="14"/>
    </row>
    <row r="5" spans="5:7" ht="13.5" thickBot="1">
      <c r="E5" s="45"/>
      <c r="F5" s="45"/>
      <c r="G5" s="45" t="s">
        <v>833</v>
      </c>
    </row>
    <row r="6" spans="1:7" s="280" customFormat="1" ht="24" customHeight="1">
      <c r="A6" s="442" t="s">
        <v>1106</v>
      </c>
      <c r="B6" s="443" t="s">
        <v>1018</v>
      </c>
      <c r="C6" s="443" t="s">
        <v>834</v>
      </c>
      <c r="D6" s="443" t="s">
        <v>539</v>
      </c>
      <c r="E6" s="443" t="s">
        <v>836</v>
      </c>
      <c r="F6" s="668" t="s">
        <v>837</v>
      </c>
      <c r="G6" s="669" t="s">
        <v>838</v>
      </c>
    </row>
    <row r="7" spans="1:7" s="14" customFormat="1" ht="9.75" customHeight="1">
      <c r="A7" s="282">
        <v>1</v>
      </c>
      <c r="B7" s="283">
        <v>2</v>
      </c>
      <c r="C7" s="283">
        <v>3</v>
      </c>
      <c r="D7" s="283">
        <v>4</v>
      </c>
      <c r="E7" s="283">
        <v>5</v>
      </c>
      <c r="F7" s="283">
        <v>6</v>
      </c>
      <c r="G7" s="670">
        <v>7</v>
      </c>
    </row>
    <row r="8" spans="1:7" ht="30" customHeight="1">
      <c r="A8" s="49" t="s">
        <v>1109</v>
      </c>
      <c r="B8" s="51">
        <v>750</v>
      </c>
      <c r="C8" s="51">
        <v>75095</v>
      </c>
      <c r="D8" s="419" t="s">
        <v>540</v>
      </c>
      <c r="E8" s="1098">
        <v>3000</v>
      </c>
      <c r="F8" s="1098">
        <v>0</v>
      </c>
      <c r="G8" s="831">
        <f>F8/E8*100</f>
        <v>0</v>
      </c>
    </row>
    <row r="9" spans="1:7" ht="30" customHeight="1">
      <c r="A9" s="49" t="s">
        <v>1110</v>
      </c>
      <c r="B9" s="51">
        <v>750</v>
      </c>
      <c r="C9" s="51">
        <v>75095</v>
      </c>
      <c r="D9" s="419" t="s">
        <v>541</v>
      </c>
      <c r="E9" s="1098">
        <v>10000</v>
      </c>
      <c r="F9" s="1098">
        <v>8853.36</v>
      </c>
      <c r="G9" s="831">
        <f>F9/E9*100</f>
        <v>88.5336</v>
      </c>
    </row>
    <row r="10" spans="1:7" ht="30" customHeight="1" thickBot="1">
      <c r="A10" s="299" t="s">
        <v>1192</v>
      </c>
      <c r="B10" s="417">
        <v>750</v>
      </c>
      <c r="C10" s="417">
        <v>75095</v>
      </c>
      <c r="D10" s="444" t="s">
        <v>542</v>
      </c>
      <c r="E10" s="1099">
        <v>10000</v>
      </c>
      <c r="F10" s="1099">
        <v>7146.63</v>
      </c>
      <c r="G10" s="1332">
        <f>F10/E10*100</f>
        <v>71.4663</v>
      </c>
    </row>
    <row r="11" spans="1:7" ht="24" customHeight="1" thickBot="1" thickTop="1">
      <c r="A11" s="1509" t="s">
        <v>543</v>
      </c>
      <c r="B11" s="1510"/>
      <c r="C11" s="1510"/>
      <c r="D11" s="1510"/>
      <c r="E11" s="1100">
        <f>E10+E9+E8</f>
        <v>23000</v>
      </c>
      <c r="F11" s="1100">
        <f>F10+F9+F8</f>
        <v>15999.990000000002</v>
      </c>
      <c r="G11" s="1333">
        <f>F11/E11*100</f>
        <v>69.56517391304348</v>
      </c>
    </row>
    <row r="13" ht="12.75">
      <c r="A13" s="58"/>
    </row>
  </sheetData>
  <sheetProtection/>
  <mergeCells count="3">
    <mergeCell ref="A11:D11"/>
    <mergeCell ref="F1:G1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4">
    <tabColor indexed="42"/>
  </sheetPr>
  <dimension ref="A1:K189"/>
  <sheetViews>
    <sheetView view="pageBreakPreview" zoomScaleSheetLayoutView="100" workbookViewId="0" topLeftCell="A28">
      <selection activeCell="H54" sqref="H54"/>
    </sheetView>
  </sheetViews>
  <sheetFormatPr defaultColWidth="9.00390625" defaultRowHeight="12.75"/>
  <cols>
    <col min="1" max="1" width="4.75390625" style="5" customWidth="1"/>
    <col min="2" max="2" width="7.125" style="5" customWidth="1"/>
    <col min="3" max="3" width="23.00390625" style="1172" customWidth="1"/>
    <col min="4" max="4" width="12.125" style="1" customWidth="1"/>
    <col min="5" max="5" width="12.25390625" style="1" customWidth="1"/>
    <col min="6" max="6" width="5.125" style="1" customWidth="1"/>
    <col min="7" max="7" width="12.125" style="6" customWidth="1"/>
    <col min="8" max="8" width="12.625" style="1" customWidth="1"/>
    <col min="9" max="9" width="5.625" style="264" customWidth="1"/>
    <col min="10" max="10" width="10.25390625" style="6" customWidth="1"/>
    <col min="11" max="11" width="15.875" style="1" customWidth="1"/>
    <col min="12" max="16384" width="9.125" style="1" customWidth="1"/>
  </cols>
  <sheetData>
    <row r="1" spans="1:10" s="263" customFormat="1" ht="15.75" customHeight="1">
      <c r="A1" s="262"/>
      <c r="B1" s="262"/>
      <c r="C1" s="349"/>
      <c r="G1" s="264"/>
      <c r="H1" s="1511" t="s">
        <v>246</v>
      </c>
      <c r="I1" s="1511"/>
      <c r="J1" s="264"/>
    </row>
    <row r="2" spans="1:10" s="263" customFormat="1" ht="22.5" customHeight="1">
      <c r="A2" s="262"/>
      <c r="B2" s="262"/>
      <c r="C2" s="349"/>
      <c r="G2" s="264"/>
      <c r="H2" s="265"/>
      <c r="I2" s="265"/>
      <c r="J2" s="264"/>
    </row>
    <row r="3" spans="1:10" s="263" customFormat="1" ht="18.75" customHeight="1">
      <c r="A3" s="1524" t="s">
        <v>961</v>
      </c>
      <c r="B3" s="1524"/>
      <c r="C3" s="1524"/>
      <c r="D3" s="1524"/>
      <c r="E3" s="1524"/>
      <c r="F3" s="1524"/>
      <c r="G3" s="1524"/>
      <c r="H3" s="1524"/>
      <c r="I3" s="1524"/>
      <c r="J3" s="264"/>
    </row>
    <row r="4" spans="1:10" s="263" customFormat="1" ht="15.75" customHeight="1" thickBot="1">
      <c r="A4" s="262"/>
      <c r="B4" s="262"/>
      <c r="C4" s="349"/>
      <c r="G4" s="264"/>
      <c r="H4" s="1514" t="s">
        <v>833</v>
      </c>
      <c r="I4" s="1514"/>
      <c r="J4" s="264"/>
    </row>
    <row r="5" spans="1:10" s="133" customFormat="1" ht="20.25" customHeight="1">
      <c r="A5" s="1518" t="s">
        <v>1018</v>
      </c>
      <c r="B5" s="1520" t="s">
        <v>834</v>
      </c>
      <c r="C5" s="1522" t="s">
        <v>1019</v>
      </c>
      <c r="D5" s="1515" t="s">
        <v>731</v>
      </c>
      <c r="E5" s="1516"/>
      <c r="F5" s="1516"/>
      <c r="G5" s="1515" t="s">
        <v>732</v>
      </c>
      <c r="H5" s="1516"/>
      <c r="I5" s="1517"/>
      <c r="J5" s="265"/>
    </row>
    <row r="6" spans="1:10" s="156" customFormat="1" ht="18.75" customHeight="1">
      <c r="A6" s="1519"/>
      <c r="B6" s="1521"/>
      <c r="C6" s="1523"/>
      <c r="D6" s="555" t="s">
        <v>836</v>
      </c>
      <c r="E6" s="555" t="s">
        <v>837</v>
      </c>
      <c r="F6" s="555" t="s">
        <v>838</v>
      </c>
      <c r="G6" s="555" t="s">
        <v>1099</v>
      </c>
      <c r="H6" s="555" t="s">
        <v>1100</v>
      </c>
      <c r="I6" s="624" t="s">
        <v>838</v>
      </c>
      <c r="J6" s="265"/>
    </row>
    <row r="7" spans="1:11" s="436" customFormat="1" ht="13.5" thickBot="1">
      <c r="A7" s="558">
        <v>1</v>
      </c>
      <c r="B7" s="559">
        <v>2</v>
      </c>
      <c r="C7" s="1160">
        <v>3</v>
      </c>
      <c r="D7" s="561">
        <v>4</v>
      </c>
      <c r="E7" s="561">
        <v>5</v>
      </c>
      <c r="F7" s="561">
        <v>6</v>
      </c>
      <c r="G7" s="561">
        <v>7</v>
      </c>
      <c r="H7" s="561">
        <v>8</v>
      </c>
      <c r="I7" s="562">
        <v>9</v>
      </c>
      <c r="J7" s="433" t="s">
        <v>1329</v>
      </c>
      <c r="K7" s="434" t="s">
        <v>766</v>
      </c>
    </row>
    <row r="8" spans="1:10" s="156" customFormat="1" ht="22.5" customHeight="1">
      <c r="A8" s="551" t="s">
        <v>839</v>
      </c>
      <c r="B8" s="552"/>
      <c r="C8" s="1161" t="s">
        <v>285</v>
      </c>
      <c r="D8" s="1133">
        <f>SUM(D9)</f>
        <v>30506.56</v>
      </c>
      <c r="E8" s="1133">
        <f>SUM(E9)</f>
        <v>30506.56</v>
      </c>
      <c r="F8" s="1134">
        <f aca="true" t="shared" si="0" ref="F8:F49">E8/D8*100</f>
        <v>100</v>
      </c>
      <c r="G8" s="1137">
        <f>SUM(G9)</f>
        <v>30506.56</v>
      </c>
      <c r="H8" s="1137">
        <f>SUM(H9)</f>
        <v>30506.56</v>
      </c>
      <c r="I8" s="1138">
        <f>H8/G8*100</f>
        <v>100</v>
      </c>
      <c r="J8" s="265"/>
    </row>
    <row r="9" spans="1:10" s="1141" customFormat="1" ht="19.5" customHeight="1">
      <c r="A9" s="254"/>
      <c r="B9" s="255" t="s">
        <v>291</v>
      </c>
      <c r="C9" s="1162" t="s">
        <v>840</v>
      </c>
      <c r="D9" s="1135">
        <f>SUM(6D!E10)</f>
        <v>30506.56</v>
      </c>
      <c r="E9" s="1135">
        <f>SUM(6D!F10)</f>
        <v>30506.56</v>
      </c>
      <c r="F9" s="1136">
        <f t="shared" si="0"/>
        <v>100</v>
      </c>
      <c r="G9" s="1139">
        <f aca="true" t="shared" si="1" ref="G9:H49">D9</f>
        <v>30506.56</v>
      </c>
      <c r="H9" s="1139">
        <f t="shared" si="1"/>
        <v>30506.56</v>
      </c>
      <c r="I9" s="1140">
        <f>H9/G9*100</f>
        <v>100</v>
      </c>
      <c r="J9" s="672">
        <f>G9-H9</f>
        <v>0</v>
      </c>
    </row>
    <row r="10" spans="1:10" s="1144" customFormat="1" ht="20.25" customHeight="1">
      <c r="A10" s="553" t="s">
        <v>844</v>
      </c>
      <c r="B10" s="554"/>
      <c r="C10" s="1163" t="s">
        <v>845</v>
      </c>
      <c r="D10" s="1142">
        <f>SUM(D11)</f>
        <v>1914000</v>
      </c>
      <c r="E10" s="1142">
        <f>SUM(E11)</f>
        <v>1913986.58</v>
      </c>
      <c r="F10" s="1134">
        <f t="shared" si="0"/>
        <v>99.99929885057472</v>
      </c>
      <c r="G10" s="1143">
        <f>SUM(G11)</f>
        <v>1914000</v>
      </c>
      <c r="H10" s="1143">
        <f>SUM(H11)</f>
        <v>1913486.58</v>
      </c>
      <c r="I10" s="1138">
        <f>H10/G10*100</f>
        <v>99.97317554858934</v>
      </c>
      <c r="J10" s="672"/>
    </row>
    <row r="11" spans="1:11" s="7" customFormat="1" ht="51.75" customHeight="1">
      <c r="A11" s="254"/>
      <c r="B11" s="255" t="s">
        <v>846</v>
      </c>
      <c r="C11" s="1162" t="s">
        <v>907</v>
      </c>
      <c r="D11" s="1135">
        <f>SUM(6D!E242,6D!E244)</f>
        <v>1914000</v>
      </c>
      <c r="E11" s="1135">
        <f>SUM(6D!F242,6D!F244)</f>
        <v>1913986.58</v>
      </c>
      <c r="F11" s="1136">
        <f t="shared" si="0"/>
        <v>99.99929885057472</v>
      </c>
      <c r="G11" s="1145">
        <f t="shared" si="1"/>
        <v>1914000</v>
      </c>
      <c r="H11" s="1145">
        <f>E11-500</f>
        <v>1913486.58</v>
      </c>
      <c r="I11" s="1140">
        <f>H11/G11*100</f>
        <v>99.97317554858934</v>
      </c>
      <c r="J11" s="1201">
        <f aca="true" t="shared" si="2" ref="J11:J52">G11-H11</f>
        <v>513.4199999999255</v>
      </c>
      <c r="K11" s="1175" t="s">
        <v>444</v>
      </c>
    </row>
    <row r="12" spans="1:10" s="271" customFormat="1" ht="30.75" customHeight="1">
      <c r="A12" s="269" t="s">
        <v>851</v>
      </c>
      <c r="B12" s="270"/>
      <c r="C12" s="1163" t="s">
        <v>852</v>
      </c>
      <c r="D12" s="1142">
        <f>SUM(D13)</f>
        <v>167000</v>
      </c>
      <c r="E12" s="1142">
        <f>SUM(E13)</f>
        <v>152594.66</v>
      </c>
      <c r="F12" s="1134">
        <f t="shared" si="0"/>
        <v>91.37404790419163</v>
      </c>
      <c r="G12" s="1143">
        <f>SUM(G13)</f>
        <v>167000</v>
      </c>
      <c r="H12" s="1143">
        <f>SUM(H13)</f>
        <v>152594.66</v>
      </c>
      <c r="I12" s="1138">
        <f>H12/G12*100</f>
        <v>91.37404790419163</v>
      </c>
      <c r="J12" s="672">
        <f t="shared" si="2"/>
        <v>14405.339999999997</v>
      </c>
    </row>
    <row r="13" spans="1:10" ht="33" customHeight="1">
      <c r="A13" s="256"/>
      <c r="B13" s="257" t="s">
        <v>853</v>
      </c>
      <c r="C13" s="1164" t="s">
        <v>854</v>
      </c>
      <c r="D13" s="1146">
        <f>SUM(6D!E49,6D!E247,6D!E248)</f>
        <v>167000</v>
      </c>
      <c r="E13" s="1146">
        <f>SUM(6D!F49,6D!F247,6D!F248)</f>
        <v>152594.66</v>
      </c>
      <c r="F13" s="1136">
        <f t="shared" si="0"/>
        <v>91.37404790419163</v>
      </c>
      <c r="G13" s="1145">
        <f t="shared" si="1"/>
        <v>167000</v>
      </c>
      <c r="H13" s="1145">
        <f t="shared" si="1"/>
        <v>152594.66</v>
      </c>
      <c r="I13" s="1173">
        <f aca="true" t="shared" si="3" ref="I13:I40">H13/G13*100</f>
        <v>91.37404790419163</v>
      </c>
      <c r="J13" s="672">
        <f t="shared" si="2"/>
        <v>14405.339999999997</v>
      </c>
    </row>
    <row r="14" spans="1:10" s="4" customFormat="1" ht="23.25" customHeight="1">
      <c r="A14" s="272" t="s">
        <v>855</v>
      </c>
      <c r="B14" s="273"/>
      <c r="C14" s="1165" t="s">
        <v>856</v>
      </c>
      <c r="D14" s="1147">
        <f>SUM(D15,D16,D17)</f>
        <v>421358</v>
      </c>
      <c r="E14" s="1147">
        <f>SUM(E15,E16,E17)</f>
        <v>417354.79</v>
      </c>
      <c r="F14" s="1134">
        <f t="shared" si="0"/>
        <v>99.0499266656857</v>
      </c>
      <c r="G14" s="1143">
        <f>SUM(G15,G16,G17)</f>
        <v>421358</v>
      </c>
      <c r="H14" s="1143">
        <f>SUM(H15,H16,H17)</f>
        <v>417354.79</v>
      </c>
      <c r="I14" s="1174">
        <f t="shared" si="3"/>
        <v>99.0499266656857</v>
      </c>
      <c r="J14" s="672"/>
    </row>
    <row r="15" spans="1:10" ht="39" customHeight="1">
      <c r="A15" s="256"/>
      <c r="B15" s="257" t="s">
        <v>857</v>
      </c>
      <c r="C15" s="1164" t="s">
        <v>1152</v>
      </c>
      <c r="D15" s="1146">
        <f>SUM(6D!E251)</f>
        <v>51000</v>
      </c>
      <c r="E15" s="1146">
        <f>SUM(6D!F251)</f>
        <v>51000</v>
      </c>
      <c r="F15" s="1136">
        <f t="shared" si="0"/>
        <v>100</v>
      </c>
      <c r="G15" s="1145">
        <f t="shared" si="1"/>
        <v>51000</v>
      </c>
      <c r="H15" s="1145">
        <f t="shared" si="1"/>
        <v>51000</v>
      </c>
      <c r="I15" s="1173">
        <f t="shared" si="3"/>
        <v>100</v>
      </c>
      <c r="J15" s="672">
        <f t="shared" si="2"/>
        <v>0</v>
      </c>
    </row>
    <row r="16" spans="1:10" ht="30" customHeight="1">
      <c r="A16" s="256"/>
      <c r="B16" s="257" t="s">
        <v>858</v>
      </c>
      <c r="C16" s="1164" t="s">
        <v>859</v>
      </c>
      <c r="D16" s="1146">
        <f>SUM(6D!E254)</f>
        <v>14000</v>
      </c>
      <c r="E16" s="1146">
        <f>SUM(6D!F254)</f>
        <v>14000</v>
      </c>
      <c r="F16" s="1136">
        <f t="shared" si="0"/>
        <v>100</v>
      </c>
      <c r="G16" s="1145">
        <f t="shared" si="1"/>
        <v>14000</v>
      </c>
      <c r="H16" s="1145">
        <f t="shared" si="1"/>
        <v>14000</v>
      </c>
      <c r="I16" s="1173">
        <f t="shared" si="3"/>
        <v>100</v>
      </c>
      <c r="J16" s="672">
        <f t="shared" si="2"/>
        <v>0</v>
      </c>
    </row>
    <row r="17" spans="1:10" ht="19.5" customHeight="1">
      <c r="A17" s="256"/>
      <c r="B17" s="257" t="s">
        <v>860</v>
      </c>
      <c r="C17" s="1166" t="s">
        <v>864</v>
      </c>
      <c r="D17" s="1146">
        <f>SUM(6D!E256)</f>
        <v>356358</v>
      </c>
      <c r="E17" s="1146">
        <f>SUM(6D!F256)</f>
        <v>352354.79</v>
      </c>
      <c r="F17" s="1136">
        <f t="shared" si="0"/>
        <v>98.87663248755464</v>
      </c>
      <c r="G17" s="1145">
        <f t="shared" si="1"/>
        <v>356358</v>
      </c>
      <c r="H17" s="1145">
        <f t="shared" si="1"/>
        <v>352354.79</v>
      </c>
      <c r="I17" s="1173">
        <f t="shared" si="3"/>
        <v>98.87663248755464</v>
      </c>
      <c r="J17" s="672">
        <f t="shared" si="2"/>
        <v>4003.210000000021</v>
      </c>
    </row>
    <row r="18" spans="1:10" s="4" customFormat="1" ht="24.75" customHeight="1">
      <c r="A18" s="272" t="s">
        <v>867</v>
      </c>
      <c r="B18" s="273"/>
      <c r="C18" s="1165" t="s">
        <v>869</v>
      </c>
      <c r="D18" s="1147">
        <f>SUM(D19,D20)</f>
        <v>461545</v>
      </c>
      <c r="E18" s="1147">
        <f>SUM(E19,E20)</f>
        <v>461543.68</v>
      </c>
      <c r="F18" s="1134">
        <f t="shared" si="0"/>
        <v>99.99971400405161</v>
      </c>
      <c r="G18" s="1143">
        <f>SUM(G19,G20)</f>
        <v>461545</v>
      </c>
      <c r="H18" s="1143">
        <f>SUM(H19,H20)</f>
        <v>461543.68</v>
      </c>
      <c r="I18" s="1174">
        <f t="shared" si="3"/>
        <v>99.99971400405161</v>
      </c>
      <c r="J18" s="672"/>
    </row>
    <row r="19" spans="1:10" ht="21" customHeight="1">
      <c r="A19" s="256"/>
      <c r="B19" s="257" t="s">
        <v>870</v>
      </c>
      <c r="C19" s="1166" t="s">
        <v>876</v>
      </c>
      <c r="D19" s="1146">
        <f>SUM(6D!E63,6D!E259)</f>
        <v>440000</v>
      </c>
      <c r="E19" s="1146">
        <f>SUM(6D!F63,6D!F259)</f>
        <v>440000</v>
      </c>
      <c r="F19" s="1136">
        <f t="shared" si="0"/>
        <v>100</v>
      </c>
      <c r="G19" s="1145">
        <f t="shared" si="1"/>
        <v>440000</v>
      </c>
      <c r="H19" s="1145">
        <f t="shared" si="1"/>
        <v>440000</v>
      </c>
      <c r="I19" s="1173">
        <f t="shared" si="3"/>
        <v>100</v>
      </c>
      <c r="J19" s="672">
        <f t="shared" si="2"/>
        <v>0</v>
      </c>
    </row>
    <row r="20" spans="1:10" ht="21" customHeight="1">
      <c r="A20" s="256"/>
      <c r="B20" s="257" t="s">
        <v>880</v>
      </c>
      <c r="C20" s="1166" t="s">
        <v>881</v>
      </c>
      <c r="D20" s="1146">
        <f>SUM(6D!E266,6D!E267)</f>
        <v>21545</v>
      </c>
      <c r="E20" s="1146">
        <f>SUM(6D!F266,6D!F267)</f>
        <v>21543.68</v>
      </c>
      <c r="F20" s="1136">
        <f t="shared" si="0"/>
        <v>99.993873288466</v>
      </c>
      <c r="G20" s="1145">
        <f t="shared" si="1"/>
        <v>21545</v>
      </c>
      <c r="H20" s="1145">
        <f t="shared" si="1"/>
        <v>21543.68</v>
      </c>
      <c r="I20" s="1173">
        <f t="shared" si="3"/>
        <v>99.993873288466</v>
      </c>
      <c r="J20" s="672">
        <f t="shared" si="2"/>
        <v>1.319999999999709</v>
      </c>
    </row>
    <row r="21" spans="1:10" s="4" customFormat="1" ht="67.5" customHeight="1">
      <c r="A21" s="272" t="s">
        <v>1101</v>
      </c>
      <c r="B21" s="273"/>
      <c r="C21" s="1165" t="s">
        <v>883</v>
      </c>
      <c r="D21" s="1147">
        <f>SUM(D22)</f>
        <v>6168</v>
      </c>
      <c r="E21" s="1147">
        <f>SUM(E22)</f>
        <v>6166.74</v>
      </c>
      <c r="F21" s="1134">
        <f t="shared" si="0"/>
        <v>99.9795719844358</v>
      </c>
      <c r="G21" s="1143">
        <f>SUM(G22)</f>
        <v>6168</v>
      </c>
      <c r="H21" s="1143">
        <f>SUM(H22)</f>
        <v>6166.74</v>
      </c>
      <c r="I21" s="1174">
        <f t="shared" si="3"/>
        <v>99.9795719844358</v>
      </c>
      <c r="J21" s="672"/>
    </row>
    <row r="22" spans="1:10" ht="44.25" customHeight="1">
      <c r="A22" s="258"/>
      <c r="B22" s="259" t="s">
        <v>1038</v>
      </c>
      <c r="C22" s="1164" t="s">
        <v>1041</v>
      </c>
      <c r="D22" s="1146">
        <f>SUM(6D!E79)</f>
        <v>6168</v>
      </c>
      <c r="E22" s="1146">
        <f>SUM(6D!F79)</f>
        <v>6166.74</v>
      </c>
      <c r="F22" s="1136">
        <f t="shared" si="0"/>
        <v>99.9795719844358</v>
      </c>
      <c r="G22" s="1145">
        <f t="shared" si="1"/>
        <v>6168</v>
      </c>
      <c r="H22" s="1145">
        <f t="shared" si="1"/>
        <v>6166.74</v>
      </c>
      <c r="I22" s="1173">
        <f t="shared" si="3"/>
        <v>99.9795719844358</v>
      </c>
      <c r="J22" s="672">
        <f t="shared" si="2"/>
        <v>1.2600000000002183</v>
      </c>
    </row>
    <row r="23" spans="1:10" s="4" customFormat="1" ht="45.75" customHeight="1">
      <c r="A23" s="274" t="s">
        <v>884</v>
      </c>
      <c r="B23" s="275"/>
      <c r="C23" s="1165" t="s">
        <v>971</v>
      </c>
      <c r="D23" s="1147">
        <f>SUM(D24,D25)</f>
        <v>3597683</v>
      </c>
      <c r="E23" s="1147">
        <f>SUM(E24,E25)</f>
        <v>3597655.26</v>
      </c>
      <c r="F23" s="1134">
        <f t="shared" si="0"/>
        <v>99.99922894818692</v>
      </c>
      <c r="G23" s="1143">
        <f>SUM(G24,G25)</f>
        <v>3597683</v>
      </c>
      <c r="H23" s="1143">
        <f>SUM(H24,H25)</f>
        <v>3597655.26</v>
      </c>
      <c r="I23" s="1174">
        <f t="shared" si="3"/>
        <v>99.99922894818692</v>
      </c>
      <c r="J23" s="672"/>
    </row>
    <row r="24" spans="1:10" ht="30" customHeight="1">
      <c r="A24" s="258"/>
      <c r="B24" s="259" t="s">
        <v>885</v>
      </c>
      <c r="C24" s="1164" t="s">
        <v>1158</v>
      </c>
      <c r="D24" s="1146">
        <f>SUM(6D!E270,6D!E271)</f>
        <v>3590683</v>
      </c>
      <c r="E24" s="1146">
        <f>SUM(6D!F270,6D!F271)</f>
        <v>3590683</v>
      </c>
      <c r="F24" s="1136">
        <f t="shared" si="0"/>
        <v>100</v>
      </c>
      <c r="G24" s="1145">
        <f t="shared" si="1"/>
        <v>3590683</v>
      </c>
      <c r="H24" s="1145">
        <f t="shared" si="1"/>
        <v>3590683</v>
      </c>
      <c r="I24" s="1173">
        <f t="shared" si="3"/>
        <v>100</v>
      </c>
      <c r="J24" s="672">
        <f t="shared" si="2"/>
        <v>0</v>
      </c>
    </row>
    <row r="25" spans="1:10" ht="20.25" customHeight="1">
      <c r="A25" s="256"/>
      <c r="B25" s="257" t="s">
        <v>886</v>
      </c>
      <c r="C25" s="1166" t="s">
        <v>887</v>
      </c>
      <c r="D25" s="1146">
        <f>SUM(6D!E84)</f>
        <v>7000</v>
      </c>
      <c r="E25" s="1146">
        <f>SUM(6D!F84)</f>
        <v>6972.26</v>
      </c>
      <c r="F25" s="1148">
        <f t="shared" si="0"/>
        <v>99.60371428571429</v>
      </c>
      <c r="G25" s="1145">
        <f t="shared" si="1"/>
        <v>7000</v>
      </c>
      <c r="H25" s="1145">
        <f t="shared" si="1"/>
        <v>6972.26</v>
      </c>
      <c r="I25" s="1173">
        <f t="shared" si="3"/>
        <v>99.60371428571429</v>
      </c>
      <c r="J25" s="672">
        <f t="shared" si="2"/>
        <v>27.73999999999978</v>
      </c>
    </row>
    <row r="26" spans="1:10" s="4" customFormat="1" ht="20.25" customHeight="1">
      <c r="A26" s="269" t="s">
        <v>889</v>
      </c>
      <c r="B26" s="270"/>
      <c r="C26" s="1167" t="s">
        <v>588</v>
      </c>
      <c r="D26" s="1142">
        <f>SUM(D27)</f>
        <v>1695869</v>
      </c>
      <c r="E26" s="1142">
        <f>SUM(E27)</f>
        <v>1695869</v>
      </c>
      <c r="F26" s="1134">
        <f t="shared" si="0"/>
        <v>100</v>
      </c>
      <c r="G26" s="1149">
        <f>SUM(G27)</f>
        <v>1695869</v>
      </c>
      <c r="H26" s="1149">
        <f>SUM(H27)</f>
        <v>1695869</v>
      </c>
      <c r="I26" s="1138" t="s">
        <v>1081</v>
      </c>
      <c r="J26" s="672"/>
    </row>
    <row r="27" spans="1:10" ht="21.75" customHeight="1">
      <c r="A27" s="256"/>
      <c r="B27" s="257" t="s">
        <v>1089</v>
      </c>
      <c r="C27" s="1168" t="s">
        <v>1090</v>
      </c>
      <c r="D27" s="1146">
        <f>SUM(6D!E135)</f>
        <v>1695869</v>
      </c>
      <c r="E27" s="1146">
        <f>SUM(6D!F135)</f>
        <v>1695869</v>
      </c>
      <c r="F27" s="1136">
        <f t="shared" si="0"/>
        <v>100</v>
      </c>
      <c r="G27" s="1145">
        <f t="shared" si="1"/>
        <v>1695869</v>
      </c>
      <c r="H27" s="1145">
        <f t="shared" si="1"/>
        <v>1695869</v>
      </c>
      <c r="I27" s="1173" t="s">
        <v>1081</v>
      </c>
      <c r="J27" s="672">
        <f t="shared" si="2"/>
        <v>0</v>
      </c>
    </row>
    <row r="28" spans="1:10" s="4" customFormat="1" ht="21.75" customHeight="1">
      <c r="A28" s="272" t="s">
        <v>891</v>
      </c>
      <c r="B28" s="273"/>
      <c r="C28" s="1169" t="s">
        <v>892</v>
      </c>
      <c r="D28" s="1147">
        <f>SUM(D29,D30)</f>
        <v>220366</v>
      </c>
      <c r="E28" s="1147">
        <f>SUM(E29,E30)</f>
        <v>203585.4</v>
      </c>
      <c r="F28" s="1134">
        <f t="shared" si="0"/>
        <v>92.38512293184974</v>
      </c>
      <c r="G28" s="1143">
        <f>SUM(G29,G30)</f>
        <v>220366</v>
      </c>
      <c r="H28" s="1143">
        <f>SUM(H29,H30)</f>
        <v>203585.4</v>
      </c>
      <c r="I28" s="1174">
        <f t="shared" si="3"/>
        <v>92.38512293184974</v>
      </c>
      <c r="J28" s="672"/>
    </row>
    <row r="29" spans="1:10" ht="20.25" customHeight="1">
      <c r="A29" s="256"/>
      <c r="B29" s="257" t="s">
        <v>893</v>
      </c>
      <c r="C29" s="1166" t="s">
        <v>894</v>
      </c>
      <c r="D29" s="1146">
        <f>SUM(6D!E138)</f>
        <v>46060</v>
      </c>
      <c r="E29" s="1146">
        <f>SUM(6D!F138)</f>
        <v>31731.13</v>
      </c>
      <c r="F29" s="1136">
        <f t="shared" si="0"/>
        <v>68.89085974815458</v>
      </c>
      <c r="G29" s="1145">
        <f t="shared" si="1"/>
        <v>46060</v>
      </c>
      <c r="H29" s="1145">
        <f t="shared" si="1"/>
        <v>31731.13</v>
      </c>
      <c r="I29" s="1173">
        <f t="shared" si="3"/>
        <v>68.89085974815458</v>
      </c>
      <c r="J29" s="672">
        <f t="shared" si="2"/>
        <v>14328.869999999999</v>
      </c>
    </row>
    <row r="30" spans="1:10" ht="20.25" customHeight="1">
      <c r="A30" s="256"/>
      <c r="B30" s="257" t="s">
        <v>385</v>
      </c>
      <c r="C30" s="1166" t="s">
        <v>840</v>
      </c>
      <c r="D30" s="1146">
        <f>SUM(6D!E146,6D!E147,6D!E148,6D!E149,6D!E290,6D!E291)</f>
        <v>174306</v>
      </c>
      <c r="E30" s="1146">
        <f>SUM(6D!F146,6D!F147,6D!F148,6D!F149,6D!F290,6D!F291)</f>
        <v>171854.27</v>
      </c>
      <c r="F30" s="1136">
        <f t="shared" si="0"/>
        <v>98.59343338726147</v>
      </c>
      <c r="G30" s="1145">
        <f t="shared" si="1"/>
        <v>174306</v>
      </c>
      <c r="H30" s="1145">
        <f t="shared" si="1"/>
        <v>171854.27</v>
      </c>
      <c r="I30" s="1173">
        <f t="shared" si="3"/>
        <v>98.59343338726147</v>
      </c>
      <c r="J30" s="672">
        <f t="shared" si="2"/>
        <v>2451.7300000000105</v>
      </c>
    </row>
    <row r="31" spans="1:10" s="4" customFormat="1" ht="20.25" customHeight="1">
      <c r="A31" s="272" t="s">
        <v>900</v>
      </c>
      <c r="B31" s="273"/>
      <c r="C31" s="1170" t="s">
        <v>901</v>
      </c>
      <c r="D31" s="1147">
        <f>SUM(D32,D33)</f>
        <v>605700</v>
      </c>
      <c r="E31" s="1147">
        <f>SUM(E32,E33)</f>
        <v>605699.42</v>
      </c>
      <c r="F31" s="1134">
        <f t="shared" si="0"/>
        <v>99.9999042430246</v>
      </c>
      <c r="G31" s="1143">
        <f>SUM(G32,G33)</f>
        <v>605700</v>
      </c>
      <c r="H31" s="1143">
        <f>SUM(H32,H33)</f>
        <v>605699.42</v>
      </c>
      <c r="I31" s="1174">
        <f t="shared" si="3"/>
        <v>99.9999042430246</v>
      </c>
      <c r="J31" s="672"/>
    </row>
    <row r="32" spans="1:10" ht="57" customHeight="1">
      <c r="A32" s="258"/>
      <c r="B32" s="259" t="s">
        <v>1092</v>
      </c>
      <c r="C32" s="1164" t="s">
        <v>282</v>
      </c>
      <c r="D32" s="1146">
        <f>SUM(6D!E294)</f>
        <v>600000</v>
      </c>
      <c r="E32" s="1146">
        <f>SUM(6D!F294)</f>
        <v>600000</v>
      </c>
      <c r="F32" s="1136">
        <f t="shared" si="0"/>
        <v>100</v>
      </c>
      <c r="G32" s="1145">
        <f t="shared" si="1"/>
        <v>600000</v>
      </c>
      <c r="H32" s="1145">
        <f t="shared" si="1"/>
        <v>600000</v>
      </c>
      <c r="I32" s="1173">
        <f t="shared" si="3"/>
        <v>100</v>
      </c>
      <c r="J32" s="672">
        <f t="shared" si="2"/>
        <v>0</v>
      </c>
    </row>
    <row r="33" spans="1:10" ht="21" customHeight="1">
      <c r="A33" s="258"/>
      <c r="B33" s="259" t="s">
        <v>396</v>
      </c>
      <c r="C33" s="1164" t="s">
        <v>840</v>
      </c>
      <c r="D33" s="1146">
        <f>SUM(6D!E158,6D!E159)</f>
        <v>5700</v>
      </c>
      <c r="E33" s="1146">
        <f>SUM(6D!F158,6D!F159)</f>
        <v>5699.42</v>
      </c>
      <c r="F33" s="1136">
        <f t="shared" si="0"/>
        <v>99.98982456140351</v>
      </c>
      <c r="G33" s="1145">
        <f t="shared" si="1"/>
        <v>5700</v>
      </c>
      <c r="H33" s="1145">
        <f t="shared" si="1"/>
        <v>5699.42</v>
      </c>
      <c r="I33" s="1173">
        <f t="shared" si="3"/>
        <v>99.98982456140351</v>
      </c>
      <c r="J33" s="672">
        <f t="shared" si="2"/>
        <v>0.5799999999999272</v>
      </c>
    </row>
    <row r="34" spans="1:10" s="4" customFormat="1" ht="21" customHeight="1">
      <c r="A34" s="276" t="s">
        <v>19</v>
      </c>
      <c r="B34" s="277"/>
      <c r="C34" s="1163" t="s">
        <v>30</v>
      </c>
      <c r="D34" s="1142">
        <f>SUM(D35,D36,D37,D38,D39,D40,D41,D42,D43)</f>
        <v>8224857</v>
      </c>
      <c r="E34" s="1142">
        <f>SUM(E35,E36,E37,E38,E39,E40,E41,E42,E43)</f>
        <v>8175092.08</v>
      </c>
      <c r="F34" s="1134">
        <f t="shared" si="0"/>
        <v>99.39494486043952</v>
      </c>
      <c r="G34" s="1149">
        <f>SUM(G35,G36,G37,G38,G39,G40,G41,G42,G43)</f>
        <v>8224857</v>
      </c>
      <c r="H34" s="1149">
        <f>SUM(H35,H36,H37,H38,H39,H40,H41,H42,H43)</f>
        <v>8175092.08</v>
      </c>
      <c r="I34" s="1138">
        <f t="shared" si="3"/>
        <v>99.39494486043952</v>
      </c>
      <c r="J34" s="672"/>
    </row>
    <row r="35" spans="1:10" ht="19.5" customHeight="1">
      <c r="A35" s="260"/>
      <c r="B35" s="261" t="s">
        <v>31</v>
      </c>
      <c r="C35" s="1162" t="s">
        <v>1147</v>
      </c>
      <c r="D35" s="1135">
        <f>SUM(6D!E165,6D!E299)</f>
        <v>531150</v>
      </c>
      <c r="E35" s="1135">
        <f>SUM(6D!F165,6D!F299)</f>
        <v>506757.41</v>
      </c>
      <c r="F35" s="1136">
        <f t="shared" si="0"/>
        <v>95.4075891932599</v>
      </c>
      <c r="G35" s="1139">
        <f t="shared" si="1"/>
        <v>531150</v>
      </c>
      <c r="H35" s="1139">
        <f t="shared" si="1"/>
        <v>506757.41</v>
      </c>
      <c r="I35" s="1140">
        <f t="shared" si="3"/>
        <v>95.4075891932599</v>
      </c>
      <c r="J35" s="672">
        <f t="shared" si="2"/>
        <v>24392.590000000026</v>
      </c>
    </row>
    <row r="36" spans="1:10" ht="66.75" customHeight="1">
      <c r="A36" s="258"/>
      <c r="B36" s="259" t="s">
        <v>21</v>
      </c>
      <c r="C36" s="1164" t="s">
        <v>326</v>
      </c>
      <c r="D36" s="1146">
        <f>SUM(6D!E168)</f>
        <v>5354455</v>
      </c>
      <c r="E36" s="1146">
        <f>SUM(6D!F168)</f>
        <v>5346613.12</v>
      </c>
      <c r="F36" s="1136">
        <f t="shared" si="0"/>
        <v>99.85354475852351</v>
      </c>
      <c r="G36" s="1145">
        <f t="shared" si="1"/>
        <v>5354455</v>
      </c>
      <c r="H36" s="1145">
        <f t="shared" si="1"/>
        <v>5346613.12</v>
      </c>
      <c r="I36" s="1173">
        <f t="shared" si="3"/>
        <v>99.85354475852351</v>
      </c>
      <c r="J36" s="672">
        <f t="shared" si="2"/>
        <v>7841.879999999888</v>
      </c>
    </row>
    <row r="37" spans="1:10" ht="114" customHeight="1">
      <c r="A37" s="260"/>
      <c r="B37" s="261" t="s">
        <v>22</v>
      </c>
      <c r="C37" s="1162" t="s">
        <v>136</v>
      </c>
      <c r="D37" s="1135">
        <f>SUM(6D!E170)</f>
        <v>72000</v>
      </c>
      <c r="E37" s="1135">
        <f>SUM(6D!F170)</f>
        <v>71198.55</v>
      </c>
      <c r="F37" s="1136">
        <f t="shared" si="0"/>
        <v>98.886875</v>
      </c>
      <c r="G37" s="1145">
        <f t="shared" si="1"/>
        <v>72000</v>
      </c>
      <c r="H37" s="1145">
        <f t="shared" si="1"/>
        <v>71198.55</v>
      </c>
      <c r="I37" s="1140">
        <f t="shared" si="3"/>
        <v>98.886875</v>
      </c>
      <c r="J37" s="672">
        <f t="shared" si="2"/>
        <v>801.4499999999971</v>
      </c>
    </row>
    <row r="38" spans="1:10" ht="41.25" customHeight="1">
      <c r="A38" s="258"/>
      <c r="B38" s="259" t="s">
        <v>23</v>
      </c>
      <c r="C38" s="1164" t="s">
        <v>274</v>
      </c>
      <c r="D38" s="1146">
        <f>SUM(6D!E173,6D!E174)</f>
        <v>1008732</v>
      </c>
      <c r="E38" s="1146">
        <f>SUM(6D!F173,6D!F174)</f>
        <v>996363.91</v>
      </c>
      <c r="F38" s="1136">
        <f t="shared" si="0"/>
        <v>98.77389732852731</v>
      </c>
      <c r="G38" s="1145">
        <f t="shared" si="1"/>
        <v>1008732</v>
      </c>
      <c r="H38" s="1145">
        <f t="shared" si="1"/>
        <v>996363.91</v>
      </c>
      <c r="I38" s="1173">
        <f t="shared" si="3"/>
        <v>98.77389732852731</v>
      </c>
      <c r="J38" s="672">
        <f t="shared" si="2"/>
        <v>12368.089999999967</v>
      </c>
    </row>
    <row r="39" spans="1:10" ht="26.25" customHeight="1">
      <c r="A39" s="258"/>
      <c r="B39" s="259" t="s">
        <v>403</v>
      </c>
      <c r="C39" s="1171" t="s">
        <v>404</v>
      </c>
      <c r="D39" s="1146">
        <f>SUM(6D!E304)</f>
        <v>6000</v>
      </c>
      <c r="E39" s="1146">
        <f>SUM(6D!F304)</f>
        <v>5500</v>
      </c>
      <c r="F39" s="1136">
        <f t="shared" si="0"/>
        <v>91.66666666666666</v>
      </c>
      <c r="G39" s="1145">
        <f t="shared" si="1"/>
        <v>6000</v>
      </c>
      <c r="H39" s="1145">
        <f t="shared" si="1"/>
        <v>5500</v>
      </c>
      <c r="I39" s="1173">
        <f t="shared" si="3"/>
        <v>91.66666666666666</v>
      </c>
      <c r="J39" s="672">
        <f t="shared" si="2"/>
        <v>500</v>
      </c>
    </row>
    <row r="40" spans="1:10" ht="21" customHeight="1">
      <c r="A40" s="256"/>
      <c r="B40" s="257" t="s">
        <v>25</v>
      </c>
      <c r="C40" s="1166" t="s">
        <v>912</v>
      </c>
      <c r="D40" s="1146">
        <f>SUM(6D!E179)</f>
        <v>630500</v>
      </c>
      <c r="E40" s="1146">
        <f>SUM(6D!F179)</f>
        <v>627183.33</v>
      </c>
      <c r="F40" s="1136">
        <f t="shared" si="0"/>
        <v>99.47396193497224</v>
      </c>
      <c r="G40" s="1145">
        <f t="shared" si="1"/>
        <v>630500</v>
      </c>
      <c r="H40" s="1145">
        <f t="shared" si="1"/>
        <v>627183.33</v>
      </c>
      <c r="I40" s="1173">
        <f t="shared" si="3"/>
        <v>99.47396193497224</v>
      </c>
      <c r="J40" s="672">
        <f t="shared" si="2"/>
        <v>3316.670000000042</v>
      </c>
    </row>
    <row r="41" spans="1:10" ht="54" customHeight="1">
      <c r="A41" s="256"/>
      <c r="B41" s="257" t="s">
        <v>533</v>
      </c>
      <c r="C41" s="1164" t="s">
        <v>534</v>
      </c>
      <c r="D41" s="1146">
        <f>SUM(6D!E306)</f>
        <v>10000</v>
      </c>
      <c r="E41" s="1146">
        <f>SUM(6D!F306)</f>
        <v>10000</v>
      </c>
      <c r="F41" s="1136">
        <f t="shared" si="0"/>
        <v>100</v>
      </c>
      <c r="G41" s="1145">
        <f t="shared" si="1"/>
        <v>10000</v>
      </c>
      <c r="H41" s="1145">
        <f t="shared" si="1"/>
        <v>10000</v>
      </c>
      <c r="I41" s="1173">
        <f aca="true" t="shared" si="4" ref="I41:I52">H41/G41*100</f>
        <v>100</v>
      </c>
      <c r="J41" s="672">
        <f t="shared" si="2"/>
        <v>0</v>
      </c>
    </row>
    <row r="42" spans="1:10" ht="39.75" customHeight="1">
      <c r="A42" s="258"/>
      <c r="B42" s="259" t="s">
        <v>27</v>
      </c>
      <c r="C42" s="1164" t="s">
        <v>915</v>
      </c>
      <c r="D42" s="1146">
        <f>SUM(6D!E183)</f>
        <v>72000</v>
      </c>
      <c r="E42" s="1146">
        <f>SUM(6D!F183)</f>
        <v>71455.76</v>
      </c>
      <c r="F42" s="1136">
        <f t="shared" si="0"/>
        <v>99.2441111111111</v>
      </c>
      <c r="G42" s="1145">
        <f t="shared" si="1"/>
        <v>72000</v>
      </c>
      <c r="H42" s="1145">
        <f t="shared" si="1"/>
        <v>71455.76</v>
      </c>
      <c r="I42" s="1173">
        <f t="shared" si="4"/>
        <v>99.2441111111111</v>
      </c>
      <c r="J42" s="672">
        <f t="shared" si="2"/>
        <v>544.2400000000052</v>
      </c>
    </row>
    <row r="43" spans="1:10" ht="21.75" customHeight="1">
      <c r="A43" s="258"/>
      <c r="B43" s="259" t="s">
        <v>29</v>
      </c>
      <c r="C43" s="1164" t="s">
        <v>840</v>
      </c>
      <c r="D43" s="1146">
        <f>SUM(6D!E186,6D!E187)</f>
        <v>540020</v>
      </c>
      <c r="E43" s="1146">
        <f>SUM(6D!F186,6D!F187)</f>
        <v>540020</v>
      </c>
      <c r="F43" s="1136">
        <f t="shared" si="0"/>
        <v>100</v>
      </c>
      <c r="G43" s="1145">
        <f t="shared" si="1"/>
        <v>540020</v>
      </c>
      <c r="H43" s="1145">
        <f t="shared" si="1"/>
        <v>540020</v>
      </c>
      <c r="I43" s="1173">
        <f t="shared" si="4"/>
        <v>100</v>
      </c>
      <c r="J43" s="672">
        <f t="shared" si="2"/>
        <v>0</v>
      </c>
    </row>
    <row r="44" spans="1:10" s="4" customFormat="1" ht="39.75" customHeight="1">
      <c r="A44" s="274" t="s">
        <v>904</v>
      </c>
      <c r="B44" s="275"/>
      <c r="C44" s="1165" t="s">
        <v>405</v>
      </c>
      <c r="D44" s="1147">
        <f>SUM(D45)</f>
        <v>31000</v>
      </c>
      <c r="E44" s="1147">
        <f>SUM(E45)</f>
        <v>31000</v>
      </c>
      <c r="F44" s="1134">
        <f t="shared" si="0"/>
        <v>100</v>
      </c>
      <c r="G44" s="1143">
        <f>SUM(G45)</f>
        <v>31000</v>
      </c>
      <c r="H44" s="1143">
        <f>SUM(H45)</f>
        <v>31000</v>
      </c>
      <c r="I44" s="1174">
        <f t="shared" si="4"/>
        <v>100</v>
      </c>
      <c r="J44" s="672"/>
    </row>
    <row r="45" spans="1:10" ht="29.25" customHeight="1">
      <c r="A45" s="258"/>
      <c r="B45" s="259" t="s">
        <v>914</v>
      </c>
      <c r="C45" s="1164" t="s">
        <v>1190</v>
      </c>
      <c r="D45" s="1146">
        <f>SUM(6D!E309)</f>
        <v>31000</v>
      </c>
      <c r="E45" s="1146">
        <f>SUM(6D!F309)</f>
        <v>31000</v>
      </c>
      <c r="F45" s="1136">
        <f t="shared" si="0"/>
        <v>100</v>
      </c>
      <c r="G45" s="1145">
        <f t="shared" si="1"/>
        <v>31000</v>
      </c>
      <c r="H45" s="1145">
        <f t="shared" si="1"/>
        <v>31000</v>
      </c>
      <c r="I45" s="1173">
        <f t="shared" si="4"/>
        <v>100</v>
      </c>
      <c r="J45" s="672">
        <f t="shared" si="2"/>
        <v>0</v>
      </c>
    </row>
    <row r="46" spans="1:10" s="4" customFormat="1" ht="29.25" customHeight="1">
      <c r="A46" s="274" t="s">
        <v>916</v>
      </c>
      <c r="B46" s="275"/>
      <c r="C46" s="1165" t="s">
        <v>920</v>
      </c>
      <c r="D46" s="1153">
        <f>SUM(D47,D48,D49)</f>
        <v>252097</v>
      </c>
      <c r="E46" s="1153">
        <f>SUM(E47,E48,E49)</f>
        <v>188468.72</v>
      </c>
      <c r="F46" s="1154">
        <f t="shared" si="0"/>
        <v>74.76039778339289</v>
      </c>
      <c r="G46" s="1155">
        <f>SUM(G47,G48,G49)</f>
        <v>252097</v>
      </c>
      <c r="H46" s="1155">
        <f>SUM(H47,H48,H49)</f>
        <v>188468.72</v>
      </c>
      <c r="I46" s="1174">
        <f t="shared" si="4"/>
        <v>74.76039778339289</v>
      </c>
      <c r="J46" s="672"/>
    </row>
    <row r="47" spans="1:10" s="1152" customFormat="1" ht="37.5" customHeight="1">
      <c r="A47" s="1150"/>
      <c r="B47" s="1151" t="s">
        <v>922</v>
      </c>
      <c r="C47" s="1164" t="s">
        <v>908</v>
      </c>
      <c r="D47" s="1013">
        <f>SUM(6D!E321)</f>
        <v>29831</v>
      </c>
      <c r="E47" s="1013">
        <f>SUM(6D!F321)</f>
        <v>29831</v>
      </c>
      <c r="F47" s="1156">
        <f t="shared" si="0"/>
        <v>100</v>
      </c>
      <c r="G47" s="1101">
        <f t="shared" si="1"/>
        <v>29831</v>
      </c>
      <c r="H47" s="1101">
        <f t="shared" si="1"/>
        <v>29831</v>
      </c>
      <c r="I47" s="1173">
        <f t="shared" si="4"/>
        <v>100</v>
      </c>
      <c r="J47" s="672">
        <f t="shared" si="2"/>
        <v>0</v>
      </c>
    </row>
    <row r="48" spans="1:10" ht="20.25" customHeight="1">
      <c r="A48" s="258"/>
      <c r="B48" s="259" t="s">
        <v>973</v>
      </c>
      <c r="C48" s="1164" t="s">
        <v>974</v>
      </c>
      <c r="D48" s="1146">
        <f>SUM(6D!E197,6D!E325)</f>
        <v>199314</v>
      </c>
      <c r="E48" s="1146">
        <f>SUM(6D!F197,6D!F325)</f>
        <v>135685.72</v>
      </c>
      <c r="F48" s="1136">
        <f t="shared" si="0"/>
        <v>68.07636192139037</v>
      </c>
      <c r="G48" s="1145">
        <f t="shared" si="1"/>
        <v>199314</v>
      </c>
      <c r="H48" s="1145">
        <f t="shared" si="1"/>
        <v>135685.72</v>
      </c>
      <c r="I48" s="1173">
        <f t="shared" si="4"/>
        <v>68.07636192139037</v>
      </c>
      <c r="J48" s="672">
        <f t="shared" si="2"/>
        <v>63628.28</v>
      </c>
    </row>
    <row r="49" spans="1:10" ht="20.25" customHeight="1">
      <c r="A49" s="1157"/>
      <c r="B49" s="1158" t="s">
        <v>418</v>
      </c>
      <c r="C49" s="1164" t="s">
        <v>840</v>
      </c>
      <c r="D49" s="1159">
        <f>SUM(6D!E331,6D!E332)</f>
        <v>22952</v>
      </c>
      <c r="E49" s="1159">
        <f>SUM(6D!F331,6D!F332)</f>
        <v>22952</v>
      </c>
      <c r="F49" s="1136">
        <f t="shared" si="0"/>
        <v>100</v>
      </c>
      <c r="G49" s="1145">
        <f t="shared" si="1"/>
        <v>22952</v>
      </c>
      <c r="H49" s="1145">
        <f t="shared" si="1"/>
        <v>22952</v>
      </c>
      <c r="I49" s="1173">
        <f t="shared" si="4"/>
        <v>100</v>
      </c>
      <c r="J49" s="672">
        <f t="shared" si="2"/>
        <v>0</v>
      </c>
    </row>
    <row r="50" spans="1:10" s="4" customFormat="1" ht="29.25" customHeight="1">
      <c r="A50" s="274" t="s">
        <v>1009</v>
      </c>
      <c r="B50" s="275"/>
      <c r="C50" s="1165" t="s">
        <v>1010</v>
      </c>
      <c r="D50" s="1153">
        <f>SUM(D51)</f>
        <v>333000</v>
      </c>
      <c r="E50" s="1153">
        <f>SUM(E51)</f>
        <v>333000</v>
      </c>
      <c r="F50" s="1154">
        <f>E50/D50*100</f>
        <v>100</v>
      </c>
      <c r="G50" s="1155">
        <f>SUM(G51)</f>
        <v>333000</v>
      </c>
      <c r="H50" s="1155">
        <f>SUM(H51)</f>
        <v>333000</v>
      </c>
      <c r="I50" s="1174">
        <f>H50/G50*100</f>
        <v>100</v>
      </c>
      <c r="J50" s="672"/>
    </row>
    <row r="51" spans="1:10" s="1152" customFormat="1" ht="29.25" customHeight="1">
      <c r="A51" s="1150"/>
      <c r="B51" s="1151" t="s">
        <v>1014</v>
      </c>
      <c r="C51" s="1164" t="s">
        <v>1015</v>
      </c>
      <c r="D51" s="1013">
        <f>SUM(6D!E223)</f>
        <v>333000</v>
      </c>
      <c r="E51" s="1013">
        <f>SUM(6D!F223)</f>
        <v>333000</v>
      </c>
      <c r="F51" s="1156">
        <f>E51/D51*100</f>
        <v>100</v>
      </c>
      <c r="G51" s="1101">
        <f>D51</f>
        <v>333000</v>
      </c>
      <c r="H51" s="1101">
        <f>E51</f>
        <v>333000</v>
      </c>
      <c r="I51" s="1368">
        <f>H51/G51*100</f>
        <v>100</v>
      </c>
      <c r="J51" s="672">
        <f t="shared" si="2"/>
        <v>0</v>
      </c>
    </row>
    <row r="52" spans="1:10" s="280" customFormat="1" ht="21.75" customHeight="1" thickBot="1">
      <c r="A52" s="1512" t="s">
        <v>1102</v>
      </c>
      <c r="B52" s="1513"/>
      <c r="C52" s="1513"/>
      <c r="D52" s="1048">
        <f>SUM(D8,D10,D12,D14,D18,D21,D23,D26,D28,D31,D34,D44,D46,D50)</f>
        <v>17961149.560000002</v>
      </c>
      <c r="E52" s="1048">
        <f>SUM(E8,E10,E12,E14,E18,E21,E23,E26,E28,E31,E34,E44,E46,E50)</f>
        <v>17812522.89</v>
      </c>
      <c r="F52" s="1391">
        <f>E52/D52*100</f>
        <v>99.17251025885895</v>
      </c>
      <c r="G52" s="1048">
        <f>SUM(G8,G10,G12,G14,G18,G21,G23,G26,G28,G31,G34,G44,G46,G50)</f>
        <v>17961149.560000002</v>
      </c>
      <c r="H52" s="1048">
        <f>SUM(H8,H10,H12,H14,H18,H21,H23,H26,H28,H31,H34,H44,H46,H50)</f>
        <v>17812022.89</v>
      </c>
      <c r="I52" s="1392">
        <f t="shared" si="4"/>
        <v>99.1697264726746</v>
      </c>
      <c r="J52" s="1393">
        <f t="shared" si="2"/>
        <v>149126.6700000018</v>
      </c>
    </row>
    <row r="53" spans="1:10" s="263" customFormat="1" ht="12.75">
      <c r="A53" s="262"/>
      <c r="B53" s="262"/>
      <c r="C53" s="349" t="s">
        <v>587</v>
      </c>
      <c r="D53" s="266">
        <v>17961149.56</v>
      </c>
      <c r="E53" s="266">
        <v>17812522.89</v>
      </c>
      <c r="F53" s="267"/>
      <c r="G53" s="672">
        <f>D53</f>
        <v>17961149.56</v>
      </c>
      <c r="H53" s="266">
        <v>17812022.89</v>
      </c>
      <c r="I53" s="673"/>
      <c r="J53" s="264"/>
    </row>
    <row r="54" spans="1:10" s="263" customFormat="1" ht="12.75">
      <c r="A54" s="262"/>
      <c r="B54" s="262"/>
      <c r="C54" s="349" t="s">
        <v>799</v>
      </c>
      <c r="D54" s="266">
        <f>D52-D53</f>
        <v>0</v>
      </c>
      <c r="E54" s="266">
        <f>E52-E53</f>
        <v>0</v>
      </c>
      <c r="F54" s="266"/>
      <c r="G54" s="266">
        <f>G52-G53</f>
        <v>0</v>
      </c>
      <c r="H54" s="266">
        <f>H52-H53</f>
        <v>0</v>
      </c>
      <c r="I54" s="674"/>
      <c r="J54" s="264"/>
    </row>
    <row r="55" spans="4:9" ht="12.75">
      <c r="D55" s="10"/>
      <c r="E55" s="10"/>
      <c r="F55" s="9"/>
      <c r="G55" s="8"/>
      <c r="H55" s="435"/>
      <c r="I55" s="673"/>
    </row>
    <row r="56" spans="4:9" ht="12.75">
      <c r="D56" s="10"/>
      <c r="E56" s="10"/>
      <c r="F56" s="9"/>
      <c r="G56" s="8"/>
      <c r="H56" s="435"/>
      <c r="I56" s="673"/>
    </row>
    <row r="57" spans="4:9" ht="12.75">
      <c r="D57" s="10"/>
      <c r="E57" s="10"/>
      <c r="F57" s="9"/>
      <c r="G57" s="8"/>
      <c r="H57" s="435"/>
      <c r="I57" s="673"/>
    </row>
    <row r="58" spans="4:9" ht="12.75">
      <c r="D58" s="10"/>
      <c r="E58" s="10"/>
      <c r="F58" s="9"/>
      <c r="G58" s="8"/>
      <c r="H58" s="435"/>
      <c r="I58" s="673"/>
    </row>
    <row r="59" spans="4:9" ht="12.75">
      <c r="D59" s="10"/>
      <c r="E59" s="10"/>
      <c r="F59" s="9"/>
      <c r="G59" s="8"/>
      <c r="H59" s="435"/>
      <c r="I59" s="673"/>
    </row>
    <row r="60" spans="4:9" ht="12.75">
      <c r="D60" s="10"/>
      <c r="E60" s="10"/>
      <c r="F60" s="9"/>
      <c r="G60" s="8"/>
      <c r="H60" s="435"/>
      <c r="I60" s="673"/>
    </row>
    <row r="61" spans="4:9" ht="12.75">
      <c r="D61" s="10"/>
      <c r="E61" s="10"/>
      <c r="F61" s="9"/>
      <c r="G61" s="8"/>
      <c r="H61" s="435"/>
      <c r="I61" s="673"/>
    </row>
    <row r="62" spans="4:9" ht="12.75">
      <c r="D62" s="10"/>
      <c r="E62" s="10"/>
      <c r="F62" s="9"/>
      <c r="G62" s="8"/>
      <c r="H62" s="435"/>
      <c r="I62" s="673"/>
    </row>
    <row r="63" spans="4:9" ht="12.75">
      <c r="D63" s="10"/>
      <c r="E63" s="10"/>
      <c r="F63" s="9"/>
      <c r="G63" s="8"/>
      <c r="H63" s="435"/>
      <c r="I63" s="673"/>
    </row>
    <row r="64" spans="4:9" ht="12.75">
      <c r="D64" s="10"/>
      <c r="E64" s="10"/>
      <c r="F64" s="9"/>
      <c r="G64" s="8"/>
      <c r="H64" s="435"/>
      <c r="I64" s="673"/>
    </row>
    <row r="65" spans="4:9" ht="12.75">
      <c r="D65" s="10"/>
      <c r="E65" s="10"/>
      <c r="F65" s="9"/>
      <c r="G65" s="8"/>
      <c r="H65" s="435"/>
      <c r="I65" s="673"/>
    </row>
    <row r="66" spans="4:9" ht="12.75">
      <c r="D66" s="10"/>
      <c r="E66" s="10"/>
      <c r="F66" s="9"/>
      <c r="G66" s="8"/>
      <c r="H66" s="435"/>
      <c r="I66" s="673"/>
    </row>
    <row r="67" spans="4:9" ht="12.75">
      <c r="D67" s="10"/>
      <c r="E67" s="10"/>
      <c r="F67" s="9"/>
      <c r="G67" s="8"/>
      <c r="H67" s="435"/>
      <c r="I67" s="673"/>
    </row>
    <row r="68" spans="4:9" ht="12.75">
      <c r="D68" s="10"/>
      <c r="E68" s="10"/>
      <c r="F68" s="9"/>
      <c r="G68" s="8"/>
      <c r="H68" s="435"/>
      <c r="I68" s="673"/>
    </row>
    <row r="69" spans="4:9" ht="12.75">
      <c r="D69" s="10"/>
      <c r="E69" s="10"/>
      <c r="F69" s="9"/>
      <c r="G69" s="8"/>
      <c r="H69" s="435"/>
      <c r="I69" s="673"/>
    </row>
    <row r="70" spans="4:9" ht="12.75">
      <c r="D70" s="10"/>
      <c r="E70" s="10"/>
      <c r="F70" s="9"/>
      <c r="G70" s="8"/>
      <c r="H70" s="435"/>
      <c r="I70" s="673"/>
    </row>
    <row r="71" spans="4:9" ht="12.75">
      <c r="D71" s="10"/>
      <c r="E71" s="10"/>
      <c r="F71" s="9"/>
      <c r="G71" s="8"/>
      <c r="H71" s="435"/>
      <c r="I71" s="673"/>
    </row>
    <row r="72" spans="4:9" ht="12.75">
      <c r="D72" s="10"/>
      <c r="E72" s="10"/>
      <c r="F72" s="9"/>
      <c r="G72" s="8"/>
      <c r="H72" s="435"/>
      <c r="I72" s="673"/>
    </row>
    <row r="73" spans="4:9" ht="12.75">
      <c r="D73" s="10"/>
      <c r="E73" s="10"/>
      <c r="F73" s="9"/>
      <c r="G73" s="8"/>
      <c r="H73" s="435"/>
      <c r="I73" s="673"/>
    </row>
    <row r="74" spans="4:9" ht="12.75">
      <c r="D74" s="10"/>
      <c r="E74" s="10"/>
      <c r="F74" s="9"/>
      <c r="G74" s="8"/>
      <c r="H74" s="435"/>
      <c r="I74" s="673"/>
    </row>
    <row r="75" spans="4:9" ht="12.75">
      <c r="D75" s="10"/>
      <c r="E75" s="10"/>
      <c r="F75" s="9"/>
      <c r="G75" s="8"/>
      <c r="H75" s="435"/>
      <c r="I75" s="673"/>
    </row>
    <row r="76" spans="8:9" ht="12.75">
      <c r="H76" s="295"/>
      <c r="I76" s="673"/>
    </row>
    <row r="77" spans="8:9" ht="12.75">
      <c r="H77" s="295"/>
      <c r="I77" s="673"/>
    </row>
    <row r="78" spans="8:9" ht="12.75">
      <c r="H78" s="295"/>
      <c r="I78" s="673"/>
    </row>
    <row r="79" spans="8:9" ht="12.75">
      <c r="H79" s="295"/>
      <c r="I79" s="673"/>
    </row>
    <row r="80" spans="8:9" ht="12.75">
      <c r="H80" s="295"/>
      <c r="I80" s="673"/>
    </row>
    <row r="81" spans="8:9" ht="12.75">
      <c r="H81" s="295"/>
      <c r="I81" s="673"/>
    </row>
    <row r="82" spans="8:9" ht="12.75">
      <c r="H82" s="295"/>
      <c r="I82" s="673"/>
    </row>
    <row r="83" spans="8:9" ht="12.75">
      <c r="H83" s="295"/>
      <c r="I83" s="673"/>
    </row>
    <row r="84" spans="8:9" ht="12.75">
      <c r="H84" s="295"/>
      <c r="I84" s="673"/>
    </row>
    <row r="85" spans="8:9" ht="12.75">
      <c r="H85" s="295"/>
      <c r="I85" s="673"/>
    </row>
    <row r="86" spans="8:9" ht="12.75">
      <c r="H86" s="295"/>
      <c r="I86" s="673"/>
    </row>
    <row r="87" spans="8:9" ht="12.75">
      <c r="H87" s="295"/>
      <c r="I87" s="673"/>
    </row>
    <row r="88" spans="8:9" ht="12.75">
      <c r="H88" s="295"/>
      <c r="I88" s="673"/>
    </row>
    <row r="89" spans="8:9" ht="12.75">
      <c r="H89" s="295"/>
      <c r="I89" s="673"/>
    </row>
    <row r="90" spans="8:9" ht="12.75">
      <c r="H90" s="295"/>
      <c r="I90" s="673"/>
    </row>
    <row r="91" spans="8:9" ht="12.75">
      <c r="H91" s="295"/>
      <c r="I91" s="673"/>
    </row>
    <row r="92" spans="8:9" ht="12.75">
      <c r="H92" s="295"/>
      <c r="I92" s="673"/>
    </row>
    <row r="93" spans="8:9" ht="12.75">
      <c r="H93" s="295"/>
      <c r="I93" s="673"/>
    </row>
    <row r="94" spans="8:9" ht="12.75">
      <c r="H94" s="295"/>
      <c r="I94" s="673"/>
    </row>
    <row r="95" spans="8:9" ht="12.75">
      <c r="H95" s="295"/>
      <c r="I95" s="673"/>
    </row>
    <row r="96" spans="8:9" ht="12.75">
      <c r="H96" s="295"/>
      <c r="I96" s="673"/>
    </row>
    <row r="97" spans="8:9" ht="12.75">
      <c r="H97" s="295"/>
      <c r="I97" s="673"/>
    </row>
    <row r="98" spans="8:9" ht="12.75">
      <c r="H98" s="295"/>
      <c r="I98" s="673"/>
    </row>
    <row r="99" spans="8:9" ht="12.75">
      <c r="H99" s="295"/>
      <c r="I99" s="673"/>
    </row>
    <row r="100" spans="8:9" ht="12.75">
      <c r="H100" s="295"/>
      <c r="I100" s="673"/>
    </row>
    <row r="101" spans="8:9" ht="12.75">
      <c r="H101" s="295"/>
      <c r="I101" s="673"/>
    </row>
    <row r="102" spans="8:9" ht="12.75">
      <c r="H102" s="295"/>
      <c r="I102" s="673"/>
    </row>
    <row r="103" spans="8:9" ht="12.75">
      <c r="H103" s="295"/>
      <c r="I103" s="673"/>
    </row>
    <row r="104" spans="8:9" ht="12.75">
      <c r="H104" s="295"/>
      <c r="I104" s="673"/>
    </row>
    <row r="105" spans="8:9" ht="12.75">
      <c r="H105" s="295"/>
      <c r="I105" s="673"/>
    </row>
    <row r="106" spans="8:9" ht="12.75">
      <c r="H106" s="295"/>
      <c r="I106" s="673"/>
    </row>
    <row r="107" spans="8:9" ht="12.75">
      <c r="H107" s="295"/>
      <c r="I107" s="673"/>
    </row>
    <row r="108" spans="8:9" ht="12.75">
      <c r="H108" s="295"/>
      <c r="I108" s="673"/>
    </row>
    <row r="109" spans="8:9" ht="12.75">
      <c r="H109" s="295"/>
      <c r="I109" s="673"/>
    </row>
    <row r="110" spans="8:9" ht="12.75">
      <c r="H110" s="295"/>
      <c r="I110" s="673"/>
    </row>
    <row r="111" spans="8:9" ht="12.75">
      <c r="H111" s="295"/>
      <c r="I111" s="673"/>
    </row>
    <row r="112" spans="8:9" ht="12.75">
      <c r="H112" s="295"/>
      <c r="I112" s="673"/>
    </row>
    <row r="113" spans="8:9" ht="12.75">
      <c r="H113" s="295"/>
      <c r="I113" s="673"/>
    </row>
    <row r="114" spans="8:9" ht="12.75">
      <c r="H114" s="295"/>
      <c r="I114" s="673"/>
    </row>
    <row r="115" spans="8:9" ht="12.75">
      <c r="H115" s="295"/>
      <c r="I115" s="673"/>
    </row>
    <row r="116" spans="8:9" ht="12.75">
      <c r="H116" s="295"/>
      <c r="I116" s="673"/>
    </row>
    <row r="117" spans="8:9" ht="12.75">
      <c r="H117" s="295"/>
      <c r="I117" s="673"/>
    </row>
    <row r="118" spans="8:9" ht="12.75">
      <c r="H118" s="295"/>
      <c r="I118" s="673"/>
    </row>
    <row r="119" spans="8:9" ht="12.75">
      <c r="H119" s="295"/>
      <c r="I119" s="673"/>
    </row>
    <row r="120" spans="8:9" ht="12.75">
      <c r="H120" s="295"/>
      <c r="I120" s="673"/>
    </row>
    <row r="121" spans="8:9" ht="12.75">
      <c r="H121" s="295"/>
      <c r="I121" s="673"/>
    </row>
    <row r="122" spans="8:9" ht="12.75">
      <c r="H122" s="295"/>
      <c r="I122" s="673"/>
    </row>
    <row r="123" spans="8:9" ht="12.75">
      <c r="H123" s="295"/>
      <c r="I123" s="673"/>
    </row>
    <row r="124" spans="8:9" ht="12.75">
      <c r="H124" s="295"/>
      <c r="I124" s="673"/>
    </row>
    <row r="125" spans="8:9" ht="12.75">
      <c r="H125" s="295"/>
      <c r="I125" s="673"/>
    </row>
    <row r="126" spans="8:9" ht="12.75">
      <c r="H126" s="295"/>
      <c r="I126" s="673"/>
    </row>
    <row r="127" spans="8:9" ht="12.75">
      <c r="H127" s="295"/>
      <c r="I127" s="673"/>
    </row>
    <row r="128" spans="8:9" ht="12.75">
      <c r="H128" s="295"/>
      <c r="I128" s="673"/>
    </row>
    <row r="129" spans="8:9" ht="12.75">
      <c r="H129" s="295"/>
      <c r="I129" s="673"/>
    </row>
    <row r="130" spans="8:9" ht="12.75">
      <c r="H130" s="295"/>
      <c r="I130" s="673"/>
    </row>
    <row r="131" spans="8:9" ht="12.75">
      <c r="H131" s="295"/>
      <c r="I131" s="673"/>
    </row>
    <row r="132" spans="8:9" ht="12.75">
      <c r="H132" s="295"/>
      <c r="I132" s="673"/>
    </row>
    <row r="133" spans="8:9" ht="12.75">
      <c r="H133" s="295"/>
      <c r="I133" s="673"/>
    </row>
    <row r="134" spans="8:9" ht="12.75">
      <c r="H134" s="295"/>
      <c r="I134" s="673"/>
    </row>
    <row r="135" spans="8:9" ht="12.75">
      <c r="H135" s="295"/>
      <c r="I135" s="673"/>
    </row>
    <row r="136" spans="8:9" ht="12.75">
      <c r="H136" s="295"/>
      <c r="I136" s="673"/>
    </row>
    <row r="137" spans="8:9" ht="12.75">
      <c r="H137" s="295"/>
      <c r="I137" s="673"/>
    </row>
    <row r="138" spans="8:9" ht="12.75">
      <c r="H138" s="295"/>
      <c r="I138" s="673"/>
    </row>
    <row r="139" spans="8:9" ht="12.75">
      <c r="H139" s="295"/>
      <c r="I139" s="673"/>
    </row>
    <row r="140" spans="8:9" ht="12.75">
      <c r="H140" s="295"/>
      <c r="I140" s="673"/>
    </row>
    <row r="141" spans="8:9" ht="12.75">
      <c r="H141" s="295"/>
      <c r="I141" s="673"/>
    </row>
    <row r="142" spans="8:9" ht="12.75">
      <c r="H142" s="295"/>
      <c r="I142" s="673"/>
    </row>
    <row r="143" spans="8:9" ht="12.75">
      <c r="H143" s="295"/>
      <c r="I143" s="673"/>
    </row>
    <row r="144" spans="8:9" ht="12.75">
      <c r="H144" s="295"/>
      <c r="I144" s="673"/>
    </row>
    <row r="145" spans="8:9" ht="12.75">
      <c r="H145" s="295"/>
      <c r="I145" s="673"/>
    </row>
    <row r="146" spans="8:9" ht="12.75">
      <c r="H146" s="295"/>
      <c r="I146" s="673"/>
    </row>
    <row r="147" spans="8:9" ht="12.75">
      <c r="H147" s="295"/>
      <c r="I147" s="673"/>
    </row>
    <row r="148" spans="8:9" ht="12.75">
      <c r="H148" s="295"/>
      <c r="I148" s="673"/>
    </row>
    <row r="149" spans="8:9" ht="12.75">
      <c r="H149" s="295"/>
      <c r="I149" s="673"/>
    </row>
    <row r="150" spans="8:9" ht="12.75">
      <c r="H150" s="295"/>
      <c r="I150" s="673"/>
    </row>
    <row r="151" spans="8:9" ht="12.75">
      <c r="H151" s="295"/>
      <c r="I151" s="673"/>
    </row>
    <row r="152" spans="8:9" ht="12.75">
      <c r="H152" s="295"/>
      <c r="I152" s="673"/>
    </row>
    <row r="153" spans="8:9" ht="12.75">
      <c r="H153" s="295"/>
      <c r="I153" s="673"/>
    </row>
    <row r="154" spans="8:9" ht="12.75">
      <c r="H154" s="295"/>
      <c r="I154" s="673"/>
    </row>
    <row r="155" spans="8:9" ht="12.75">
      <c r="H155" s="295"/>
      <c r="I155" s="673"/>
    </row>
    <row r="156" spans="8:9" ht="12.75">
      <c r="H156" s="295"/>
      <c r="I156" s="673"/>
    </row>
    <row r="157" spans="8:9" ht="12.75">
      <c r="H157" s="295"/>
      <c r="I157" s="673"/>
    </row>
    <row r="158" spans="8:9" ht="12.75">
      <c r="H158" s="295"/>
      <c r="I158" s="673"/>
    </row>
    <row r="159" spans="8:9" ht="12.75">
      <c r="H159" s="295"/>
      <c r="I159" s="673"/>
    </row>
    <row r="160" spans="8:9" ht="12.75">
      <c r="H160" s="295"/>
      <c r="I160" s="673"/>
    </row>
    <row r="161" spans="8:9" ht="12.75">
      <c r="H161" s="295"/>
      <c r="I161" s="673"/>
    </row>
    <row r="162" spans="8:9" ht="12.75">
      <c r="H162" s="295"/>
      <c r="I162" s="673"/>
    </row>
    <row r="163" spans="8:9" ht="12.75">
      <c r="H163" s="295"/>
      <c r="I163" s="673"/>
    </row>
    <row r="164" spans="8:9" ht="12.75">
      <c r="H164" s="295"/>
      <c r="I164" s="673"/>
    </row>
    <row r="165" spans="8:9" ht="12.75">
      <c r="H165" s="295"/>
      <c r="I165" s="673"/>
    </row>
    <row r="166" spans="8:9" ht="12.75">
      <c r="H166" s="295"/>
      <c r="I166" s="673"/>
    </row>
    <row r="167" spans="8:9" ht="12.75">
      <c r="H167" s="295"/>
      <c r="I167" s="673"/>
    </row>
    <row r="168" ht="12.75">
      <c r="H168" s="295"/>
    </row>
    <row r="169" ht="12.75">
      <c r="H169" s="295"/>
    </row>
    <row r="170" ht="12.75">
      <c r="H170" s="295"/>
    </row>
    <row r="171" ht="12.75">
      <c r="H171" s="295"/>
    </row>
    <row r="172" ht="12.75">
      <c r="H172" s="295"/>
    </row>
    <row r="173" ht="12.75">
      <c r="H173" s="295"/>
    </row>
    <row r="174" ht="12.75">
      <c r="H174" s="295"/>
    </row>
    <row r="175" ht="12.75">
      <c r="H175" s="295"/>
    </row>
    <row r="176" ht="12.75">
      <c r="H176" s="295"/>
    </row>
    <row r="177" ht="12.75">
      <c r="H177" s="295"/>
    </row>
    <row r="178" ht="12.75">
      <c r="H178" s="295"/>
    </row>
    <row r="179" ht="12.75">
      <c r="H179" s="295"/>
    </row>
    <row r="180" ht="12.75">
      <c r="H180" s="295"/>
    </row>
    <row r="181" ht="12.75">
      <c r="H181" s="295"/>
    </row>
    <row r="182" ht="12.75">
      <c r="H182" s="295"/>
    </row>
    <row r="183" ht="12.75">
      <c r="H183" s="295"/>
    </row>
    <row r="184" ht="12.75">
      <c r="H184" s="295"/>
    </row>
    <row r="185" ht="12.75">
      <c r="H185" s="295"/>
    </row>
    <row r="186" ht="12.75">
      <c r="H186" s="295"/>
    </row>
    <row r="187" ht="12.75">
      <c r="H187" s="295"/>
    </row>
    <row r="188" ht="12.75">
      <c r="H188" s="295"/>
    </row>
    <row r="189" ht="12.75">
      <c r="H189" s="295"/>
    </row>
  </sheetData>
  <sheetProtection/>
  <mergeCells count="9">
    <mergeCell ref="H1:I1"/>
    <mergeCell ref="A52:C52"/>
    <mergeCell ref="H4:I4"/>
    <mergeCell ref="D5:F5"/>
    <mergeCell ref="G5:I5"/>
    <mergeCell ref="A5:A6"/>
    <mergeCell ref="B5:B6"/>
    <mergeCell ref="C5:C6"/>
    <mergeCell ref="A3:I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57"/>
  <sheetViews>
    <sheetView defaultGridColor="0" view="pageBreakPreview" zoomScaleSheetLayoutView="100" colorId="8" workbookViewId="0" topLeftCell="A1">
      <pane ySplit="8" topLeftCell="I44" activePane="bottomLeft" state="frozen"/>
      <selection pane="topLeft" activeCell="A1" sqref="A1"/>
      <selection pane="bottomLeft" activeCell="F48" sqref="F48"/>
    </sheetView>
  </sheetViews>
  <sheetFormatPr defaultColWidth="9.00390625" defaultRowHeight="12.75"/>
  <cols>
    <col min="1" max="1" width="14.75390625" style="43" customWidth="1"/>
    <col min="2" max="2" width="14.00390625" style="43" customWidth="1"/>
    <col min="3" max="3" width="14.25390625" style="44" customWidth="1"/>
    <col min="4" max="4" width="14.875" style="44" customWidth="1"/>
    <col min="5" max="5" width="13.625" style="44" customWidth="1"/>
    <col min="6" max="6" width="15.625" style="44" customWidth="1"/>
    <col min="7" max="7" width="15.75390625" style="44" customWidth="1"/>
    <col min="8" max="8" width="12.25390625" style="44" customWidth="1"/>
    <col min="9" max="9" width="15.875" style="44" customWidth="1"/>
    <col min="10" max="16384" width="9.125" style="44" customWidth="1"/>
  </cols>
  <sheetData>
    <row r="1" spans="1:10" ht="12.75">
      <c r="A1" s="278"/>
      <c r="B1" s="278"/>
      <c r="C1" s="279"/>
      <c r="D1" s="279"/>
      <c r="E1" s="279"/>
      <c r="F1" s="279"/>
      <c r="G1" s="279"/>
      <c r="H1" s="279"/>
      <c r="I1" s="268" t="s">
        <v>585</v>
      </c>
      <c r="J1" s="280"/>
    </row>
    <row r="2" spans="1:9" ht="21" customHeight="1">
      <c r="A2" s="278"/>
      <c r="B2" s="278"/>
      <c r="C2" s="279"/>
      <c r="D2" s="279"/>
      <c r="E2" s="279"/>
      <c r="F2" s="279"/>
      <c r="G2" s="279"/>
      <c r="H2" s="279"/>
      <c r="I2" s="279"/>
    </row>
    <row r="3" spans="1:9" ht="25.5" customHeight="1">
      <c r="A3" s="1525" t="s">
        <v>1103</v>
      </c>
      <c r="B3" s="1525"/>
      <c r="C3" s="1525"/>
      <c r="D3" s="1525"/>
      <c r="E3" s="1525"/>
      <c r="F3" s="1525"/>
      <c r="G3" s="1525"/>
      <c r="H3" s="1525"/>
      <c r="I3" s="1525"/>
    </row>
    <row r="4" spans="1:9" ht="12" customHeight="1" thickBot="1">
      <c r="A4" s="278"/>
      <c r="B4" s="278"/>
      <c r="C4" s="279"/>
      <c r="D4" s="279"/>
      <c r="E4" s="279"/>
      <c r="F4" s="279"/>
      <c r="G4" s="279"/>
      <c r="H4" s="279"/>
      <c r="I4" s="281" t="s">
        <v>833</v>
      </c>
    </row>
    <row r="5" spans="1:9" s="43" customFormat="1" ht="17.25" customHeight="1">
      <c r="A5" s="1526" t="s">
        <v>835</v>
      </c>
      <c r="B5" s="1531" t="s">
        <v>834</v>
      </c>
      <c r="C5" s="1528" t="s">
        <v>526</v>
      </c>
      <c r="D5" s="1528" t="s">
        <v>527</v>
      </c>
      <c r="E5" s="1528" t="s">
        <v>1124</v>
      </c>
      <c r="F5" s="1528"/>
      <c r="G5" s="1528"/>
      <c r="H5" s="1528"/>
      <c r="I5" s="1533"/>
    </row>
    <row r="6" spans="1:9" s="43" customFormat="1" ht="16.5" customHeight="1">
      <c r="A6" s="1527"/>
      <c r="B6" s="1529"/>
      <c r="C6" s="1529"/>
      <c r="D6" s="1530"/>
      <c r="E6" s="1530" t="s">
        <v>528</v>
      </c>
      <c r="F6" s="1530" t="s">
        <v>1352</v>
      </c>
      <c r="G6" s="1530"/>
      <c r="H6" s="1530"/>
      <c r="I6" s="1532" t="s">
        <v>529</v>
      </c>
    </row>
    <row r="7" spans="1:9" s="43" customFormat="1" ht="28.5" customHeight="1">
      <c r="A7" s="1527"/>
      <c r="B7" s="1529"/>
      <c r="C7" s="1529"/>
      <c r="D7" s="1530"/>
      <c r="E7" s="1530"/>
      <c r="F7" s="284" t="s">
        <v>530</v>
      </c>
      <c r="G7" s="284" t="s">
        <v>531</v>
      </c>
      <c r="H7" s="284" t="s">
        <v>532</v>
      </c>
      <c r="I7" s="1532"/>
    </row>
    <row r="8" spans="1:9" ht="14.25" customHeight="1">
      <c r="A8" s="49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285">
        <v>9</v>
      </c>
    </row>
    <row r="9" spans="1:9" s="289" customFormat="1" ht="19.5" customHeight="1">
      <c r="A9" s="282" t="s">
        <v>836</v>
      </c>
      <c r="B9" s="283" t="s">
        <v>81</v>
      </c>
      <c r="C9" s="1176">
        <f>SUM(C11,C13,C15,C17,C19,C21,C23,C25,C27,C29)</f>
        <v>6816073.5600000005</v>
      </c>
      <c r="D9" s="1176">
        <f aca="true" t="shared" si="0" ref="D9:I9">SUM(D11,D13,D15,D17,D19,D21,D23,D25,D27,D29)</f>
        <v>6816073.5600000005</v>
      </c>
      <c r="E9" s="1176">
        <f t="shared" si="0"/>
        <v>6816073.5600000005</v>
      </c>
      <c r="F9" s="1176">
        <f t="shared" si="0"/>
        <v>465080</v>
      </c>
      <c r="G9" s="1176">
        <f t="shared" si="0"/>
        <v>140208</v>
      </c>
      <c r="H9" s="1176">
        <f t="shared" si="0"/>
        <v>5871849</v>
      </c>
      <c r="I9" s="1176">
        <f t="shared" si="0"/>
        <v>0</v>
      </c>
    </row>
    <row r="10" spans="1:9" ht="19.5" customHeight="1">
      <c r="A10" s="286" t="s">
        <v>837</v>
      </c>
      <c r="B10" s="249" t="s">
        <v>81</v>
      </c>
      <c r="C10" s="1097">
        <f>SUM(C12,C14,C16,C18,C20,C22,C24,C26,C28,C30)</f>
        <v>6794488.319999999</v>
      </c>
      <c r="D10" s="1097">
        <f aca="true" t="shared" si="1" ref="D10:I10">SUM(D12,D14,D16,D18,D20,D22,D24,D26,D28,D30)</f>
        <v>6794488.319999999</v>
      </c>
      <c r="E10" s="1097">
        <f t="shared" si="1"/>
        <v>6794488.319999999</v>
      </c>
      <c r="F10" s="1097">
        <f t="shared" si="1"/>
        <v>464715.94</v>
      </c>
      <c r="G10" s="1097">
        <f t="shared" si="1"/>
        <v>136980.63</v>
      </c>
      <c r="H10" s="1097">
        <f t="shared" si="1"/>
        <v>5855395.97</v>
      </c>
      <c r="I10" s="1097">
        <f t="shared" si="1"/>
        <v>0</v>
      </c>
    </row>
    <row r="11" spans="1:9" s="289" customFormat="1" ht="19.5" customHeight="1">
      <c r="A11" s="287" t="s">
        <v>836</v>
      </c>
      <c r="B11" s="288" t="s">
        <v>291</v>
      </c>
      <c r="C11" s="1177">
        <f>SUM(6D!E10)</f>
        <v>30506.56</v>
      </c>
      <c r="D11" s="1177">
        <f aca="true" t="shared" si="2" ref="D11:D26">SUM(E11,I11)</f>
        <v>30506.56</v>
      </c>
      <c r="E11" s="1177">
        <v>30506.56</v>
      </c>
      <c r="F11" s="1177">
        <v>0</v>
      </c>
      <c r="G11" s="1177">
        <v>0</v>
      </c>
      <c r="H11" s="1177">
        <v>0</v>
      </c>
      <c r="I11" s="1178">
        <v>0</v>
      </c>
    </row>
    <row r="12" spans="1:9" ht="19.5" customHeight="1">
      <c r="A12" s="49" t="s">
        <v>837</v>
      </c>
      <c r="B12" s="290" t="s">
        <v>291</v>
      </c>
      <c r="C12" s="1098">
        <f>SUM(6D!F10)</f>
        <v>30506.56</v>
      </c>
      <c r="D12" s="1098">
        <f t="shared" si="2"/>
        <v>30506.56</v>
      </c>
      <c r="E12" s="1098">
        <v>30506.56</v>
      </c>
      <c r="F12" s="1098">
        <v>0</v>
      </c>
      <c r="G12" s="1098">
        <v>0</v>
      </c>
      <c r="H12" s="1098">
        <v>0</v>
      </c>
      <c r="I12" s="1015">
        <v>0</v>
      </c>
    </row>
    <row r="13" spans="1:9" s="289" customFormat="1" ht="19.5" customHeight="1">
      <c r="A13" s="287" t="s">
        <v>836</v>
      </c>
      <c r="B13" s="291">
        <v>75011</v>
      </c>
      <c r="C13" s="1177">
        <f>SUM(6D!E63)</f>
        <v>360000</v>
      </c>
      <c r="D13" s="1177">
        <f t="shared" si="2"/>
        <v>360000</v>
      </c>
      <c r="E13" s="1177">
        <v>360000</v>
      </c>
      <c r="F13" s="1177">
        <v>296811</v>
      </c>
      <c r="G13" s="1177">
        <v>58231</v>
      </c>
      <c r="H13" s="1177">
        <v>0</v>
      </c>
      <c r="I13" s="1178">
        <v>0</v>
      </c>
    </row>
    <row r="14" spans="1:9" ht="19.5" customHeight="1">
      <c r="A14" s="49" t="s">
        <v>837</v>
      </c>
      <c r="B14" s="51">
        <v>75011</v>
      </c>
      <c r="C14" s="1098">
        <f>SUM(6D!F63)</f>
        <v>360000</v>
      </c>
      <c r="D14" s="1098">
        <f t="shared" si="2"/>
        <v>360000</v>
      </c>
      <c r="E14" s="1098">
        <v>360000</v>
      </c>
      <c r="F14" s="1098">
        <v>296811</v>
      </c>
      <c r="G14" s="1098">
        <v>58231</v>
      </c>
      <c r="H14" s="1098">
        <v>0</v>
      </c>
      <c r="I14" s="1015">
        <v>0</v>
      </c>
    </row>
    <row r="15" spans="1:9" s="289" customFormat="1" ht="19.5" customHeight="1">
      <c r="A15" s="287" t="s">
        <v>836</v>
      </c>
      <c r="B15" s="291">
        <v>75101</v>
      </c>
      <c r="C15" s="1177">
        <f>SUM(6D!E79)</f>
        <v>6168</v>
      </c>
      <c r="D15" s="1177">
        <f t="shared" si="2"/>
        <v>6168</v>
      </c>
      <c r="E15" s="1177">
        <v>6168</v>
      </c>
      <c r="F15" s="1177">
        <v>5242</v>
      </c>
      <c r="G15" s="1177">
        <v>926</v>
      </c>
      <c r="H15" s="1177">
        <v>0</v>
      </c>
      <c r="I15" s="1178">
        <v>0</v>
      </c>
    </row>
    <row r="16" spans="1:9" s="293" customFormat="1" ht="19.5" customHeight="1">
      <c r="A16" s="49" t="s">
        <v>837</v>
      </c>
      <c r="B16" s="292">
        <v>75101</v>
      </c>
      <c r="C16" s="1179">
        <f>SUM(6D!F79)</f>
        <v>6166.74</v>
      </c>
      <c r="D16" s="1179">
        <f t="shared" si="2"/>
        <v>6166.74</v>
      </c>
      <c r="E16" s="1179">
        <v>6166.74</v>
      </c>
      <c r="F16" s="1179">
        <v>5241.96</v>
      </c>
      <c r="G16" s="1179">
        <v>924.78</v>
      </c>
      <c r="H16" s="1179">
        <v>0</v>
      </c>
      <c r="I16" s="1180">
        <v>0</v>
      </c>
    </row>
    <row r="17" spans="1:9" s="289" customFormat="1" ht="19.5" customHeight="1">
      <c r="A17" s="287" t="s">
        <v>836</v>
      </c>
      <c r="B17" s="291">
        <v>75414</v>
      </c>
      <c r="C17" s="1177">
        <f>SUM(6D!E84)</f>
        <v>7000</v>
      </c>
      <c r="D17" s="1177">
        <f t="shared" si="2"/>
        <v>7000</v>
      </c>
      <c r="E17" s="1177">
        <v>7000</v>
      </c>
      <c r="F17" s="1177">
        <v>0</v>
      </c>
      <c r="G17" s="1177">
        <v>0</v>
      </c>
      <c r="H17" s="1177">
        <v>0</v>
      </c>
      <c r="I17" s="1178">
        <v>0</v>
      </c>
    </row>
    <row r="18" spans="1:9" s="295" customFormat="1" ht="19.5" customHeight="1">
      <c r="A18" s="49" t="s">
        <v>837</v>
      </c>
      <c r="B18" s="294">
        <v>75414</v>
      </c>
      <c r="C18" s="1101">
        <f>SUM(6D!F84)</f>
        <v>6972.26</v>
      </c>
      <c r="D18" s="1101">
        <f t="shared" si="2"/>
        <v>6972.26</v>
      </c>
      <c r="E18" s="1101">
        <v>6972.26</v>
      </c>
      <c r="F18" s="1101">
        <v>0</v>
      </c>
      <c r="G18" s="1101">
        <v>0</v>
      </c>
      <c r="H18" s="1101">
        <v>0</v>
      </c>
      <c r="I18" s="1181">
        <v>0</v>
      </c>
    </row>
    <row r="19" spans="1:9" s="289" customFormat="1" ht="19.5" customHeight="1">
      <c r="A19" s="296" t="s">
        <v>836</v>
      </c>
      <c r="B19" s="297">
        <v>85195</v>
      </c>
      <c r="C19" s="1182">
        <f>SUM(6D!E158)</f>
        <v>2700</v>
      </c>
      <c r="D19" s="1182">
        <f>SUM(E19,I19)</f>
        <v>2700</v>
      </c>
      <c r="E19" s="1182">
        <v>2700</v>
      </c>
      <c r="F19" s="1182">
        <v>2329</v>
      </c>
      <c r="G19" s="1182">
        <v>371</v>
      </c>
      <c r="H19" s="1182">
        <v>0</v>
      </c>
      <c r="I19" s="1183">
        <v>0</v>
      </c>
    </row>
    <row r="20" spans="1:9" ht="19.5" customHeight="1">
      <c r="A20" s="49" t="s">
        <v>837</v>
      </c>
      <c r="B20" s="51">
        <v>85195</v>
      </c>
      <c r="C20" s="1098">
        <f>6D!F158</f>
        <v>2699.42</v>
      </c>
      <c r="D20" s="1098">
        <f>SUM(E20,I20)</f>
        <v>2699.42</v>
      </c>
      <c r="E20" s="1098">
        <v>2699.42</v>
      </c>
      <c r="F20" s="1098">
        <v>2328.72</v>
      </c>
      <c r="G20" s="1098">
        <v>370.7</v>
      </c>
      <c r="H20" s="1098">
        <v>0</v>
      </c>
      <c r="I20" s="1015">
        <v>0</v>
      </c>
    </row>
    <row r="21" spans="1:9" s="289" customFormat="1" ht="19.5" customHeight="1">
      <c r="A21" s="296" t="s">
        <v>836</v>
      </c>
      <c r="B21" s="297">
        <v>85203</v>
      </c>
      <c r="C21" s="1182">
        <f>SUM(6D!E165)</f>
        <v>169750</v>
      </c>
      <c r="D21" s="1182">
        <f t="shared" si="2"/>
        <v>169750</v>
      </c>
      <c r="E21" s="1182">
        <v>169750</v>
      </c>
      <c r="F21" s="1182">
        <v>0</v>
      </c>
      <c r="G21" s="1182">
        <v>0</v>
      </c>
      <c r="H21" s="1182">
        <v>0</v>
      </c>
      <c r="I21" s="1183">
        <v>0</v>
      </c>
    </row>
    <row r="22" spans="1:9" ht="19.5" customHeight="1">
      <c r="A22" s="49" t="s">
        <v>837</v>
      </c>
      <c r="B22" s="51">
        <v>85203</v>
      </c>
      <c r="C22" s="1098">
        <f>SUM(6D!F165)</f>
        <v>169750</v>
      </c>
      <c r="D22" s="1098">
        <f t="shared" si="2"/>
        <v>169750</v>
      </c>
      <c r="E22" s="1098">
        <v>169750</v>
      </c>
      <c r="F22" s="1098">
        <v>0</v>
      </c>
      <c r="G22" s="1098">
        <v>0</v>
      </c>
      <c r="H22" s="1098">
        <v>0</v>
      </c>
      <c r="I22" s="1015">
        <v>0</v>
      </c>
    </row>
    <row r="23" spans="1:9" s="289" customFormat="1" ht="19.5" customHeight="1">
      <c r="A23" s="287" t="s">
        <v>836</v>
      </c>
      <c r="B23" s="291">
        <v>85212</v>
      </c>
      <c r="C23" s="1177">
        <f>SUM(6D!E168)</f>
        <v>5354455</v>
      </c>
      <c r="D23" s="1177">
        <f t="shared" si="2"/>
        <v>5354455</v>
      </c>
      <c r="E23" s="1177">
        <v>5354455</v>
      </c>
      <c r="F23" s="1177">
        <v>103978</v>
      </c>
      <c r="G23" s="1177">
        <v>70796</v>
      </c>
      <c r="H23" s="1177">
        <v>5130355</v>
      </c>
      <c r="I23" s="1178">
        <v>0</v>
      </c>
    </row>
    <row r="24" spans="1:9" ht="19.5" customHeight="1">
      <c r="A24" s="49" t="s">
        <v>837</v>
      </c>
      <c r="B24" s="51">
        <v>85212</v>
      </c>
      <c r="C24" s="1098">
        <f>SUM(6D!F168)</f>
        <v>5346613.12</v>
      </c>
      <c r="D24" s="1098">
        <f t="shared" si="2"/>
        <v>5346613.12</v>
      </c>
      <c r="E24" s="1098">
        <v>5346613.12</v>
      </c>
      <c r="F24" s="1098">
        <v>103977.89</v>
      </c>
      <c r="G24" s="1098">
        <v>67638.52</v>
      </c>
      <c r="H24" s="1098">
        <v>5126270.06</v>
      </c>
      <c r="I24" s="1015">
        <v>0</v>
      </c>
    </row>
    <row r="25" spans="1:9" s="289" customFormat="1" ht="19.5" customHeight="1">
      <c r="A25" s="287" t="s">
        <v>836</v>
      </c>
      <c r="B25" s="291">
        <v>85213</v>
      </c>
      <c r="C25" s="1177">
        <f>SUM(6D!E170)</f>
        <v>72000</v>
      </c>
      <c r="D25" s="1177">
        <f t="shared" si="2"/>
        <v>72000</v>
      </c>
      <c r="E25" s="1177">
        <v>72000</v>
      </c>
      <c r="F25" s="1177">
        <v>0</v>
      </c>
      <c r="G25" s="1177">
        <v>0</v>
      </c>
      <c r="H25" s="1177">
        <v>0</v>
      </c>
      <c r="I25" s="1178">
        <v>0</v>
      </c>
    </row>
    <row r="26" spans="1:9" ht="19.5" customHeight="1">
      <c r="A26" s="49" t="s">
        <v>837</v>
      </c>
      <c r="B26" s="51">
        <v>85213</v>
      </c>
      <c r="C26" s="1098">
        <f>SUM(6D!F170)</f>
        <v>71198.55</v>
      </c>
      <c r="D26" s="1098">
        <f t="shared" si="2"/>
        <v>71198.55</v>
      </c>
      <c r="E26" s="1098">
        <v>71198.55</v>
      </c>
      <c r="F26" s="1098">
        <v>0</v>
      </c>
      <c r="G26" s="1098">
        <v>0</v>
      </c>
      <c r="H26" s="1098">
        <v>0</v>
      </c>
      <c r="I26" s="1015">
        <v>0</v>
      </c>
    </row>
    <row r="27" spans="1:9" s="289" customFormat="1" ht="19.5" customHeight="1">
      <c r="A27" s="287" t="s">
        <v>836</v>
      </c>
      <c r="B27" s="291">
        <v>85214</v>
      </c>
      <c r="C27" s="1177">
        <f>SUM(6D!E173)</f>
        <v>741494</v>
      </c>
      <c r="D27" s="1177">
        <f>SUM(E27,I27)</f>
        <v>741494</v>
      </c>
      <c r="E27" s="1177">
        <v>741494</v>
      </c>
      <c r="F27" s="1177">
        <v>0</v>
      </c>
      <c r="G27" s="1177">
        <v>0</v>
      </c>
      <c r="H27" s="1177">
        <v>741494</v>
      </c>
      <c r="I27" s="1178">
        <v>0</v>
      </c>
    </row>
    <row r="28" spans="1:9" ht="19.5" customHeight="1">
      <c r="A28" s="49" t="s">
        <v>837</v>
      </c>
      <c r="B28" s="51">
        <v>85214</v>
      </c>
      <c r="C28" s="1098">
        <f>SUM(6D!F173)</f>
        <v>729125.91</v>
      </c>
      <c r="D28" s="1098">
        <f>SUM(E28,I28)</f>
        <v>729125.91</v>
      </c>
      <c r="E28" s="1098">
        <v>729125.91</v>
      </c>
      <c r="F28" s="1098">
        <v>0</v>
      </c>
      <c r="G28" s="1098">
        <v>0</v>
      </c>
      <c r="H28" s="1098">
        <v>729125.91</v>
      </c>
      <c r="I28" s="1015">
        <v>0</v>
      </c>
    </row>
    <row r="29" spans="1:9" s="289" customFormat="1" ht="19.5" customHeight="1">
      <c r="A29" s="287" t="s">
        <v>836</v>
      </c>
      <c r="B29" s="291">
        <v>85228</v>
      </c>
      <c r="C29" s="1177">
        <f>SUM(6D!E183)</f>
        <v>72000</v>
      </c>
      <c r="D29" s="1177">
        <f>SUM(E29,I29)</f>
        <v>72000</v>
      </c>
      <c r="E29" s="1177">
        <v>72000</v>
      </c>
      <c r="F29" s="1177">
        <v>56720</v>
      </c>
      <c r="G29" s="1177">
        <v>9884</v>
      </c>
      <c r="H29" s="1177">
        <v>0</v>
      </c>
      <c r="I29" s="1178">
        <v>0</v>
      </c>
    </row>
    <row r="30" spans="1:9" ht="19.5" customHeight="1">
      <c r="A30" s="49" t="s">
        <v>837</v>
      </c>
      <c r="B30" s="51">
        <v>85228</v>
      </c>
      <c r="C30" s="1098">
        <f>SUM(6D!F183)</f>
        <v>71455.76</v>
      </c>
      <c r="D30" s="1098">
        <f>SUM(E30,I30)</f>
        <v>71455.76</v>
      </c>
      <c r="E30" s="1098">
        <v>71455.76</v>
      </c>
      <c r="F30" s="1098">
        <v>56356.37</v>
      </c>
      <c r="G30" s="1098">
        <v>9815.63</v>
      </c>
      <c r="H30" s="1098">
        <v>0</v>
      </c>
      <c r="I30" s="1015">
        <v>0</v>
      </c>
    </row>
    <row r="31" spans="1:9" s="289" customFormat="1" ht="19.5" customHeight="1">
      <c r="A31" s="282" t="s">
        <v>836</v>
      </c>
      <c r="B31" s="283" t="s">
        <v>82</v>
      </c>
      <c r="C31" s="1176">
        <f aca="true" t="shared" si="3" ref="C31:I32">SUM(C33,C35,C37,C39,C41,C43,C45,C47,C49,C51)</f>
        <v>5230441</v>
      </c>
      <c r="D31" s="1176">
        <f t="shared" si="3"/>
        <v>5230441</v>
      </c>
      <c r="E31" s="1176">
        <f t="shared" si="3"/>
        <v>5214176</v>
      </c>
      <c r="F31" s="1176">
        <f t="shared" si="3"/>
        <v>3363345</v>
      </c>
      <c r="G31" s="1176">
        <f t="shared" si="3"/>
        <v>73805</v>
      </c>
      <c r="H31" s="1176">
        <f t="shared" si="3"/>
        <v>0</v>
      </c>
      <c r="I31" s="1184">
        <f t="shared" si="3"/>
        <v>16265</v>
      </c>
    </row>
    <row r="32" spans="1:9" ht="19.5" customHeight="1">
      <c r="A32" s="286" t="s">
        <v>837</v>
      </c>
      <c r="B32" s="249" t="s">
        <v>82</v>
      </c>
      <c r="C32" s="1097">
        <f t="shared" si="3"/>
        <v>5187638.54</v>
      </c>
      <c r="D32" s="1097">
        <f t="shared" si="3"/>
        <v>5187638.54</v>
      </c>
      <c r="E32" s="1097">
        <f t="shared" si="3"/>
        <v>5171373.54</v>
      </c>
      <c r="F32" s="1097">
        <f t="shared" si="3"/>
        <v>3349757.3</v>
      </c>
      <c r="G32" s="1097">
        <f t="shared" si="3"/>
        <v>72055.17</v>
      </c>
      <c r="H32" s="1097">
        <f t="shared" si="3"/>
        <v>0</v>
      </c>
      <c r="I32" s="1185">
        <f t="shared" si="3"/>
        <v>16265</v>
      </c>
    </row>
    <row r="33" spans="1:9" s="289" customFormat="1" ht="19.5" customHeight="1">
      <c r="A33" s="296" t="s">
        <v>836</v>
      </c>
      <c r="B33" s="298" t="s">
        <v>853</v>
      </c>
      <c r="C33" s="1182">
        <f>SUM(6D!E247,6D!E248)</f>
        <v>127000</v>
      </c>
      <c r="D33" s="1177">
        <f aca="true" t="shared" si="4" ref="D33:D52">SUM(E33,I33)</f>
        <v>127000</v>
      </c>
      <c r="E33" s="1182">
        <v>123735</v>
      </c>
      <c r="F33" s="1182">
        <v>0</v>
      </c>
      <c r="G33" s="1182">
        <v>0</v>
      </c>
      <c r="H33" s="1182">
        <v>0</v>
      </c>
      <c r="I33" s="1183">
        <v>3265</v>
      </c>
    </row>
    <row r="34" spans="1:9" ht="19.5" customHeight="1">
      <c r="A34" s="49" t="s">
        <v>837</v>
      </c>
      <c r="B34" s="290" t="s">
        <v>853</v>
      </c>
      <c r="C34" s="1098">
        <f>SUM(6D!F247,6D!F248)</f>
        <v>112594.66</v>
      </c>
      <c r="D34" s="1101">
        <f t="shared" si="4"/>
        <v>112594.66</v>
      </c>
      <c r="E34" s="1098">
        <v>109329.66</v>
      </c>
      <c r="F34" s="1098">
        <v>0</v>
      </c>
      <c r="G34" s="1098">
        <v>0</v>
      </c>
      <c r="H34" s="1098">
        <v>0</v>
      </c>
      <c r="I34" s="1015">
        <v>3265</v>
      </c>
    </row>
    <row r="35" spans="1:9" s="289" customFormat="1" ht="19.5" customHeight="1">
      <c r="A35" s="287" t="s">
        <v>836</v>
      </c>
      <c r="B35" s="288" t="s">
        <v>857</v>
      </c>
      <c r="C35" s="1177">
        <f>SUM(6D!E251)</f>
        <v>51000</v>
      </c>
      <c r="D35" s="1177">
        <f t="shared" si="4"/>
        <v>51000</v>
      </c>
      <c r="E35" s="1177">
        <v>51000</v>
      </c>
      <c r="F35" s="1177">
        <v>0</v>
      </c>
      <c r="G35" s="1177">
        <v>0</v>
      </c>
      <c r="H35" s="1177">
        <v>0</v>
      </c>
      <c r="I35" s="1178">
        <v>0</v>
      </c>
    </row>
    <row r="36" spans="1:9" ht="19.5" customHeight="1">
      <c r="A36" s="49" t="s">
        <v>837</v>
      </c>
      <c r="B36" s="290" t="s">
        <v>857</v>
      </c>
      <c r="C36" s="1098">
        <f>SUM(6D!F251)</f>
        <v>51000</v>
      </c>
      <c r="D36" s="1101">
        <f t="shared" si="4"/>
        <v>51000</v>
      </c>
      <c r="E36" s="1098">
        <v>51000</v>
      </c>
      <c r="F36" s="1098">
        <v>0</v>
      </c>
      <c r="G36" s="1098">
        <v>0</v>
      </c>
      <c r="H36" s="1098">
        <v>0</v>
      </c>
      <c r="I36" s="1015">
        <v>0</v>
      </c>
    </row>
    <row r="37" spans="1:9" s="289" customFormat="1" ht="19.5" customHeight="1">
      <c r="A37" s="296" t="s">
        <v>836</v>
      </c>
      <c r="B37" s="298" t="s">
        <v>858</v>
      </c>
      <c r="C37" s="1182">
        <f>SUM(6D!E254)</f>
        <v>14000</v>
      </c>
      <c r="D37" s="1182">
        <f t="shared" si="4"/>
        <v>14000</v>
      </c>
      <c r="E37" s="1182">
        <v>14000</v>
      </c>
      <c r="F37" s="1182">
        <v>0</v>
      </c>
      <c r="G37" s="1182">
        <v>0</v>
      </c>
      <c r="H37" s="1182">
        <v>0</v>
      </c>
      <c r="I37" s="1183">
        <v>0</v>
      </c>
    </row>
    <row r="38" spans="1:9" ht="19.5" customHeight="1">
      <c r="A38" s="49" t="s">
        <v>837</v>
      </c>
      <c r="B38" s="290" t="s">
        <v>858</v>
      </c>
      <c r="C38" s="1098">
        <f>SUM(6D!F254)</f>
        <v>14000</v>
      </c>
      <c r="D38" s="1101">
        <f t="shared" si="4"/>
        <v>14000</v>
      </c>
      <c r="E38" s="1098">
        <v>14000</v>
      </c>
      <c r="F38" s="1098">
        <v>0</v>
      </c>
      <c r="G38" s="1098">
        <v>0</v>
      </c>
      <c r="H38" s="1098">
        <v>0</v>
      </c>
      <c r="I38" s="1015">
        <v>0</v>
      </c>
    </row>
    <row r="39" spans="1:9" s="289" customFormat="1" ht="19.5" customHeight="1">
      <c r="A39" s="287" t="s">
        <v>836</v>
      </c>
      <c r="B39" s="288" t="s">
        <v>860</v>
      </c>
      <c r="C39" s="1177">
        <f>SUM(6D!E256)</f>
        <v>356358</v>
      </c>
      <c r="D39" s="1177">
        <f t="shared" si="4"/>
        <v>356358</v>
      </c>
      <c r="E39" s="1177">
        <v>356358</v>
      </c>
      <c r="F39" s="1177">
        <v>282488</v>
      </c>
      <c r="G39" s="1177">
        <v>43048</v>
      </c>
      <c r="H39" s="1177">
        <v>0</v>
      </c>
      <c r="I39" s="1178">
        <v>0</v>
      </c>
    </row>
    <row r="40" spans="1:9" ht="19.5" customHeight="1">
      <c r="A40" s="49" t="s">
        <v>837</v>
      </c>
      <c r="B40" s="290" t="s">
        <v>860</v>
      </c>
      <c r="C40" s="1098">
        <f>SUM(6D!F256)</f>
        <v>352354.79</v>
      </c>
      <c r="D40" s="1101">
        <f t="shared" si="4"/>
        <v>352354.79</v>
      </c>
      <c r="E40" s="1098">
        <v>352354.79</v>
      </c>
      <c r="F40" s="1098">
        <v>279576.66</v>
      </c>
      <c r="G40" s="1098">
        <v>42031.06</v>
      </c>
      <c r="H40" s="1098">
        <v>0</v>
      </c>
      <c r="I40" s="1015">
        <v>0</v>
      </c>
    </row>
    <row r="41" spans="1:9" s="289" customFormat="1" ht="19.5" customHeight="1">
      <c r="A41" s="287" t="s">
        <v>836</v>
      </c>
      <c r="B41" s="288" t="s">
        <v>870</v>
      </c>
      <c r="C41" s="1177">
        <f>SUM(6D!E259)</f>
        <v>80000</v>
      </c>
      <c r="D41" s="1177">
        <f t="shared" si="4"/>
        <v>80000</v>
      </c>
      <c r="E41" s="1177">
        <v>80000</v>
      </c>
      <c r="F41" s="1177">
        <v>64895</v>
      </c>
      <c r="G41" s="1177">
        <v>12835</v>
      </c>
      <c r="H41" s="1177">
        <v>0</v>
      </c>
      <c r="I41" s="1178">
        <v>0</v>
      </c>
    </row>
    <row r="42" spans="1:9" ht="19.5" customHeight="1">
      <c r="A42" s="49" t="s">
        <v>837</v>
      </c>
      <c r="B42" s="290" t="s">
        <v>870</v>
      </c>
      <c r="C42" s="1098">
        <f>SUM(6D!F259)</f>
        <v>80000</v>
      </c>
      <c r="D42" s="1101">
        <f t="shared" si="4"/>
        <v>80000</v>
      </c>
      <c r="E42" s="1098">
        <v>80000</v>
      </c>
      <c r="F42" s="1098">
        <v>64895</v>
      </c>
      <c r="G42" s="1098">
        <v>12835</v>
      </c>
      <c r="H42" s="1098">
        <v>0</v>
      </c>
      <c r="I42" s="1015">
        <v>0</v>
      </c>
    </row>
    <row r="43" spans="1:9" s="289" customFormat="1" ht="19.5" customHeight="1">
      <c r="A43" s="287" t="s">
        <v>836</v>
      </c>
      <c r="B43" s="288" t="s">
        <v>880</v>
      </c>
      <c r="C43" s="1177">
        <f>SUM(6D!E266)</f>
        <v>19000</v>
      </c>
      <c r="D43" s="1177">
        <f t="shared" si="4"/>
        <v>19000</v>
      </c>
      <c r="E43" s="1177">
        <v>19000</v>
      </c>
      <c r="F43" s="1177">
        <v>6100</v>
      </c>
      <c r="G43" s="1177">
        <v>354</v>
      </c>
      <c r="H43" s="1177">
        <v>0</v>
      </c>
      <c r="I43" s="1178">
        <v>0</v>
      </c>
    </row>
    <row r="44" spans="1:9" ht="19.5" customHeight="1">
      <c r="A44" s="49" t="s">
        <v>837</v>
      </c>
      <c r="B44" s="290" t="s">
        <v>880</v>
      </c>
      <c r="C44" s="1098">
        <f>SUM(6D!F266)</f>
        <v>18998.68</v>
      </c>
      <c r="D44" s="1101">
        <f t="shared" si="4"/>
        <v>18998.68</v>
      </c>
      <c r="E44" s="1098">
        <v>18998.68</v>
      </c>
      <c r="F44" s="1098">
        <v>6100</v>
      </c>
      <c r="G44" s="1098">
        <v>352.82</v>
      </c>
      <c r="H44" s="1098">
        <v>0</v>
      </c>
      <c r="I44" s="1015">
        <v>0</v>
      </c>
    </row>
    <row r="45" spans="1:9" s="289" customFormat="1" ht="19.5" customHeight="1">
      <c r="A45" s="287" t="s">
        <v>836</v>
      </c>
      <c r="B45" s="288" t="s">
        <v>885</v>
      </c>
      <c r="C45" s="1177">
        <f>SUM(6D!E270,6D!E271)</f>
        <v>3590683</v>
      </c>
      <c r="D45" s="1177">
        <f t="shared" si="4"/>
        <v>3590683</v>
      </c>
      <c r="E45" s="1177">
        <v>3577683</v>
      </c>
      <c r="F45" s="1177">
        <v>2819015</v>
      </c>
      <c r="G45" s="1177">
        <v>3945</v>
      </c>
      <c r="H45" s="1177">
        <v>0</v>
      </c>
      <c r="I45" s="1178">
        <v>13000</v>
      </c>
    </row>
    <row r="46" spans="1:9" ht="19.5" customHeight="1">
      <c r="A46" s="49" t="s">
        <v>837</v>
      </c>
      <c r="B46" s="290" t="s">
        <v>885</v>
      </c>
      <c r="C46" s="1098">
        <f>SUM(6D!F270,6D!F271)</f>
        <v>3590683</v>
      </c>
      <c r="D46" s="1101">
        <f t="shared" si="4"/>
        <v>3590683</v>
      </c>
      <c r="E46" s="1098">
        <v>3577683</v>
      </c>
      <c r="F46" s="1098">
        <v>2819015.82</v>
      </c>
      <c r="G46" s="1098">
        <v>3944.71</v>
      </c>
      <c r="H46" s="1098">
        <v>0</v>
      </c>
      <c r="I46" s="1015">
        <v>13000</v>
      </c>
    </row>
    <row r="47" spans="1:9" s="289" customFormat="1" ht="19.5" customHeight="1">
      <c r="A47" s="287" t="s">
        <v>836</v>
      </c>
      <c r="B47" s="288" t="s">
        <v>1092</v>
      </c>
      <c r="C47" s="1177">
        <f>SUM(6D!E294)</f>
        <v>600000</v>
      </c>
      <c r="D47" s="1177">
        <f t="shared" si="4"/>
        <v>600000</v>
      </c>
      <c r="E47" s="1177">
        <v>600000</v>
      </c>
      <c r="F47" s="1177">
        <v>0</v>
      </c>
      <c r="G47" s="1177">
        <v>0</v>
      </c>
      <c r="H47" s="1177">
        <v>0</v>
      </c>
      <c r="I47" s="1178">
        <v>0</v>
      </c>
    </row>
    <row r="48" spans="1:9" ht="19.5" customHeight="1">
      <c r="A48" s="49" t="s">
        <v>837</v>
      </c>
      <c r="B48" s="290" t="s">
        <v>1092</v>
      </c>
      <c r="C48" s="1098">
        <f>SUM(6D!F294)</f>
        <v>600000</v>
      </c>
      <c r="D48" s="1101">
        <f t="shared" si="4"/>
        <v>600000</v>
      </c>
      <c r="E48" s="1098">
        <v>600000</v>
      </c>
      <c r="F48" s="1098">
        <v>0</v>
      </c>
      <c r="G48" s="1098">
        <v>0</v>
      </c>
      <c r="H48" s="1098">
        <v>0</v>
      </c>
      <c r="I48" s="1015">
        <v>0</v>
      </c>
    </row>
    <row r="49" spans="1:9" s="289" customFormat="1" ht="19.5" customHeight="1">
      <c r="A49" s="296" t="s">
        <v>836</v>
      </c>
      <c r="B49" s="298" t="s">
        <v>31</v>
      </c>
      <c r="C49" s="1182">
        <f>SUM(6D!E299)</f>
        <v>361400</v>
      </c>
      <c r="D49" s="1177">
        <f t="shared" si="4"/>
        <v>361400</v>
      </c>
      <c r="E49" s="1182">
        <v>361400</v>
      </c>
      <c r="F49" s="1182">
        <v>190847</v>
      </c>
      <c r="G49" s="1182">
        <v>13623</v>
      </c>
      <c r="H49" s="1182">
        <v>0</v>
      </c>
      <c r="I49" s="1183">
        <v>0</v>
      </c>
    </row>
    <row r="50" spans="1:9" ht="19.5" customHeight="1">
      <c r="A50" s="49" t="s">
        <v>837</v>
      </c>
      <c r="B50" s="290" t="s">
        <v>31</v>
      </c>
      <c r="C50" s="1098">
        <f>SUM(6D!F299)</f>
        <v>337007.41</v>
      </c>
      <c r="D50" s="1101">
        <f t="shared" si="4"/>
        <v>337007.41</v>
      </c>
      <c r="E50" s="1098">
        <v>337007.41</v>
      </c>
      <c r="F50" s="1098">
        <v>180169.82</v>
      </c>
      <c r="G50" s="1098">
        <v>12891.58</v>
      </c>
      <c r="H50" s="1098">
        <v>0</v>
      </c>
      <c r="I50" s="1015">
        <v>0</v>
      </c>
    </row>
    <row r="51" spans="1:9" s="289" customFormat="1" ht="19.5" customHeight="1">
      <c r="A51" s="287" t="s">
        <v>836</v>
      </c>
      <c r="B51" s="288" t="s">
        <v>914</v>
      </c>
      <c r="C51" s="1177">
        <f>SUM(6D!E309)</f>
        <v>31000</v>
      </c>
      <c r="D51" s="1177">
        <f t="shared" si="4"/>
        <v>31000</v>
      </c>
      <c r="E51" s="1177">
        <v>31000</v>
      </c>
      <c r="F51" s="1177">
        <v>0</v>
      </c>
      <c r="G51" s="1177">
        <v>0</v>
      </c>
      <c r="H51" s="1177">
        <v>0</v>
      </c>
      <c r="I51" s="1178">
        <v>0</v>
      </c>
    </row>
    <row r="52" spans="1:9" ht="19.5" customHeight="1" thickBot="1">
      <c r="A52" s="299" t="s">
        <v>837</v>
      </c>
      <c r="B52" s="300" t="s">
        <v>914</v>
      </c>
      <c r="C52" s="1099">
        <f>SUM(6D!F309)</f>
        <v>31000</v>
      </c>
      <c r="D52" s="1115">
        <f t="shared" si="4"/>
        <v>31000</v>
      </c>
      <c r="E52" s="1099">
        <v>31000</v>
      </c>
      <c r="F52" s="1099">
        <v>0</v>
      </c>
      <c r="G52" s="1099">
        <v>0</v>
      </c>
      <c r="H52" s="1099">
        <v>0</v>
      </c>
      <c r="I52" s="1186">
        <v>0</v>
      </c>
    </row>
    <row r="53" spans="1:9" s="305" customFormat="1" ht="19.5" customHeight="1" thickTop="1">
      <c r="A53" s="301" t="s">
        <v>79</v>
      </c>
      <c r="B53" s="302" t="s">
        <v>78</v>
      </c>
      <c r="C53" s="1187">
        <f aca="true" t="shared" si="5" ref="C53:I54">SUM(C9,C31)</f>
        <v>12046514.56</v>
      </c>
      <c r="D53" s="1187">
        <f t="shared" si="5"/>
        <v>12046514.56</v>
      </c>
      <c r="E53" s="1187">
        <f t="shared" si="5"/>
        <v>12030249.56</v>
      </c>
      <c r="F53" s="1187">
        <f t="shared" si="5"/>
        <v>3828425</v>
      </c>
      <c r="G53" s="1187">
        <f t="shared" si="5"/>
        <v>214013</v>
      </c>
      <c r="H53" s="1187">
        <f t="shared" si="5"/>
        <v>5871849</v>
      </c>
      <c r="I53" s="1188">
        <f t="shared" si="5"/>
        <v>16265</v>
      </c>
    </row>
    <row r="54" spans="1:9" s="306" customFormat="1" ht="19.5" customHeight="1" thickBot="1">
      <c r="A54" s="303" t="s">
        <v>80</v>
      </c>
      <c r="B54" s="304" t="s">
        <v>78</v>
      </c>
      <c r="C54" s="1189">
        <f t="shared" si="5"/>
        <v>11982126.86</v>
      </c>
      <c r="D54" s="1189">
        <f t="shared" si="5"/>
        <v>11982126.86</v>
      </c>
      <c r="E54" s="1189">
        <f t="shared" si="5"/>
        <v>11965861.86</v>
      </c>
      <c r="F54" s="1189">
        <f t="shared" si="5"/>
        <v>3814473.2399999998</v>
      </c>
      <c r="G54" s="1189">
        <f t="shared" si="5"/>
        <v>209035.8</v>
      </c>
      <c r="H54" s="1189">
        <f t="shared" si="5"/>
        <v>5855395.97</v>
      </c>
      <c r="I54" s="1190">
        <f t="shared" si="5"/>
        <v>16265</v>
      </c>
    </row>
    <row r="56" spans="1:9" ht="23.25" customHeight="1">
      <c r="A56" s="43" t="s">
        <v>686</v>
      </c>
      <c r="B56" s="43" t="s">
        <v>685</v>
      </c>
      <c r="C56" s="307">
        <v>11982126.86</v>
      </c>
      <c r="D56" s="307">
        <v>11982126.86</v>
      </c>
      <c r="E56" s="307">
        <v>11965861.86</v>
      </c>
      <c r="F56" s="307">
        <v>3814473.24</v>
      </c>
      <c r="G56" s="307">
        <v>209035.8</v>
      </c>
      <c r="H56" s="307">
        <v>5855395.97</v>
      </c>
      <c r="I56" s="307">
        <v>16265</v>
      </c>
    </row>
    <row r="57" spans="1:9" s="1193" customFormat="1" ht="12.75">
      <c r="A57" s="1191"/>
      <c r="B57" s="1191" t="s">
        <v>799</v>
      </c>
      <c r="C57" s="1192">
        <f>C54-C56</f>
        <v>0</v>
      </c>
      <c r="D57" s="1192">
        <f aca="true" t="shared" si="6" ref="D57:I57">D54-D56</f>
        <v>0</v>
      </c>
      <c r="E57" s="1192">
        <f t="shared" si="6"/>
        <v>0</v>
      </c>
      <c r="F57" s="1192">
        <f t="shared" si="6"/>
        <v>0</v>
      </c>
      <c r="G57" s="1192">
        <f t="shared" si="6"/>
        <v>0</v>
      </c>
      <c r="H57" s="1192">
        <f t="shared" si="6"/>
        <v>0</v>
      </c>
      <c r="I57" s="1192">
        <f t="shared" si="6"/>
        <v>0</v>
      </c>
    </row>
  </sheetData>
  <sheetProtection/>
  <mergeCells count="9">
    <mergeCell ref="A3:I3"/>
    <mergeCell ref="A5:A7"/>
    <mergeCell ref="C5:C7"/>
    <mergeCell ref="D5:D7"/>
    <mergeCell ref="B5:B7"/>
    <mergeCell ref="F6:H6"/>
    <mergeCell ref="I6:I7"/>
    <mergeCell ref="E5:I5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J26"/>
  <sheetViews>
    <sheetView defaultGridColor="0" view="pageBreakPreview" zoomScaleSheetLayoutView="100" colorId="8" workbookViewId="0" topLeftCell="A1">
      <pane ySplit="8" topLeftCell="I14" activePane="bottomLeft" state="frozen"/>
      <selection pane="topLeft" activeCell="A1" sqref="A1"/>
      <selection pane="bottomLeft" activeCell="F31" sqref="F31"/>
    </sheetView>
  </sheetViews>
  <sheetFormatPr defaultColWidth="9.00390625" defaultRowHeight="12.75"/>
  <cols>
    <col min="1" max="1" width="14.75390625" style="2" customWidth="1"/>
    <col min="2" max="2" width="14.00390625" style="2" customWidth="1"/>
    <col min="3" max="3" width="14.25390625" style="3" customWidth="1"/>
    <col min="4" max="4" width="14.875" style="3" customWidth="1"/>
    <col min="5" max="5" width="13.625" style="3" customWidth="1"/>
    <col min="6" max="6" width="15.625" style="3" customWidth="1"/>
    <col min="7" max="7" width="15.75390625" style="3" customWidth="1"/>
    <col min="8" max="8" width="12.25390625" style="3" customWidth="1"/>
    <col min="9" max="9" width="15.875" style="3" customWidth="1"/>
    <col min="10" max="16384" width="9.125" style="3" customWidth="1"/>
  </cols>
  <sheetData>
    <row r="1" spans="1:10" s="44" customFormat="1" ht="18" customHeight="1">
      <c r="A1" s="278"/>
      <c r="B1" s="278"/>
      <c r="C1" s="279"/>
      <c r="D1" s="279"/>
      <c r="E1" s="279"/>
      <c r="F1" s="279"/>
      <c r="G1" s="279"/>
      <c r="H1" s="279"/>
      <c r="I1" s="268" t="s">
        <v>247</v>
      </c>
      <c r="J1" s="280"/>
    </row>
    <row r="2" spans="1:9" s="44" customFormat="1" ht="32.25" customHeight="1">
      <c r="A2" s="278"/>
      <c r="B2" s="278"/>
      <c r="C2" s="279"/>
      <c r="D2" s="279"/>
      <c r="E2" s="279"/>
      <c r="F2" s="279"/>
      <c r="G2" s="279"/>
      <c r="H2" s="279"/>
      <c r="I2" s="279"/>
    </row>
    <row r="3" spans="1:9" s="44" customFormat="1" ht="25.5" customHeight="1">
      <c r="A3" s="1525" t="s">
        <v>1104</v>
      </c>
      <c r="B3" s="1525"/>
      <c r="C3" s="1525"/>
      <c r="D3" s="1525"/>
      <c r="E3" s="1525"/>
      <c r="F3" s="1525"/>
      <c r="G3" s="1525"/>
      <c r="H3" s="1525"/>
      <c r="I3" s="1525"/>
    </row>
    <row r="4" spans="1:9" s="44" customFormat="1" ht="18.75" customHeight="1" thickBot="1">
      <c r="A4" s="278"/>
      <c r="B4" s="278"/>
      <c r="C4" s="279"/>
      <c r="D4" s="279"/>
      <c r="E4" s="279"/>
      <c r="F4" s="279"/>
      <c r="G4" s="279"/>
      <c r="H4" s="279"/>
      <c r="I4" s="281" t="s">
        <v>833</v>
      </c>
    </row>
    <row r="5" spans="1:9" s="43" customFormat="1" ht="15.75" customHeight="1">
      <c r="A5" s="1526" t="s">
        <v>835</v>
      </c>
      <c r="B5" s="1531" t="s">
        <v>834</v>
      </c>
      <c r="C5" s="1528" t="s">
        <v>526</v>
      </c>
      <c r="D5" s="1528" t="s">
        <v>527</v>
      </c>
      <c r="E5" s="1528" t="s">
        <v>1124</v>
      </c>
      <c r="F5" s="1528"/>
      <c r="G5" s="1528"/>
      <c r="H5" s="1528"/>
      <c r="I5" s="1533"/>
    </row>
    <row r="6" spans="1:9" s="43" customFormat="1" ht="14.25" customHeight="1">
      <c r="A6" s="1527"/>
      <c r="B6" s="1529"/>
      <c r="C6" s="1529"/>
      <c r="D6" s="1530"/>
      <c r="E6" s="1530" t="s">
        <v>528</v>
      </c>
      <c r="F6" s="1530" t="s">
        <v>1352</v>
      </c>
      <c r="G6" s="1530"/>
      <c r="H6" s="1530"/>
      <c r="I6" s="1532" t="s">
        <v>529</v>
      </c>
    </row>
    <row r="7" spans="1:9" s="43" customFormat="1" ht="27" customHeight="1">
      <c r="A7" s="1527"/>
      <c r="B7" s="1529"/>
      <c r="C7" s="1529"/>
      <c r="D7" s="1530"/>
      <c r="E7" s="1530"/>
      <c r="F7" s="284" t="s">
        <v>530</v>
      </c>
      <c r="G7" s="284" t="s">
        <v>531</v>
      </c>
      <c r="H7" s="284" t="s">
        <v>532</v>
      </c>
      <c r="I7" s="1532"/>
    </row>
    <row r="8" spans="1:9" s="550" customFormat="1" ht="11.25" customHeight="1">
      <c r="A8" s="1198">
        <v>1</v>
      </c>
      <c r="B8" s="1199">
        <v>2</v>
      </c>
      <c r="C8" s="1199">
        <v>3</v>
      </c>
      <c r="D8" s="1199">
        <v>4</v>
      </c>
      <c r="E8" s="1199">
        <v>5</v>
      </c>
      <c r="F8" s="1199">
        <v>6</v>
      </c>
      <c r="G8" s="1199">
        <v>7</v>
      </c>
      <c r="H8" s="1199">
        <v>8</v>
      </c>
      <c r="I8" s="1200">
        <v>9</v>
      </c>
    </row>
    <row r="9" spans="1:9" s="305" customFormat="1" ht="19.5" customHeight="1">
      <c r="A9" s="282" t="s">
        <v>836</v>
      </c>
      <c r="B9" s="283" t="s">
        <v>81</v>
      </c>
      <c r="C9" s="1194">
        <f>SUM(C11,C13,C15,C17)</f>
        <v>59902</v>
      </c>
      <c r="D9" s="1194">
        <f aca="true" t="shared" si="0" ref="D9:I9">SUM(D11,D13,D15,D17)</f>
        <v>59902</v>
      </c>
      <c r="E9" s="1194">
        <f t="shared" si="0"/>
        <v>59902</v>
      </c>
      <c r="F9" s="1194">
        <f t="shared" si="0"/>
        <v>12506</v>
      </c>
      <c r="G9" s="1194">
        <f t="shared" si="0"/>
        <v>214</v>
      </c>
      <c r="H9" s="1194">
        <f t="shared" si="0"/>
        <v>0</v>
      </c>
      <c r="I9" s="1194">
        <f t="shared" si="0"/>
        <v>0</v>
      </c>
    </row>
    <row r="10" spans="1:9" s="306" customFormat="1" ht="19.5" customHeight="1">
      <c r="A10" s="286" t="s">
        <v>837</v>
      </c>
      <c r="B10" s="249" t="s">
        <v>81</v>
      </c>
      <c r="C10" s="1195">
        <f>SUM(C12,C14,C16,C18)</f>
        <v>59246.270000000004</v>
      </c>
      <c r="D10" s="1195">
        <f aca="true" t="shared" si="1" ref="D10:I10">SUM(D12,D14,D16,D18)</f>
        <v>59246.270000000004</v>
      </c>
      <c r="E10" s="1195">
        <f t="shared" si="1"/>
        <v>59246.270000000004</v>
      </c>
      <c r="F10" s="1195">
        <f t="shared" si="1"/>
        <v>12506</v>
      </c>
      <c r="G10" s="1195">
        <f t="shared" si="1"/>
        <v>214</v>
      </c>
      <c r="H10" s="1195">
        <f t="shared" si="1"/>
        <v>0</v>
      </c>
      <c r="I10" s="1195">
        <f t="shared" si="1"/>
        <v>0</v>
      </c>
    </row>
    <row r="11" spans="1:9" s="289" customFormat="1" ht="19.5" customHeight="1">
      <c r="A11" s="287" t="s">
        <v>836</v>
      </c>
      <c r="B11" s="291">
        <v>70005</v>
      </c>
      <c r="C11" s="1196">
        <f>SUM(6D!E49)</f>
        <v>40000</v>
      </c>
      <c r="D11" s="1196">
        <f aca="true" t="shared" si="2" ref="D11:D16">SUM(E11,I11)</f>
        <v>40000</v>
      </c>
      <c r="E11" s="1196">
        <v>40000</v>
      </c>
      <c r="F11" s="1196">
        <v>0</v>
      </c>
      <c r="G11" s="1196">
        <v>0</v>
      </c>
      <c r="H11" s="1196">
        <v>0</v>
      </c>
      <c r="I11" s="1197">
        <v>0</v>
      </c>
    </row>
    <row r="12" spans="1:9" s="44" customFormat="1" ht="19.5" customHeight="1">
      <c r="A12" s="49" t="s">
        <v>837</v>
      </c>
      <c r="B12" s="51">
        <v>70005</v>
      </c>
      <c r="C12" s="828">
        <f>SUM(6D!F49)</f>
        <v>40000</v>
      </c>
      <c r="D12" s="1013">
        <f t="shared" si="2"/>
        <v>40000</v>
      </c>
      <c r="E12" s="828">
        <v>40000</v>
      </c>
      <c r="F12" s="828">
        <v>0</v>
      </c>
      <c r="G12" s="828">
        <v>0</v>
      </c>
      <c r="H12" s="828">
        <v>0</v>
      </c>
      <c r="I12" s="1016">
        <v>0</v>
      </c>
    </row>
    <row r="13" spans="1:9" s="289" customFormat="1" ht="19.5" customHeight="1">
      <c r="A13" s="287" t="s">
        <v>836</v>
      </c>
      <c r="B13" s="291">
        <v>80195</v>
      </c>
      <c r="C13" s="1177">
        <f>SUM(6D!E147)</f>
        <v>6882</v>
      </c>
      <c r="D13" s="1196">
        <f t="shared" si="2"/>
        <v>6882</v>
      </c>
      <c r="E13" s="1177">
        <v>6882</v>
      </c>
      <c r="F13" s="1177">
        <v>0</v>
      </c>
      <c r="G13" s="1177">
        <v>0</v>
      </c>
      <c r="H13" s="1177">
        <v>0</v>
      </c>
      <c r="I13" s="1178">
        <v>0</v>
      </c>
    </row>
    <row r="14" spans="1:9" s="295" customFormat="1" ht="19.5" customHeight="1">
      <c r="A14" s="49" t="s">
        <v>837</v>
      </c>
      <c r="B14" s="294">
        <v>80195</v>
      </c>
      <c r="C14" s="1101">
        <f>SUM(6D!F147)</f>
        <v>6226.27</v>
      </c>
      <c r="D14" s="1013">
        <f t="shared" si="2"/>
        <v>6226.27</v>
      </c>
      <c r="E14" s="1101">
        <v>6226.27</v>
      </c>
      <c r="F14" s="1101">
        <v>0</v>
      </c>
      <c r="G14" s="1101">
        <v>0</v>
      </c>
      <c r="H14" s="1101">
        <v>0</v>
      </c>
      <c r="I14" s="1181">
        <v>0</v>
      </c>
    </row>
    <row r="15" spans="1:9" s="289" customFormat="1" ht="19.5" customHeight="1">
      <c r="A15" s="287" t="s">
        <v>836</v>
      </c>
      <c r="B15" s="291">
        <v>85195</v>
      </c>
      <c r="C15" s="1177">
        <f>SUM(6D!E159)</f>
        <v>3000</v>
      </c>
      <c r="D15" s="1196">
        <f t="shared" si="2"/>
        <v>3000</v>
      </c>
      <c r="E15" s="1177">
        <v>3000</v>
      </c>
      <c r="F15" s="1177">
        <v>3000</v>
      </c>
      <c r="G15" s="1177">
        <v>0</v>
      </c>
      <c r="H15" s="1177">
        <v>0</v>
      </c>
      <c r="I15" s="1178">
        <v>0</v>
      </c>
    </row>
    <row r="16" spans="1:9" s="295" customFormat="1" ht="19.5" customHeight="1">
      <c r="A16" s="49" t="s">
        <v>837</v>
      </c>
      <c r="B16" s="294">
        <v>85195</v>
      </c>
      <c r="C16" s="1101">
        <f>SUM(6D!F159)</f>
        <v>3000</v>
      </c>
      <c r="D16" s="1013">
        <f t="shared" si="2"/>
        <v>3000</v>
      </c>
      <c r="E16" s="1101">
        <v>3000</v>
      </c>
      <c r="F16" s="1101">
        <v>3000</v>
      </c>
      <c r="G16" s="1101">
        <v>0</v>
      </c>
      <c r="H16" s="1101">
        <v>0</v>
      </c>
      <c r="I16" s="1181">
        <v>0</v>
      </c>
    </row>
    <row r="17" spans="1:9" s="289" customFormat="1" ht="19.5" customHeight="1">
      <c r="A17" s="287" t="s">
        <v>836</v>
      </c>
      <c r="B17" s="291">
        <v>85295</v>
      </c>
      <c r="C17" s="1177">
        <f>SUM(6D!E186)</f>
        <v>10020</v>
      </c>
      <c r="D17" s="1196">
        <f>SUM(E17,I17)</f>
        <v>10020</v>
      </c>
      <c r="E17" s="1177">
        <v>10020</v>
      </c>
      <c r="F17" s="1177">
        <v>9506</v>
      </c>
      <c r="G17" s="1177">
        <v>214</v>
      </c>
      <c r="H17" s="1177">
        <v>0</v>
      </c>
      <c r="I17" s="1178">
        <v>0</v>
      </c>
    </row>
    <row r="18" spans="1:9" s="295" customFormat="1" ht="19.5" customHeight="1">
      <c r="A18" s="49" t="s">
        <v>837</v>
      </c>
      <c r="B18" s="294">
        <v>85295</v>
      </c>
      <c r="C18" s="1101">
        <f>SUM(6D!F186)</f>
        <v>10020</v>
      </c>
      <c r="D18" s="1013">
        <f>SUM(E18,I18)</f>
        <v>10020</v>
      </c>
      <c r="E18" s="1101">
        <v>10020</v>
      </c>
      <c r="F18" s="1101">
        <v>9506</v>
      </c>
      <c r="G18" s="1101">
        <v>214</v>
      </c>
      <c r="H18" s="1101">
        <v>0</v>
      </c>
      <c r="I18" s="1181">
        <v>0</v>
      </c>
    </row>
    <row r="19" spans="1:9" s="305" customFormat="1" ht="19.5" customHeight="1">
      <c r="A19" s="282" t="s">
        <v>836</v>
      </c>
      <c r="B19" s="283" t="s">
        <v>82</v>
      </c>
      <c r="C19" s="1176">
        <f>SUM(C21,C23)</f>
        <v>881045</v>
      </c>
      <c r="D19" s="1176">
        <f aca="true" t="shared" si="3" ref="D19:I19">SUM(D21,D23)</f>
        <v>881500</v>
      </c>
      <c r="E19" s="1176">
        <f t="shared" si="3"/>
        <v>3000</v>
      </c>
      <c r="F19" s="1176">
        <f t="shared" si="3"/>
        <v>0</v>
      </c>
      <c r="G19" s="1176">
        <f t="shared" si="3"/>
        <v>0</v>
      </c>
      <c r="H19" s="1176">
        <f t="shared" si="3"/>
        <v>0</v>
      </c>
      <c r="I19" s="1184">
        <f t="shared" si="3"/>
        <v>878500</v>
      </c>
    </row>
    <row r="20" spans="1:9" s="306" customFormat="1" ht="19.5" customHeight="1">
      <c r="A20" s="286" t="s">
        <v>837</v>
      </c>
      <c r="B20" s="249" t="s">
        <v>82</v>
      </c>
      <c r="C20" s="1097">
        <f>SUM(C22,C24)</f>
        <v>881045</v>
      </c>
      <c r="D20" s="1097">
        <f aca="true" t="shared" si="4" ref="D20:I20">SUM(D22,D24)</f>
        <v>880545</v>
      </c>
      <c r="E20" s="1097">
        <f t="shared" si="4"/>
        <v>2545</v>
      </c>
      <c r="F20" s="1097">
        <f t="shared" si="4"/>
        <v>0</v>
      </c>
      <c r="G20" s="1097">
        <f t="shared" si="4"/>
        <v>0</v>
      </c>
      <c r="H20" s="1097">
        <f t="shared" si="4"/>
        <v>0</v>
      </c>
      <c r="I20" s="1185">
        <f t="shared" si="4"/>
        <v>878000</v>
      </c>
    </row>
    <row r="21" spans="1:9" s="289" customFormat="1" ht="19.5" customHeight="1">
      <c r="A21" s="287" t="s">
        <v>836</v>
      </c>
      <c r="B21" s="291">
        <v>60015</v>
      </c>
      <c r="C21" s="1177">
        <f>SUM(6D!E242)</f>
        <v>878500</v>
      </c>
      <c r="D21" s="1177">
        <f>SUM(E21,I21)</f>
        <v>878500</v>
      </c>
      <c r="E21" s="1177">
        <v>0</v>
      </c>
      <c r="F21" s="1177">
        <v>0</v>
      </c>
      <c r="G21" s="1177">
        <v>0</v>
      </c>
      <c r="H21" s="1177">
        <v>0</v>
      </c>
      <c r="I21" s="1178">
        <v>878500</v>
      </c>
    </row>
    <row r="22" spans="1:9" s="44" customFormat="1" ht="19.5" customHeight="1">
      <c r="A22" s="49" t="s">
        <v>837</v>
      </c>
      <c r="B22" s="51">
        <v>60015</v>
      </c>
      <c r="C22" s="1179">
        <f>SUM(6D!F242)</f>
        <v>878500</v>
      </c>
      <c r="D22" s="1179">
        <f>SUM(E22,I22)</f>
        <v>878000</v>
      </c>
      <c r="E22" s="1098">
        <v>0</v>
      </c>
      <c r="F22" s="1098">
        <v>0</v>
      </c>
      <c r="G22" s="1098">
        <v>0</v>
      </c>
      <c r="H22" s="1098">
        <v>0</v>
      </c>
      <c r="I22" s="1015">
        <v>878000</v>
      </c>
    </row>
    <row r="23" spans="1:9" s="289" customFormat="1" ht="19.5" customHeight="1">
      <c r="A23" s="296" t="s">
        <v>836</v>
      </c>
      <c r="B23" s="298" t="s">
        <v>880</v>
      </c>
      <c r="C23" s="1182">
        <f>SUM(6D!E267)</f>
        <v>2545</v>
      </c>
      <c r="D23" s="1182">
        <f>SUM(E23,I23)</f>
        <v>3000</v>
      </c>
      <c r="E23" s="1182">
        <v>3000</v>
      </c>
      <c r="F23" s="1182">
        <v>0</v>
      </c>
      <c r="G23" s="1182">
        <v>0</v>
      </c>
      <c r="H23" s="1182">
        <v>0</v>
      </c>
      <c r="I23" s="1183">
        <v>0</v>
      </c>
    </row>
    <row r="24" spans="1:9" s="44" customFormat="1" ht="19.5" customHeight="1" thickBot="1">
      <c r="A24" s="299" t="s">
        <v>837</v>
      </c>
      <c r="B24" s="300" t="s">
        <v>880</v>
      </c>
      <c r="C24" s="1099">
        <f>SUM(6D!F267)</f>
        <v>2545</v>
      </c>
      <c r="D24" s="1099">
        <f>SUM(E24,I24)</f>
        <v>2545</v>
      </c>
      <c r="E24" s="1099">
        <v>2545</v>
      </c>
      <c r="F24" s="1099">
        <v>0</v>
      </c>
      <c r="G24" s="1099">
        <v>0</v>
      </c>
      <c r="H24" s="1099">
        <v>0</v>
      </c>
      <c r="I24" s="1186">
        <v>0</v>
      </c>
    </row>
    <row r="25" spans="1:9" s="305" customFormat="1" ht="19.5" customHeight="1" thickTop="1">
      <c r="A25" s="301" t="s">
        <v>79</v>
      </c>
      <c r="B25" s="302" t="s">
        <v>78</v>
      </c>
      <c r="C25" s="1187">
        <f>SUM(C9,C19)</f>
        <v>940947</v>
      </c>
      <c r="D25" s="1187">
        <f aca="true" t="shared" si="5" ref="D25:I25">SUM(D9,D19)</f>
        <v>941402</v>
      </c>
      <c r="E25" s="1187">
        <f t="shared" si="5"/>
        <v>62902</v>
      </c>
      <c r="F25" s="1187">
        <f t="shared" si="5"/>
        <v>12506</v>
      </c>
      <c r="G25" s="1187">
        <f t="shared" si="5"/>
        <v>214</v>
      </c>
      <c r="H25" s="1187">
        <f t="shared" si="5"/>
        <v>0</v>
      </c>
      <c r="I25" s="1188">
        <f t="shared" si="5"/>
        <v>878500</v>
      </c>
    </row>
    <row r="26" spans="1:9" s="306" customFormat="1" ht="19.5" customHeight="1" thickBot="1">
      <c r="A26" s="303" t="s">
        <v>80</v>
      </c>
      <c r="B26" s="304" t="s">
        <v>78</v>
      </c>
      <c r="C26" s="1189">
        <f>SUM(C10,C20)</f>
        <v>940291.27</v>
      </c>
      <c r="D26" s="1189">
        <f aca="true" t="shared" si="6" ref="D26:I26">SUM(D10,D20)</f>
        <v>939791.27</v>
      </c>
      <c r="E26" s="1189">
        <f t="shared" si="6"/>
        <v>61791.270000000004</v>
      </c>
      <c r="F26" s="1189">
        <f t="shared" si="6"/>
        <v>12506</v>
      </c>
      <c r="G26" s="1189">
        <f t="shared" si="6"/>
        <v>214</v>
      </c>
      <c r="H26" s="1189">
        <f t="shared" si="6"/>
        <v>0</v>
      </c>
      <c r="I26" s="1190">
        <f t="shared" si="6"/>
        <v>878000</v>
      </c>
    </row>
  </sheetData>
  <sheetProtection/>
  <mergeCells count="9">
    <mergeCell ref="E5:I5"/>
    <mergeCell ref="E6:E7"/>
    <mergeCell ref="A3:I3"/>
    <mergeCell ref="A5:A7"/>
    <mergeCell ref="C5:C7"/>
    <mergeCell ref="D5:D7"/>
    <mergeCell ref="B5:B7"/>
    <mergeCell ref="F6:H6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13"/>
  <sheetViews>
    <sheetView defaultGridColor="0" view="pageBreakPreview" zoomScaleSheetLayoutView="100" colorId="8" workbookViewId="0" topLeftCell="A1">
      <selection activeCell="G24" sqref="G24"/>
    </sheetView>
  </sheetViews>
  <sheetFormatPr defaultColWidth="9.00390625" defaultRowHeight="12.75"/>
  <cols>
    <col min="1" max="1" width="14.75390625" style="43" customWidth="1"/>
    <col min="2" max="2" width="14.00390625" style="43" customWidth="1"/>
    <col min="3" max="3" width="14.25390625" style="44" customWidth="1"/>
    <col min="4" max="4" width="14.875" style="44" customWidth="1"/>
    <col min="5" max="5" width="13.625" style="44" customWidth="1"/>
    <col min="6" max="6" width="15.625" style="44" customWidth="1"/>
    <col min="7" max="7" width="15.75390625" style="44" customWidth="1"/>
    <col min="8" max="8" width="12.25390625" style="44" customWidth="1"/>
    <col min="9" max="9" width="15.875" style="44" customWidth="1"/>
    <col min="10" max="16384" width="9.125" style="44" customWidth="1"/>
  </cols>
  <sheetData>
    <row r="1" spans="1:10" ht="12.75">
      <c r="A1" s="278"/>
      <c r="B1" s="278"/>
      <c r="C1" s="279"/>
      <c r="D1" s="279"/>
      <c r="E1" s="279"/>
      <c r="F1" s="279"/>
      <c r="G1" s="279"/>
      <c r="H1" s="279"/>
      <c r="I1" s="268" t="s">
        <v>248</v>
      </c>
      <c r="J1" s="280"/>
    </row>
    <row r="2" spans="1:9" ht="21" customHeight="1">
      <c r="A2" s="278"/>
      <c r="B2" s="278"/>
      <c r="C2" s="279"/>
      <c r="D2" s="279"/>
      <c r="E2" s="279"/>
      <c r="F2" s="279"/>
      <c r="G2" s="279"/>
      <c r="H2" s="279"/>
      <c r="I2" s="279"/>
    </row>
    <row r="3" spans="1:9" ht="25.5" customHeight="1">
      <c r="A3" s="1525" t="s">
        <v>1105</v>
      </c>
      <c r="B3" s="1525"/>
      <c r="C3" s="1525"/>
      <c r="D3" s="1525"/>
      <c r="E3" s="1525"/>
      <c r="F3" s="1525"/>
      <c r="G3" s="1525"/>
      <c r="H3" s="1525"/>
      <c r="I3" s="1525"/>
    </row>
    <row r="4" spans="1:9" ht="24" customHeight="1" thickBot="1">
      <c r="A4" s="278"/>
      <c r="B4" s="278"/>
      <c r="C4" s="279"/>
      <c r="D4" s="279"/>
      <c r="E4" s="279"/>
      <c r="F4" s="279"/>
      <c r="G4" s="279"/>
      <c r="H4" s="279"/>
      <c r="I4" s="281" t="s">
        <v>833</v>
      </c>
    </row>
    <row r="5" spans="1:9" s="43" customFormat="1" ht="17.25" customHeight="1">
      <c r="A5" s="1526" t="s">
        <v>835</v>
      </c>
      <c r="B5" s="1531" t="s">
        <v>834</v>
      </c>
      <c r="C5" s="1528" t="s">
        <v>526</v>
      </c>
      <c r="D5" s="1528" t="s">
        <v>527</v>
      </c>
      <c r="E5" s="1528" t="s">
        <v>1124</v>
      </c>
      <c r="F5" s="1528"/>
      <c r="G5" s="1528"/>
      <c r="H5" s="1528"/>
      <c r="I5" s="1533"/>
    </row>
    <row r="6" spans="1:9" s="43" customFormat="1" ht="16.5" customHeight="1">
      <c r="A6" s="1527"/>
      <c r="B6" s="1529"/>
      <c r="C6" s="1529"/>
      <c r="D6" s="1530"/>
      <c r="E6" s="1530" t="s">
        <v>528</v>
      </c>
      <c r="F6" s="1530" t="s">
        <v>1352</v>
      </c>
      <c r="G6" s="1530"/>
      <c r="H6" s="1530"/>
      <c r="I6" s="1532" t="s">
        <v>529</v>
      </c>
    </row>
    <row r="7" spans="1:9" s="43" customFormat="1" ht="28.5" customHeight="1">
      <c r="A7" s="1527"/>
      <c r="B7" s="1529"/>
      <c r="C7" s="1529"/>
      <c r="D7" s="1530"/>
      <c r="E7" s="1530"/>
      <c r="F7" s="284" t="s">
        <v>530</v>
      </c>
      <c r="G7" s="284" t="s">
        <v>531</v>
      </c>
      <c r="H7" s="284" t="s">
        <v>532</v>
      </c>
      <c r="I7" s="1532"/>
    </row>
    <row r="8" spans="1:9" ht="14.25" customHeight="1">
      <c r="A8" s="49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285">
        <v>9</v>
      </c>
    </row>
    <row r="9" spans="1:9" s="295" customFormat="1" ht="19.5" customHeight="1">
      <c r="A9" s="1486" t="s">
        <v>793</v>
      </c>
      <c r="B9" s="1487"/>
      <c r="C9" s="1487"/>
      <c r="D9" s="1487"/>
      <c r="E9" s="1487"/>
      <c r="F9" s="1487"/>
      <c r="G9" s="1487"/>
      <c r="H9" s="1487"/>
      <c r="I9" s="1534"/>
    </row>
    <row r="10" spans="1:9" s="289" customFormat="1" ht="19.5" customHeight="1">
      <c r="A10" s="287" t="s">
        <v>836</v>
      </c>
      <c r="B10" s="291">
        <v>85204</v>
      </c>
      <c r="C10" s="1177">
        <f>SUM(6D!E302)</f>
        <v>64229</v>
      </c>
      <c r="D10" s="1177">
        <f>SUM(E10,I10)</f>
        <v>64229</v>
      </c>
      <c r="E10" s="1177">
        <v>64229</v>
      </c>
      <c r="F10" s="1177">
        <v>0</v>
      </c>
      <c r="G10" s="1177">
        <v>0</v>
      </c>
      <c r="H10" s="1177">
        <v>64229</v>
      </c>
      <c r="I10" s="1178">
        <v>0</v>
      </c>
    </row>
    <row r="11" spans="1:9" s="295" customFormat="1" ht="19.5" customHeight="1">
      <c r="A11" s="49" t="s">
        <v>837</v>
      </c>
      <c r="B11" s="294">
        <v>85204</v>
      </c>
      <c r="C11" s="1101">
        <f>SUM(6D!F302)</f>
        <v>60273.19</v>
      </c>
      <c r="D11" s="1101">
        <f>SUM(E11,I11)</f>
        <v>56117.72</v>
      </c>
      <c r="E11" s="1101">
        <v>56117.72</v>
      </c>
      <c r="F11" s="1101">
        <v>0</v>
      </c>
      <c r="G11" s="1101">
        <v>0</v>
      </c>
      <c r="H11" s="1101">
        <v>56117.72</v>
      </c>
      <c r="I11" s="1181">
        <v>0</v>
      </c>
    </row>
    <row r="12" spans="1:9" s="305" customFormat="1" ht="19.5" customHeight="1">
      <c r="A12" s="301" t="s">
        <v>79</v>
      </c>
      <c r="B12" s="302" t="s">
        <v>78</v>
      </c>
      <c r="C12" s="1187">
        <f>SUM(C10)</f>
        <v>64229</v>
      </c>
      <c r="D12" s="1187">
        <f aca="true" t="shared" si="0" ref="D12:I12">SUM(D10)</f>
        <v>64229</v>
      </c>
      <c r="E12" s="1187">
        <f t="shared" si="0"/>
        <v>64229</v>
      </c>
      <c r="F12" s="1187">
        <f t="shared" si="0"/>
        <v>0</v>
      </c>
      <c r="G12" s="1187">
        <f t="shared" si="0"/>
        <v>0</v>
      </c>
      <c r="H12" s="1187">
        <f t="shared" si="0"/>
        <v>64229</v>
      </c>
      <c r="I12" s="1187">
        <f t="shared" si="0"/>
        <v>0</v>
      </c>
    </row>
    <row r="13" spans="1:9" s="306" customFormat="1" ht="19.5" customHeight="1" thickBot="1">
      <c r="A13" s="303" t="s">
        <v>80</v>
      </c>
      <c r="B13" s="304" t="s">
        <v>78</v>
      </c>
      <c r="C13" s="1189">
        <f>SUM(C11)</f>
        <v>60273.19</v>
      </c>
      <c r="D13" s="1189">
        <f aca="true" t="shared" si="1" ref="D13:I13">SUM(D11)</f>
        <v>56117.72</v>
      </c>
      <c r="E13" s="1189">
        <f t="shared" si="1"/>
        <v>56117.72</v>
      </c>
      <c r="F13" s="1189">
        <f t="shared" si="1"/>
        <v>0</v>
      </c>
      <c r="G13" s="1189">
        <f t="shared" si="1"/>
        <v>0</v>
      </c>
      <c r="H13" s="1189">
        <f t="shared" si="1"/>
        <v>56117.72</v>
      </c>
      <c r="I13" s="1189">
        <f t="shared" si="1"/>
        <v>0</v>
      </c>
    </row>
  </sheetData>
  <sheetProtection/>
  <mergeCells count="10">
    <mergeCell ref="A9:I9"/>
    <mergeCell ref="E6:E7"/>
    <mergeCell ref="A3:I3"/>
    <mergeCell ref="A5:A7"/>
    <mergeCell ref="C5:C7"/>
    <mergeCell ref="D5:D7"/>
    <mergeCell ref="B5:B7"/>
    <mergeCell ref="F6:H6"/>
    <mergeCell ref="I6:I7"/>
    <mergeCell ref="E5:I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view="pageBreakPreview" zoomScale="90" zoomScaleSheetLayoutView="90" workbookViewId="0" topLeftCell="A1">
      <pane ySplit="6" topLeftCell="BM32" activePane="bottomLeft" state="frozen"/>
      <selection pane="topLeft" activeCell="E22" sqref="E22"/>
      <selection pane="bottomLeft" activeCell="E39" sqref="E39:E46"/>
    </sheetView>
  </sheetViews>
  <sheetFormatPr defaultColWidth="9.00390625" defaultRowHeight="12.75"/>
  <cols>
    <col min="1" max="1" width="3.125" style="43" customWidth="1"/>
    <col min="2" max="2" width="5.875" style="43" customWidth="1"/>
    <col min="3" max="3" width="6.25390625" style="43" customWidth="1"/>
    <col min="4" max="4" width="15.00390625" style="44" customWidth="1"/>
    <col min="5" max="5" width="14.25390625" style="44" customWidth="1"/>
    <col min="6" max="6" width="9.75390625" style="44" customWidth="1"/>
    <col min="7" max="7" width="8.875" style="44" customWidth="1"/>
    <col min="8" max="8" width="9.625" style="44" customWidth="1"/>
    <col min="9" max="9" width="10.00390625" style="44" customWidth="1"/>
    <col min="10" max="10" width="11.00390625" style="44" customWidth="1"/>
    <col min="11" max="11" width="12.00390625" style="44" customWidth="1"/>
    <col min="12" max="12" width="11.625" style="44" customWidth="1"/>
    <col min="13" max="14" width="9.75390625" style="44" customWidth="1"/>
    <col min="15" max="16384" width="9.125" style="44" customWidth="1"/>
  </cols>
  <sheetData>
    <row r="1" ht="18" customHeight="1">
      <c r="N1" s="268" t="s">
        <v>371</v>
      </c>
    </row>
    <row r="2" spans="1:14" ht="25.5" customHeight="1">
      <c r="A2" s="1563" t="s">
        <v>738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</row>
    <row r="3" spans="1:14" ht="12" customHeight="1" thickBot="1">
      <c r="A3" s="740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1" t="s">
        <v>833</v>
      </c>
    </row>
    <row r="4" spans="1:14" ht="34.5" customHeight="1">
      <c r="A4" s="1567" t="s">
        <v>1106</v>
      </c>
      <c r="B4" s="1559" t="s">
        <v>1018</v>
      </c>
      <c r="C4" s="1559" t="s">
        <v>352</v>
      </c>
      <c r="D4" s="1561" t="s">
        <v>353</v>
      </c>
      <c r="E4" s="1561" t="s">
        <v>354</v>
      </c>
      <c r="F4" s="1561" t="s">
        <v>1040</v>
      </c>
      <c r="G4" s="1561" t="s">
        <v>355</v>
      </c>
      <c r="H4" s="1561" t="s">
        <v>993</v>
      </c>
      <c r="I4" s="1561" t="s">
        <v>737</v>
      </c>
      <c r="J4" s="1561" t="s">
        <v>575</v>
      </c>
      <c r="K4" s="1564" t="s">
        <v>367</v>
      </c>
      <c r="L4" s="1565"/>
      <c r="M4" s="1565"/>
      <c r="N4" s="1566"/>
    </row>
    <row r="5" spans="1:14" ht="41.25" customHeight="1">
      <c r="A5" s="1568"/>
      <c r="B5" s="1560"/>
      <c r="C5" s="1560"/>
      <c r="D5" s="1562"/>
      <c r="E5" s="1562"/>
      <c r="F5" s="1562"/>
      <c r="G5" s="1562"/>
      <c r="H5" s="1562"/>
      <c r="I5" s="1562"/>
      <c r="J5" s="1562"/>
      <c r="K5" s="302" t="s">
        <v>356</v>
      </c>
      <c r="L5" s="302" t="s">
        <v>357</v>
      </c>
      <c r="M5" s="302" t="s">
        <v>358</v>
      </c>
      <c r="N5" s="742" t="s">
        <v>359</v>
      </c>
    </row>
    <row r="6" spans="1:14" s="746" customFormat="1" ht="7.5" customHeight="1">
      <c r="A6" s="743">
        <v>1</v>
      </c>
      <c r="B6" s="744">
        <v>2</v>
      </c>
      <c r="C6" s="744">
        <v>3</v>
      </c>
      <c r="D6" s="744">
        <v>5</v>
      </c>
      <c r="E6" s="744">
        <v>6</v>
      </c>
      <c r="F6" s="744">
        <v>7</v>
      </c>
      <c r="G6" s="744">
        <v>8</v>
      </c>
      <c r="H6" s="744">
        <v>9</v>
      </c>
      <c r="I6" s="744">
        <v>10</v>
      </c>
      <c r="J6" s="744">
        <v>11</v>
      </c>
      <c r="K6" s="744">
        <v>12</v>
      </c>
      <c r="L6" s="744">
        <v>13</v>
      </c>
      <c r="M6" s="744">
        <v>14</v>
      </c>
      <c r="N6" s="745">
        <v>15</v>
      </c>
    </row>
    <row r="7" spans="1:14" ht="22.5" customHeight="1">
      <c r="A7" s="1541" t="s">
        <v>1109</v>
      </c>
      <c r="B7" s="1544" t="s">
        <v>844</v>
      </c>
      <c r="C7" s="1544" t="s">
        <v>1193</v>
      </c>
      <c r="D7" s="1538" t="s">
        <v>360</v>
      </c>
      <c r="E7" s="1538" t="s">
        <v>361</v>
      </c>
      <c r="F7" s="1538" t="s">
        <v>988</v>
      </c>
      <c r="G7" s="1538" t="s">
        <v>362</v>
      </c>
      <c r="H7" s="1535">
        <v>26442750</v>
      </c>
      <c r="I7" s="1535">
        <v>20623953</v>
      </c>
      <c r="J7" s="747" t="s">
        <v>368</v>
      </c>
      <c r="K7" s="1204">
        <f>SUM(K9,K11,K13)</f>
        <v>19495920</v>
      </c>
      <c r="L7" s="1204">
        <f>SUM(L9,L11,L14)</f>
        <v>0</v>
      </c>
      <c r="M7" s="1204">
        <f>SUM(M9,M11,M14)</f>
        <v>0</v>
      </c>
      <c r="N7" s="1205">
        <f>SUM(N9,N11,N14)</f>
        <v>0</v>
      </c>
    </row>
    <row r="8" spans="1:14" ht="22.5" customHeight="1">
      <c r="A8" s="1542"/>
      <c r="B8" s="1545"/>
      <c r="C8" s="1545"/>
      <c r="D8" s="1539"/>
      <c r="E8" s="1539"/>
      <c r="F8" s="1539"/>
      <c r="G8" s="1539"/>
      <c r="H8" s="1536"/>
      <c r="I8" s="1536"/>
      <c r="J8" s="748" t="s">
        <v>369</v>
      </c>
      <c r="K8" s="1034">
        <f>SUM(K10,K12,K14)</f>
        <v>19340582.54</v>
      </c>
      <c r="L8" s="1034">
        <f>SUM(L10,L12,L14)</f>
        <v>0</v>
      </c>
      <c r="M8" s="1034">
        <f>SUM(M10,M12,M14)</f>
        <v>0</v>
      </c>
      <c r="N8" s="1206">
        <f>SUM(N10,N12,N14)</f>
        <v>0</v>
      </c>
    </row>
    <row r="9" spans="1:14" ht="22.5" customHeight="1">
      <c r="A9" s="1542"/>
      <c r="B9" s="1545"/>
      <c r="C9" s="1545"/>
      <c r="D9" s="1539"/>
      <c r="E9" s="1539"/>
      <c r="F9" s="1539"/>
      <c r="G9" s="1539"/>
      <c r="H9" s="1536"/>
      <c r="I9" s="1536"/>
      <c r="J9" s="1209" t="s">
        <v>363</v>
      </c>
      <c r="K9" s="1210">
        <v>11163980</v>
      </c>
      <c r="L9" s="1210">
        <v>0</v>
      </c>
      <c r="M9" s="1210">
        <v>0</v>
      </c>
      <c r="N9" s="1211">
        <v>0</v>
      </c>
    </row>
    <row r="10" spans="1:14" ht="22.5" customHeight="1">
      <c r="A10" s="1542"/>
      <c r="B10" s="1545"/>
      <c r="C10" s="1545"/>
      <c r="D10" s="1539"/>
      <c r="E10" s="1539"/>
      <c r="F10" s="1539"/>
      <c r="G10" s="1539"/>
      <c r="H10" s="1536"/>
      <c r="I10" s="1536"/>
      <c r="J10" s="1212" t="s">
        <v>363</v>
      </c>
      <c r="K10" s="1213">
        <v>11065580.42</v>
      </c>
      <c r="L10" s="1213">
        <v>0</v>
      </c>
      <c r="M10" s="1213">
        <v>0</v>
      </c>
      <c r="N10" s="1214">
        <v>0</v>
      </c>
    </row>
    <row r="11" spans="1:14" ht="22.5" customHeight="1">
      <c r="A11" s="1542"/>
      <c r="B11" s="1545"/>
      <c r="C11" s="1545"/>
      <c r="D11" s="1539"/>
      <c r="E11" s="1539"/>
      <c r="F11" s="1539"/>
      <c r="G11" s="1539"/>
      <c r="H11" s="1536"/>
      <c r="I11" s="1536"/>
      <c r="J11" s="1209" t="s">
        <v>364</v>
      </c>
      <c r="K11" s="1210">
        <v>3175952</v>
      </c>
      <c r="L11" s="1210">
        <v>0</v>
      </c>
      <c r="M11" s="1210">
        <v>0</v>
      </c>
      <c r="N11" s="1211">
        <v>0</v>
      </c>
    </row>
    <row r="12" spans="1:14" ht="22.5" customHeight="1">
      <c r="A12" s="1542"/>
      <c r="B12" s="1545"/>
      <c r="C12" s="1545"/>
      <c r="D12" s="1539"/>
      <c r="E12" s="1539"/>
      <c r="F12" s="1539"/>
      <c r="G12" s="1539"/>
      <c r="H12" s="1536"/>
      <c r="I12" s="1536"/>
      <c r="J12" s="1212" t="s">
        <v>364</v>
      </c>
      <c r="K12" s="1213">
        <v>3154053.44</v>
      </c>
      <c r="L12" s="1213">
        <v>0</v>
      </c>
      <c r="M12" s="1213">
        <v>0</v>
      </c>
      <c r="N12" s="1214">
        <v>0</v>
      </c>
    </row>
    <row r="13" spans="1:14" ht="22.5" customHeight="1">
      <c r="A13" s="1542"/>
      <c r="B13" s="1545"/>
      <c r="C13" s="1545"/>
      <c r="D13" s="1539"/>
      <c r="E13" s="1539"/>
      <c r="F13" s="1539"/>
      <c r="G13" s="1539"/>
      <c r="H13" s="1536"/>
      <c r="I13" s="1536"/>
      <c r="J13" s="1209" t="s">
        <v>365</v>
      </c>
      <c r="K13" s="1210">
        <v>5155988</v>
      </c>
      <c r="L13" s="1210">
        <v>0</v>
      </c>
      <c r="M13" s="1210">
        <v>0</v>
      </c>
      <c r="N13" s="1211">
        <v>0</v>
      </c>
    </row>
    <row r="14" spans="1:14" ht="22.5" customHeight="1">
      <c r="A14" s="1543"/>
      <c r="B14" s="1546"/>
      <c r="C14" s="1546"/>
      <c r="D14" s="1540"/>
      <c r="E14" s="1540"/>
      <c r="F14" s="1540"/>
      <c r="G14" s="1540"/>
      <c r="H14" s="1537"/>
      <c r="I14" s="1537"/>
      <c r="J14" s="1212" t="s">
        <v>365</v>
      </c>
      <c r="K14" s="1213">
        <v>5120948.68</v>
      </c>
      <c r="L14" s="1213">
        <v>0</v>
      </c>
      <c r="M14" s="1213">
        <v>0</v>
      </c>
      <c r="N14" s="1214">
        <v>0</v>
      </c>
    </row>
    <row r="15" spans="1:14" ht="22.5" customHeight="1">
      <c r="A15" s="1541" t="s">
        <v>1110</v>
      </c>
      <c r="B15" s="1544" t="s">
        <v>867</v>
      </c>
      <c r="C15" s="1544" t="s">
        <v>882</v>
      </c>
      <c r="D15" s="1538" t="s">
        <v>171</v>
      </c>
      <c r="E15" s="1538" t="s">
        <v>1039</v>
      </c>
      <c r="F15" s="1538" t="s">
        <v>991</v>
      </c>
      <c r="G15" s="1538" t="s">
        <v>987</v>
      </c>
      <c r="H15" s="1535">
        <v>1678145.34</v>
      </c>
      <c r="I15" s="1535">
        <v>1678145.34</v>
      </c>
      <c r="J15" s="747" t="s">
        <v>368</v>
      </c>
      <c r="K15" s="1204">
        <f aca="true" t="shared" si="0" ref="K15:N16">SUM(K17,K19,K21)</f>
        <v>257771</v>
      </c>
      <c r="L15" s="1204">
        <f t="shared" si="0"/>
        <v>747225</v>
      </c>
      <c r="M15" s="1204">
        <f t="shared" si="0"/>
        <v>496990</v>
      </c>
      <c r="N15" s="1205">
        <f t="shared" si="0"/>
        <v>176159</v>
      </c>
    </row>
    <row r="16" spans="1:14" ht="22.5" customHeight="1">
      <c r="A16" s="1542"/>
      <c r="B16" s="1545"/>
      <c r="C16" s="1545"/>
      <c r="D16" s="1539"/>
      <c r="E16" s="1539"/>
      <c r="F16" s="1539"/>
      <c r="G16" s="1539"/>
      <c r="H16" s="1536"/>
      <c r="I16" s="1536"/>
      <c r="J16" s="748" t="s">
        <v>369</v>
      </c>
      <c r="K16" s="1034">
        <f t="shared" si="0"/>
        <v>967.02</v>
      </c>
      <c r="L16" s="1034">
        <f t="shared" si="0"/>
        <v>0</v>
      </c>
      <c r="M16" s="1034">
        <f t="shared" si="0"/>
        <v>0</v>
      </c>
      <c r="N16" s="1206">
        <f t="shared" si="0"/>
        <v>0</v>
      </c>
    </row>
    <row r="17" spans="1:14" ht="22.5" customHeight="1">
      <c r="A17" s="1542"/>
      <c r="B17" s="1545"/>
      <c r="C17" s="1545"/>
      <c r="D17" s="1539"/>
      <c r="E17" s="1539"/>
      <c r="F17" s="1539"/>
      <c r="G17" s="1539"/>
      <c r="H17" s="1536"/>
      <c r="I17" s="1536"/>
      <c r="J17" s="1209" t="s">
        <v>363</v>
      </c>
      <c r="K17" s="1210">
        <v>212500</v>
      </c>
      <c r="L17" s="1210">
        <v>557661</v>
      </c>
      <c r="M17" s="1210">
        <v>418713</v>
      </c>
      <c r="N17" s="1211">
        <v>148045</v>
      </c>
    </row>
    <row r="18" spans="1:14" ht="22.5" customHeight="1">
      <c r="A18" s="1542"/>
      <c r="B18" s="1545"/>
      <c r="C18" s="1545"/>
      <c r="D18" s="1539"/>
      <c r="E18" s="1539"/>
      <c r="F18" s="1539"/>
      <c r="G18" s="1539"/>
      <c r="H18" s="1536"/>
      <c r="I18" s="1536"/>
      <c r="J18" s="1212" t="s">
        <v>363</v>
      </c>
      <c r="K18" s="1213">
        <v>821.97</v>
      </c>
      <c r="L18" s="1213">
        <v>0</v>
      </c>
      <c r="M18" s="1213">
        <v>0</v>
      </c>
      <c r="N18" s="1214">
        <v>0</v>
      </c>
    </row>
    <row r="19" spans="1:14" ht="22.5" customHeight="1">
      <c r="A19" s="1542"/>
      <c r="B19" s="1545"/>
      <c r="C19" s="1545"/>
      <c r="D19" s="1539"/>
      <c r="E19" s="1539"/>
      <c r="F19" s="1539"/>
      <c r="G19" s="1539"/>
      <c r="H19" s="1536"/>
      <c r="I19" s="1536"/>
      <c r="J19" s="1209" t="s">
        <v>577</v>
      </c>
      <c r="K19" s="1210">
        <v>7771</v>
      </c>
      <c r="L19" s="1210">
        <v>91153</v>
      </c>
      <c r="M19" s="1210">
        <v>4387</v>
      </c>
      <c r="N19" s="1211">
        <v>1988</v>
      </c>
    </row>
    <row r="20" spans="1:14" ht="22.5" customHeight="1">
      <c r="A20" s="1542"/>
      <c r="B20" s="1545"/>
      <c r="C20" s="1545"/>
      <c r="D20" s="1539"/>
      <c r="E20" s="1539"/>
      <c r="F20" s="1539"/>
      <c r="G20" s="1539"/>
      <c r="H20" s="1536"/>
      <c r="I20" s="1536"/>
      <c r="J20" s="1212" t="s">
        <v>577</v>
      </c>
      <c r="K20" s="1213">
        <v>0</v>
      </c>
      <c r="L20" s="1213">
        <v>0</v>
      </c>
      <c r="M20" s="1213">
        <v>0</v>
      </c>
      <c r="N20" s="1214">
        <v>0</v>
      </c>
    </row>
    <row r="21" spans="1:14" ht="22.5" customHeight="1">
      <c r="A21" s="1542"/>
      <c r="B21" s="1545"/>
      <c r="C21" s="1545"/>
      <c r="D21" s="1539"/>
      <c r="E21" s="1539"/>
      <c r="F21" s="1539"/>
      <c r="G21" s="1539"/>
      <c r="H21" s="1536"/>
      <c r="I21" s="1536"/>
      <c r="J21" s="1209" t="s">
        <v>576</v>
      </c>
      <c r="K21" s="1210">
        <v>37500</v>
      </c>
      <c r="L21" s="1210">
        <v>98411</v>
      </c>
      <c r="M21" s="1210">
        <v>73890</v>
      </c>
      <c r="N21" s="1211">
        <v>26126</v>
      </c>
    </row>
    <row r="22" spans="1:14" ht="22.5" customHeight="1">
      <c r="A22" s="1543"/>
      <c r="B22" s="1546"/>
      <c r="C22" s="1546"/>
      <c r="D22" s="1540"/>
      <c r="E22" s="1540"/>
      <c r="F22" s="1540"/>
      <c r="G22" s="1540"/>
      <c r="H22" s="1537"/>
      <c r="I22" s="1537"/>
      <c r="J22" s="1212" t="s">
        <v>576</v>
      </c>
      <c r="K22" s="1213">
        <v>145.05</v>
      </c>
      <c r="L22" s="1213">
        <v>0</v>
      </c>
      <c r="M22" s="1213">
        <v>0</v>
      </c>
      <c r="N22" s="1214">
        <v>0</v>
      </c>
    </row>
    <row r="23" spans="1:14" ht="22.5" customHeight="1">
      <c r="A23" s="1541" t="s">
        <v>1192</v>
      </c>
      <c r="B23" s="1556" t="s">
        <v>1272</v>
      </c>
      <c r="C23" s="1556" t="s">
        <v>1273</v>
      </c>
      <c r="D23" s="1538" t="s">
        <v>171</v>
      </c>
      <c r="E23" s="1538" t="s">
        <v>172</v>
      </c>
      <c r="F23" s="1538" t="s">
        <v>989</v>
      </c>
      <c r="G23" s="1538" t="s">
        <v>1171</v>
      </c>
      <c r="H23" s="1535">
        <v>240860</v>
      </c>
      <c r="I23" s="1535">
        <v>216774</v>
      </c>
      <c r="J23" s="747" t="s">
        <v>368</v>
      </c>
      <c r="K23" s="1204">
        <f>SUM(K25,K27,K29)</f>
        <v>240860</v>
      </c>
      <c r="L23" s="1204">
        <f>SUM(L25,L27,L30)</f>
        <v>0</v>
      </c>
      <c r="M23" s="1204">
        <f>SUM(M25,M27,M30)</f>
        <v>0</v>
      </c>
      <c r="N23" s="1205">
        <f>SUM(N25,N27,N30)</f>
        <v>0</v>
      </c>
    </row>
    <row r="24" spans="1:14" ht="22.5" customHeight="1">
      <c r="A24" s="1542"/>
      <c r="B24" s="1557"/>
      <c r="C24" s="1545"/>
      <c r="D24" s="1539"/>
      <c r="E24" s="1539"/>
      <c r="F24" s="1539"/>
      <c r="G24" s="1539"/>
      <c r="H24" s="1536"/>
      <c r="I24" s="1536"/>
      <c r="J24" s="748" t="s">
        <v>369</v>
      </c>
      <c r="K24" s="1034">
        <v>240056.02</v>
      </c>
      <c r="L24" s="1034">
        <f>SUM(L26,L28,L30)</f>
        <v>0</v>
      </c>
      <c r="M24" s="1034">
        <f>SUM(M26,M28,M30)</f>
        <v>0</v>
      </c>
      <c r="N24" s="1206">
        <f>SUM(N26,N28,N30)</f>
        <v>0</v>
      </c>
    </row>
    <row r="25" spans="1:14" ht="22.5" customHeight="1">
      <c r="A25" s="1542"/>
      <c r="B25" s="1557"/>
      <c r="C25" s="1545"/>
      <c r="D25" s="1539"/>
      <c r="E25" s="1539"/>
      <c r="F25" s="1539"/>
      <c r="G25" s="1539"/>
      <c r="H25" s="1536"/>
      <c r="I25" s="1536"/>
      <c r="J25" s="1209" t="s">
        <v>363</v>
      </c>
      <c r="K25" s="1210">
        <v>204731</v>
      </c>
      <c r="L25" s="1210">
        <v>0</v>
      </c>
      <c r="M25" s="1210">
        <v>0</v>
      </c>
      <c r="N25" s="1211">
        <v>0</v>
      </c>
    </row>
    <row r="26" spans="1:14" ht="22.5" customHeight="1">
      <c r="A26" s="1542"/>
      <c r="B26" s="1557"/>
      <c r="C26" s="1545"/>
      <c r="D26" s="1539"/>
      <c r="E26" s="1539"/>
      <c r="F26" s="1539"/>
      <c r="G26" s="1539"/>
      <c r="H26" s="1536"/>
      <c r="I26" s="1536"/>
      <c r="J26" s="1212" t="s">
        <v>363</v>
      </c>
      <c r="K26" s="1213">
        <v>204047.61</v>
      </c>
      <c r="L26" s="1213">
        <v>0</v>
      </c>
      <c r="M26" s="1213">
        <v>0</v>
      </c>
      <c r="N26" s="1214">
        <v>0</v>
      </c>
    </row>
    <row r="27" spans="1:14" ht="22.5" customHeight="1">
      <c r="A27" s="1542"/>
      <c r="B27" s="1557"/>
      <c r="C27" s="1545"/>
      <c r="D27" s="1539"/>
      <c r="E27" s="1539"/>
      <c r="F27" s="1539"/>
      <c r="G27" s="1539"/>
      <c r="H27" s="1536"/>
      <c r="I27" s="1536"/>
      <c r="J27" s="1209" t="s">
        <v>364</v>
      </c>
      <c r="K27" s="1210">
        <v>0</v>
      </c>
      <c r="L27" s="1210">
        <v>0</v>
      </c>
      <c r="M27" s="1210">
        <v>0</v>
      </c>
      <c r="N27" s="1211">
        <v>0</v>
      </c>
    </row>
    <row r="28" spans="1:14" ht="22.5" customHeight="1">
      <c r="A28" s="1542"/>
      <c r="B28" s="1557"/>
      <c r="C28" s="1545"/>
      <c r="D28" s="1539"/>
      <c r="E28" s="1539"/>
      <c r="F28" s="1539"/>
      <c r="G28" s="1539"/>
      <c r="H28" s="1536"/>
      <c r="I28" s="1536"/>
      <c r="J28" s="1212" t="s">
        <v>364</v>
      </c>
      <c r="K28" s="1213">
        <v>0</v>
      </c>
      <c r="L28" s="1213">
        <v>0</v>
      </c>
      <c r="M28" s="1213">
        <v>0</v>
      </c>
      <c r="N28" s="1214">
        <v>0</v>
      </c>
    </row>
    <row r="29" spans="1:14" ht="22.5" customHeight="1">
      <c r="A29" s="1542"/>
      <c r="B29" s="1557"/>
      <c r="C29" s="1545"/>
      <c r="D29" s="1539"/>
      <c r="E29" s="1539"/>
      <c r="F29" s="1539"/>
      <c r="G29" s="1539"/>
      <c r="H29" s="1536"/>
      <c r="I29" s="1536"/>
      <c r="J29" s="1209" t="s">
        <v>365</v>
      </c>
      <c r="K29" s="1210">
        <v>36129</v>
      </c>
      <c r="L29" s="1210">
        <v>0</v>
      </c>
      <c r="M29" s="1210">
        <v>0</v>
      </c>
      <c r="N29" s="1211">
        <v>0</v>
      </c>
    </row>
    <row r="30" spans="1:14" ht="22.5" customHeight="1">
      <c r="A30" s="1543"/>
      <c r="B30" s="1558"/>
      <c r="C30" s="1546"/>
      <c r="D30" s="1540"/>
      <c r="E30" s="1540"/>
      <c r="F30" s="1540"/>
      <c r="G30" s="1540"/>
      <c r="H30" s="1537"/>
      <c r="I30" s="1537"/>
      <c r="J30" s="1212" t="s">
        <v>365</v>
      </c>
      <c r="K30" s="1213">
        <v>36008.41</v>
      </c>
      <c r="L30" s="1213">
        <v>0</v>
      </c>
      <c r="M30" s="1213">
        <v>0</v>
      </c>
      <c r="N30" s="1214">
        <v>0</v>
      </c>
    </row>
    <row r="31" spans="1:14" ht="22.5" customHeight="1">
      <c r="A31" s="1541" t="s">
        <v>1199</v>
      </c>
      <c r="B31" s="1544" t="s">
        <v>904</v>
      </c>
      <c r="C31" s="1544" t="s">
        <v>409</v>
      </c>
      <c r="D31" s="1538" t="s">
        <v>171</v>
      </c>
      <c r="E31" s="1538" t="s">
        <v>173</v>
      </c>
      <c r="F31" s="1538" t="s">
        <v>990</v>
      </c>
      <c r="G31" s="1538" t="s">
        <v>1274</v>
      </c>
      <c r="H31" s="1535">
        <f>239157+39985</f>
        <v>279142</v>
      </c>
      <c r="I31" s="1535">
        <v>279142</v>
      </c>
      <c r="J31" s="747" t="s">
        <v>368</v>
      </c>
      <c r="K31" s="1204">
        <f aca="true" t="shared" si="1" ref="K31:N32">SUM(K33,K35,K37)</f>
        <v>90912</v>
      </c>
      <c r="L31" s="1204">
        <f t="shared" si="1"/>
        <v>94115</v>
      </c>
      <c r="M31" s="1204">
        <f t="shared" si="1"/>
        <v>94115</v>
      </c>
      <c r="N31" s="1205">
        <f t="shared" si="1"/>
        <v>0</v>
      </c>
    </row>
    <row r="32" spans="1:14" ht="22.5" customHeight="1">
      <c r="A32" s="1542"/>
      <c r="B32" s="1545"/>
      <c r="C32" s="1545"/>
      <c r="D32" s="1539"/>
      <c r="E32" s="1539"/>
      <c r="F32" s="1539"/>
      <c r="G32" s="1539"/>
      <c r="H32" s="1536"/>
      <c r="I32" s="1536"/>
      <c r="J32" s="748" t="s">
        <v>369</v>
      </c>
      <c r="K32" s="1034">
        <f t="shared" si="1"/>
        <v>79778.11</v>
      </c>
      <c r="L32" s="1034">
        <f t="shared" si="1"/>
        <v>0</v>
      </c>
      <c r="M32" s="1034">
        <f t="shared" si="1"/>
        <v>0</v>
      </c>
      <c r="N32" s="1206">
        <f t="shared" si="1"/>
        <v>0</v>
      </c>
    </row>
    <row r="33" spans="1:14" ht="22.5" customHeight="1">
      <c r="A33" s="1542"/>
      <c r="B33" s="1545"/>
      <c r="C33" s="1545"/>
      <c r="D33" s="1539"/>
      <c r="E33" s="1539"/>
      <c r="F33" s="1539"/>
      <c r="G33" s="1539"/>
      <c r="H33" s="1536"/>
      <c r="I33" s="1536"/>
      <c r="J33" s="1209" t="s">
        <v>363</v>
      </c>
      <c r="K33" s="1210">
        <v>65583</v>
      </c>
      <c r="L33" s="1210">
        <v>86787</v>
      </c>
      <c r="M33" s="1210">
        <v>86787</v>
      </c>
      <c r="N33" s="1211">
        <v>0</v>
      </c>
    </row>
    <row r="34" spans="1:14" ht="22.5" customHeight="1">
      <c r="A34" s="1542"/>
      <c r="B34" s="1545"/>
      <c r="C34" s="1545"/>
      <c r="D34" s="1539"/>
      <c r="E34" s="1539"/>
      <c r="F34" s="1539"/>
      <c r="G34" s="1539"/>
      <c r="H34" s="1536"/>
      <c r="I34" s="1536"/>
      <c r="J34" s="1212" t="s">
        <v>363</v>
      </c>
      <c r="K34" s="1213">
        <v>57122.47</v>
      </c>
      <c r="L34" s="1213">
        <v>0</v>
      </c>
      <c r="M34" s="1213">
        <v>0</v>
      </c>
      <c r="N34" s="1214">
        <v>0</v>
      </c>
    </row>
    <row r="35" spans="1:14" ht="22.5" customHeight="1">
      <c r="A35" s="1542"/>
      <c r="B35" s="1545"/>
      <c r="C35" s="1545"/>
      <c r="D35" s="1539"/>
      <c r="E35" s="1539"/>
      <c r="F35" s="1539"/>
      <c r="G35" s="1539"/>
      <c r="H35" s="1536"/>
      <c r="I35" s="1536"/>
      <c r="J35" s="1209" t="s">
        <v>364</v>
      </c>
      <c r="K35" s="1210">
        <v>0</v>
      </c>
      <c r="L35" s="1210">
        <v>0</v>
      </c>
      <c r="M35" s="1210">
        <v>0</v>
      </c>
      <c r="N35" s="1211">
        <v>0</v>
      </c>
    </row>
    <row r="36" spans="1:14" ht="22.5" customHeight="1">
      <c r="A36" s="1542"/>
      <c r="B36" s="1545"/>
      <c r="C36" s="1545"/>
      <c r="D36" s="1539"/>
      <c r="E36" s="1539"/>
      <c r="F36" s="1539"/>
      <c r="G36" s="1539"/>
      <c r="H36" s="1536"/>
      <c r="I36" s="1536"/>
      <c r="J36" s="1212" t="s">
        <v>364</v>
      </c>
      <c r="K36" s="1213">
        <v>0</v>
      </c>
      <c r="L36" s="1213">
        <v>0</v>
      </c>
      <c r="M36" s="1213">
        <v>0</v>
      </c>
      <c r="N36" s="1214">
        <v>0</v>
      </c>
    </row>
    <row r="37" spans="1:14" ht="22.5" customHeight="1">
      <c r="A37" s="1542"/>
      <c r="B37" s="1545"/>
      <c r="C37" s="1545"/>
      <c r="D37" s="1539"/>
      <c r="E37" s="1539"/>
      <c r="F37" s="1539"/>
      <c r="G37" s="1539"/>
      <c r="H37" s="1536"/>
      <c r="I37" s="1536"/>
      <c r="J37" s="1209" t="s">
        <v>228</v>
      </c>
      <c r="K37" s="1210">
        <v>25329</v>
      </c>
      <c r="L37" s="1210">
        <v>7328</v>
      </c>
      <c r="M37" s="1210">
        <v>7328</v>
      </c>
      <c r="N37" s="1211">
        <v>0</v>
      </c>
    </row>
    <row r="38" spans="1:14" ht="22.5" customHeight="1">
      <c r="A38" s="1543"/>
      <c r="B38" s="1546"/>
      <c r="C38" s="1546"/>
      <c r="D38" s="1540"/>
      <c r="E38" s="1540"/>
      <c r="F38" s="1540"/>
      <c r="G38" s="1540"/>
      <c r="H38" s="1537"/>
      <c r="I38" s="1537"/>
      <c r="J38" s="1212" t="s">
        <v>228</v>
      </c>
      <c r="K38" s="1213">
        <v>22655.64</v>
      </c>
      <c r="L38" s="1213">
        <v>0</v>
      </c>
      <c r="M38" s="1213">
        <v>0</v>
      </c>
      <c r="N38" s="1214">
        <v>0</v>
      </c>
    </row>
    <row r="39" spans="1:14" ht="22.5" customHeight="1">
      <c r="A39" s="1541" t="s">
        <v>1200</v>
      </c>
      <c r="B39" s="1544" t="s">
        <v>904</v>
      </c>
      <c r="C39" s="1544" t="s">
        <v>409</v>
      </c>
      <c r="D39" s="1538" t="s">
        <v>171</v>
      </c>
      <c r="E39" s="1538" t="s">
        <v>906</v>
      </c>
      <c r="F39" s="1538" t="s">
        <v>229</v>
      </c>
      <c r="G39" s="1538" t="s">
        <v>736</v>
      </c>
      <c r="H39" s="1535">
        <v>1052234</v>
      </c>
      <c r="I39" s="1535">
        <v>1052234</v>
      </c>
      <c r="J39" s="747" t="s">
        <v>368</v>
      </c>
      <c r="K39" s="1204">
        <f aca="true" t="shared" si="2" ref="K39:N40">SUM(K41,K43,K45)</f>
        <v>307685</v>
      </c>
      <c r="L39" s="1204">
        <f t="shared" si="2"/>
        <v>744549</v>
      </c>
      <c r="M39" s="1204">
        <f t="shared" si="2"/>
        <v>0</v>
      </c>
      <c r="N39" s="1205">
        <f t="shared" si="2"/>
        <v>0</v>
      </c>
    </row>
    <row r="40" spans="1:14" ht="22.5" customHeight="1">
      <c r="A40" s="1542"/>
      <c r="B40" s="1545"/>
      <c r="C40" s="1545"/>
      <c r="D40" s="1539"/>
      <c r="E40" s="1539"/>
      <c r="F40" s="1539"/>
      <c r="G40" s="1539"/>
      <c r="H40" s="1536"/>
      <c r="I40" s="1536"/>
      <c r="J40" s="748" t="s">
        <v>369</v>
      </c>
      <c r="K40" s="1034">
        <f t="shared" si="2"/>
        <v>307684.41000000003</v>
      </c>
      <c r="L40" s="1034">
        <f t="shared" si="2"/>
        <v>0</v>
      </c>
      <c r="M40" s="1034">
        <f t="shared" si="2"/>
        <v>0</v>
      </c>
      <c r="N40" s="1206">
        <f t="shared" si="2"/>
        <v>0</v>
      </c>
    </row>
    <row r="41" spans="1:14" ht="22.5" customHeight="1">
      <c r="A41" s="1542"/>
      <c r="B41" s="1545"/>
      <c r="C41" s="1545"/>
      <c r="D41" s="1539"/>
      <c r="E41" s="1539"/>
      <c r="F41" s="1539"/>
      <c r="G41" s="1539"/>
      <c r="H41" s="1536"/>
      <c r="I41" s="1536"/>
      <c r="J41" s="1209" t="s">
        <v>363</v>
      </c>
      <c r="K41" s="1210">
        <v>261532</v>
      </c>
      <c r="L41" s="1210">
        <v>632867</v>
      </c>
      <c r="M41" s="1210">
        <v>0</v>
      </c>
      <c r="N41" s="1211">
        <v>0</v>
      </c>
    </row>
    <row r="42" spans="1:14" ht="22.5" customHeight="1">
      <c r="A42" s="1542"/>
      <c r="B42" s="1545"/>
      <c r="C42" s="1545"/>
      <c r="D42" s="1539"/>
      <c r="E42" s="1539"/>
      <c r="F42" s="1539"/>
      <c r="G42" s="1539"/>
      <c r="H42" s="1536"/>
      <c r="I42" s="1536"/>
      <c r="J42" s="1212" t="s">
        <v>363</v>
      </c>
      <c r="K42" s="1213">
        <v>261531.75</v>
      </c>
      <c r="L42" s="1213">
        <v>0</v>
      </c>
      <c r="M42" s="1213">
        <v>0</v>
      </c>
      <c r="N42" s="1214">
        <v>0</v>
      </c>
    </row>
    <row r="43" spans="1:14" ht="22.5" customHeight="1">
      <c r="A43" s="1542"/>
      <c r="B43" s="1545"/>
      <c r="C43" s="1545"/>
      <c r="D43" s="1539"/>
      <c r="E43" s="1539"/>
      <c r="F43" s="1539"/>
      <c r="G43" s="1539"/>
      <c r="H43" s="1536"/>
      <c r="I43" s="1536"/>
      <c r="J43" s="1209" t="s">
        <v>364</v>
      </c>
      <c r="K43" s="1210">
        <v>46153</v>
      </c>
      <c r="L43" s="1210">
        <v>111682</v>
      </c>
      <c r="M43" s="1210"/>
      <c r="N43" s="1211"/>
    </row>
    <row r="44" spans="1:14" ht="22.5" customHeight="1">
      <c r="A44" s="1542"/>
      <c r="B44" s="1545"/>
      <c r="C44" s="1545"/>
      <c r="D44" s="1539"/>
      <c r="E44" s="1539"/>
      <c r="F44" s="1539"/>
      <c r="G44" s="1539"/>
      <c r="H44" s="1536"/>
      <c r="I44" s="1536"/>
      <c r="J44" s="1212" t="s">
        <v>364</v>
      </c>
      <c r="K44" s="1213">
        <v>46152.66</v>
      </c>
      <c r="L44" s="1213">
        <v>0</v>
      </c>
      <c r="M44" s="1213">
        <v>0</v>
      </c>
      <c r="N44" s="1214">
        <v>0</v>
      </c>
    </row>
    <row r="45" spans="1:14" ht="22.5" customHeight="1">
      <c r="A45" s="1542"/>
      <c r="B45" s="1545"/>
      <c r="C45" s="1545"/>
      <c r="D45" s="1539"/>
      <c r="E45" s="1539"/>
      <c r="F45" s="1539"/>
      <c r="G45" s="1539"/>
      <c r="H45" s="1536"/>
      <c r="I45" s="1536"/>
      <c r="J45" s="1209" t="s">
        <v>365</v>
      </c>
      <c r="K45" s="1210">
        <v>0</v>
      </c>
      <c r="L45" s="1210">
        <v>0</v>
      </c>
      <c r="M45" s="1210">
        <v>0</v>
      </c>
      <c r="N45" s="1211">
        <v>0</v>
      </c>
    </row>
    <row r="46" spans="1:14" ht="22.5" customHeight="1">
      <c r="A46" s="1543"/>
      <c r="B46" s="1546"/>
      <c r="C46" s="1546"/>
      <c r="D46" s="1540"/>
      <c r="E46" s="1540"/>
      <c r="F46" s="1540"/>
      <c r="G46" s="1540"/>
      <c r="H46" s="1537"/>
      <c r="I46" s="1537"/>
      <c r="J46" s="1212" t="s">
        <v>365</v>
      </c>
      <c r="K46" s="1213">
        <v>0</v>
      </c>
      <c r="L46" s="1213">
        <v>0</v>
      </c>
      <c r="M46" s="1213">
        <v>0</v>
      </c>
      <c r="N46" s="1214">
        <v>0</v>
      </c>
    </row>
    <row r="47" spans="1:14" ht="22.5" customHeight="1">
      <c r="A47" s="1541" t="s">
        <v>1201</v>
      </c>
      <c r="B47" s="1544" t="s">
        <v>976</v>
      </c>
      <c r="C47" s="1544" t="s">
        <v>430</v>
      </c>
      <c r="D47" s="1538" t="s">
        <v>992</v>
      </c>
      <c r="E47" s="1538" t="s">
        <v>366</v>
      </c>
      <c r="F47" s="1538" t="s">
        <v>988</v>
      </c>
      <c r="G47" s="1538" t="s">
        <v>362</v>
      </c>
      <c r="H47" s="1535">
        <v>5742270</v>
      </c>
      <c r="I47" s="1535">
        <v>5061846</v>
      </c>
      <c r="J47" s="747" t="s">
        <v>368</v>
      </c>
      <c r="K47" s="1204">
        <f>SUM(K49,K51,K53)</f>
        <v>3285000</v>
      </c>
      <c r="L47" s="1204">
        <f>SUM(L49,L51,L54)</f>
        <v>0</v>
      </c>
      <c r="M47" s="1204">
        <f>SUM(M49,M51,M54)</f>
        <v>0</v>
      </c>
      <c r="N47" s="1205">
        <f>SUM(N49,N51,N54)</f>
        <v>0</v>
      </c>
    </row>
    <row r="48" spans="1:14" ht="22.5" customHeight="1">
      <c r="A48" s="1542"/>
      <c r="B48" s="1545"/>
      <c r="C48" s="1545"/>
      <c r="D48" s="1539"/>
      <c r="E48" s="1539"/>
      <c r="F48" s="1539"/>
      <c r="G48" s="1539"/>
      <c r="H48" s="1536"/>
      <c r="I48" s="1536"/>
      <c r="J48" s="748" t="s">
        <v>369</v>
      </c>
      <c r="K48" s="1034">
        <f>SUM(K50,K52,K54)</f>
        <v>3050466.4499999997</v>
      </c>
      <c r="L48" s="1034">
        <f>SUM(L50,L52,L54)</f>
        <v>0</v>
      </c>
      <c r="M48" s="1034">
        <f>SUM(M50,M52,M54)</f>
        <v>0</v>
      </c>
      <c r="N48" s="1206">
        <f>SUM(N50,N52,N54)</f>
        <v>0</v>
      </c>
    </row>
    <row r="49" spans="1:14" ht="22.5" customHeight="1">
      <c r="A49" s="1542"/>
      <c r="B49" s="1545"/>
      <c r="C49" s="1545"/>
      <c r="D49" s="1539"/>
      <c r="E49" s="1539"/>
      <c r="F49" s="1539"/>
      <c r="G49" s="1539"/>
      <c r="H49" s="1536"/>
      <c r="I49" s="1536"/>
      <c r="J49" s="1209" t="s">
        <v>363</v>
      </c>
      <c r="K49" s="1210">
        <v>670000</v>
      </c>
      <c r="L49" s="1210">
        <v>0</v>
      </c>
      <c r="M49" s="1210">
        <v>0</v>
      </c>
      <c r="N49" s="1211">
        <v>0</v>
      </c>
    </row>
    <row r="50" spans="1:14" ht="22.5" customHeight="1">
      <c r="A50" s="1542"/>
      <c r="B50" s="1545"/>
      <c r="C50" s="1545"/>
      <c r="D50" s="1539"/>
      <c r="E50" s="1539"/>
      <c r="F50" s="1539"/>
      <c r="G50" s="1539"/>
      <c r="H50" s="1536"/>
      <c r="I50" s="1536"/>
      <c r="J50" s="1212" t="s">
        <v>363</v>
      </c>
      <c r="K50" s="1213">
        <v>665893.86</v>
      </c>
      <c r="L50" s="1213">
        <v>0</v>
      </c>
      <c r="M50" s="1213">
        <v>0</v>
      </c>
      <c r="N50" s="1214">
        <v>0</v>
      </c>
    </row>
    <row r="51" spans="1:14" ht="22.5" customHeight="1">
      <c r="A51" s="1542"/>
      <c r="B51" s="1545"/>
      <c r="C51" s="1545"/>
      <c r="D51" s="1539"/>
      <c r="E51" s="1539"/>
      <c r="F51" s="1539"/>
      <c r="G51" s="1539"/>
      <c r="H51" s="1536"/>
      <c r="I51" s="1536"/>
      <c r="J51" s="1209" t="s">
        <v>364</v>
      </c>
      <c r="K51" s="1210">
        <v>2339000</v>
      </c>
      <c r="L51" s="1210">
        <v>0</v>
      </c>
      <c r="M51" s="1210">
        <v>0</v>
      </c>
      <c r="N51" s="1211">
        <v>0</v>
      </c>
    </row>
    <row r="52" spans="1:14" ht="22.5" customHeight="1">
      <c r="A52" s="1542"/>
      <c r="B52" s="1545"/>
      <c r="C52" s="1545"/>
      <c r="D52" s="1539"/>
      <c r="E52" s="1539"/>
      <c r="F52" s="1539"/>
      <c r="G52" s="1539"/>
      <c r="H52" s="1536"/>
      <c r="I52" s="1536"/>
      <c r="J52" s="1212" t="s">
        <v>364</v>
      </c>
      <c r="K52" s="1213">
        <v>2108572.59</v>
      </c>
      <c r="L52" s="1213">
        <v>0</v>
      </c>
      <c r="M52" s="1213">
        <v>0</v>
      </c>
      <c r="N52" s="1214">
        <v>0</v>
      </c>
    </row>
    <row r="53" spans="1:14" ht="22.5" customHeight="1">
      <c r="A53" s="1542"/>
      <c r="B53" s="1545"/>
      <c r="C53" s="1545"/>
      <c r="D53" s="1539"/>
      <c r="E53" s="1539"/>
      <c r="F53" s="1539"/>
      <c r="G53" s="1539"/>
      <c r="H53" s="1536"/>
      <c r="I53" s="1536"/>
      <c r="J53" s="1209" t="s">
        <v>370</v>
      </c>
      <c r="K53" s="1210">
        <v>276000</v>
      </c>
      <c r="L53" s="1210">
        <v>0</v>
      </c>
      <c r="M53" s="1210">
        <v>0</v>
      </c>
      <c r="N53" s="1211">
        <v>0</v>
      </c>
    </row>
    <row r="54" spans="1:14" ht="22.5" customHeight="1" thickBot="1">
      <c r="A54" s="1553"/>
      <c r="B54" s="1554"/>
      <c r="C54" s="1554"/>
      <c r="D54" s="1555"/>
      <c r="E54" s="1555"/>
      <c r="F54" s="1540"/>
      <c r="G54" s="1555"/>
      <c r="H54" s="1569"/>
      <c r="I54" s="1569"/>
      <c r="J54" s="1215" t="s">
        <v>370</v>
      </c>
      <c r="K54" s="1216">
        <v>276000</v>
      </c>
      <c r="L54" s="1216">
        <v>0</v>
      </c>
      <c r="M54" s="1216">
        <v>0</v>
      </c>
      <c r="N54" s="1217">
        <v>0</v>
      </c>
    </row>
    <row r="55" spans="1:14" ht="22.5" customHeight="1" thickTop="1">
      <c r="A55" s="1547" t="s">
        <v>78</v>
      </c>
      <c r="B55" s="1548"/>
      <c r="C55" s="1548"/>
      <c r="D55" s="1548"/>
      <c r="E55" s="1548"/>
      <c r="F55" s="1548"/>
      <c r="G55" s="1548"/>
      <c r="H55" s="1548"/>
      <c r="I55" s="1549"/>
      <c r="J55" s="1202" t="s">
        <v>79</v>
      </c>
      <c r="K55" s="1207">
        <f aca="true" t="shared" si="3" ref="K55:N56">SUM(K7,K15,K23,K31,K39,K47)</f>
        <v>23678148</v>
      </c>
      <c r="L55" s="1207">
        <f t="shared" si="3"/>
        <v>1585889</v>
      </c>
      <c r="M55" s="1207">
        <f t="shared" si="3"/>
        <v>591105</v>
      </c>
      <c r="N55" s="1207">
        <f t="shared" si="3"/>
        <v>176159</v>
      </c>
    </row>
    <row r="56" spans="1:14" s="306" customFormat="1" ht="22.5" customHeight="1" thickBot="1">
      <c r="A56" s="1550"/>
      <c r="B56" s="1551"/>
      <c r="C56" s="1551"/>
      <c r="D56" s="1551"/>
      <c r="E56" s="1551"/>
      <c r="F56" s="1551"/>
      <c r="G56" s="1551"/>
      <c r="H56" s="1551"/>
      <c r="I56" s="1552"/>
      <c r="J56" s="1203" t="s">
        <v>80</v>
      </c>
      <c r="K56" s="1208">
        <f t="shared" si="3"/>
        <v>23019534.549999997</v>
      </c>
      <c r="L56" s="1208">
        <f t="shared" si="3"/>
        <v>0</v>
      </c>
      <c r="M56" s="1208">
        <f t="shared" si="3"/>
        <v>0</v>
      </c>
      <c r="N56" s="1208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mergeCells count="67">
    <mergeCell ref="F47:F54"/>
    <mergeCell ref="F4:F5"/>
    <mergeCell ref="F7:F14"/>
    <mergeCell ref="F23:F30"/>
    <mergeCell ref="F31:F38"/>
    <mergeCell ref="E15:E22"/>
    <mergeCell ref="G15:G22"/>
    <mergeCell ref="H15:H22"/>
    <mergeCell ref="I15:I22"/>
    <mergeCell ref="F15:F22"/>
    <mergeCell ref="A15:A22"/>
    <mergeCell ref="B15:B22"/>
    <mergeCell ref="C15:C22"/>
    <mergeCell ref="D15:D22"/>
    <mergeCell ref="H23:H30"/>
    <mergeCell ref="I23:I30"/>
    <mergeCell ref="A31:A38"/>
    <mergeCell ref="B31:B38"/>
    <mergeCell ref="C31:C38"/>
    <mergeCell ref="D31:D38"/>
    <mergeCell ref="E31:E38"/>
    <mergeCell ref="G31:G38"/>
    <mergeCell ref="H31:H38"/>
    <mergeCell ref="I31:I38"/>
    <mergeCell ref="C23:C30"/>
    <mergeCell ref="D23:D30"/>
    <mergeCell ref="E23:E30"/>
    <mergeCell ref="G23:G30"/>
    <mergeCell ref="A4:A5"/>
    <mergeCell ref="A7:A14"/>
    <mergeCell ref="B7:B14"/>
    <mergeCell ref="I47:I54"/>
    <mergeCell ref="E7:E14"/>
    <mergeCell ref="G7:G14"/>
    <mergeCell ref="H7:H14"/>
    <mergeCell ref="E47:E54"/>
    <mergeCell ref="G47:G54"/>
    <mergeCell ref="H47:H54"/>
    <mergeCell ref="C4:C5"/>
    <mergeCell ref="I4:I5"/>
    <mergeCell ref="A2:N2"/>
    <mergeCell ref="E4:E5"/>
    <mergeCell ref="G4:G5"/>
    <mergeCell ref="J4:J5"/>
    <mergeCell ref="K4:N4"/>
    <mergeCell ref="H4:H5"/>
    <mergeCell ref="D4:D5"/>
    <mergeCell ref="B4:B5"/>
    <mergeCell ref="I7:I14"/>
    <mergeCell ref="A55:I56"/>
    <mergeCell ref="C7:C14"/>
    <mergeCell ref="D7:D14"/>
    <mergeCell ref="A47:A54"/>
    <mergeCell ref="B47:B54"/>
    <mergeCell ref="C47:C54"/>
    <mergeCell ref="D47:D54"/>
    <mergeCell ref="A23:A30"/>
    <mergeCell ref="B23:B30"/>
    <mergeCell ref="A39:A46"/>
    <mergeCell ref="B39:B46"/>
    <mergeCell ref="C39:C46"/>
    <mergeCell ref="D39:D46"/>
    <mergeCell ref="I39:I46"/>
    <mergeCell ref="E39:E46"/>
    <mergeCell ref="F39:F46"/>
    <mergeCell ref="G39:G46"/>
    <mergeCell ref="H39:H46"/>
  </mergeCells>
  <printOptions/>
  <pageMargins left="0.7874015748031497" right="0.3937007874015748" top="0.7874015748031497" bottom="0.5905511811023623" header="0.5118110236220472" footer="0.31496062992125984"/>
  <pageSetup horizontalDpi="600" verticalDpi="600" orientation="landscape" paperSize="9" r:id="rId1"/>
  <rowBreaks count="1" manualBreakCount="1">
    <brk id="38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86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C72" sqref="C72"/>
    </sheetView>
  </sheetViews>
  <sheetFormatPr defaultColWidth="9.00390625" defaultRowHeight="12.75"/>
  <cols>
    <col min="1" max="1" width="4.00390625" style="440" customWidth="1"/>
    <col min="2" max="2" width="8.625" style="440" customWidth="1"/>
    <col min="3" max="3" width="87.875" style="440" customWidth="1"/>
    <col min="4" max="4" width="13.00390625" style="440" customWidth="1"/>
    <col min="5" max="5" width="12.375" style="440" customWidth="1"/>
    <col min="6" max="6" width="5.75390625" style="440" customWidth="1"/>
    <col min="7" max="7" width="9.125" style="441" customWidth="1"/>
    <col min="8" max="16384" width="9.125" style="440" customWidth="1"/>
  </cols>
  <sheetData>
    <row r="1" spans="5:6" ht="12.75">
      <c r="E1" s="1570" t="s">
        <v>586</v>
      </c>
      <c r="F1" s="1570"/>
    </row>
    <row r="2" ht="19.5" customHeight="1">
      <c r="F2" s="1248"/>
    </row>
    <row r="3" spans="1:7" s="420" customFormat="1" ht="15" customHeight="1">
      <c r="A3" s="1563" t="s">
        <v>741</v>
      </c>
      <c r="B3" s="1563"/>
      <c r="C3" s="1563"/>
      <c r="D3" s="1563"/>
      <c r="E3" s="1563"/>
      <c r="F3" s="1563"/>
      <c r="G3" s="439"/>
    </row>
    <row r="4" spans="3:6" ht="13.5" customHeight="1" thickBot="1">
      <c r="C4" s="438"/>
      <c r="F4" s="1249" t="s">
        <v>833</v>
      </c>
    </row>
    <row r="5" spans="1:7" s="709" customFormat="1" ht="25.5" customHeight="1">
      <c r="A5" s="707" t="s">
        <v>1106</v>
      </c>
      <c r="B5" s="613" t="s">
        <v>834</v>
      </c>
      <c r="C5" s="613" t="s">
        <v>121</v>
      </c>
      <c r="D5" s="613" t="s">
        <v>836</v>
      </c>
      <c r="E5" s="613" t="s">
        <v>837</v>
      </c>
      <c r="F5" s="614" t="s">
        <v>838</v>
      </c>
      <c r="G5" s="708"/>
    </row>
    <row r="6" spans="1:7" s="709" customFormat="1" ht="12" customHeight="1" thickBot="1">
      <c r="A6" s="710">
        <v>1</v>
      </c>
      <c r="B6" s="711">
        <v>2</v>
      </c>
      <c r="C6" s="711">
        <v>3</v>
      </c>
      <c r="D6" s="711">
        <v>4</v>
      </c>
      <c r="E6" s="711">
        <v>5</v>
      </c>
      <c r="F6" s="712">
        <v>6</v>
      </c>
      <c r="G6" s="708"/>
    </row>
    <row r="7" spans="1:7" s="438" customFormat="1" ht="24.75" customHeight="1">
      <c r="A7" s="1571" t="s">
        <v>845</v>
      </c>
      <c r="B7" s="1572"/>
      <c r="C7" s="1573"/>
      <c r="D7" s="1242">
        <f>SUM(D8,D9,D10,D11,D12,D13,D14,D15,D16,D17,D18,D19,D22,D23,D24,D27,D28,D29,D30,D31,D32,D35,D38,D41)</f>
        <v>39936170</v>
      </c>
      <c r="E7" s="1242">
        <f>SUM(E8,E9,E10,E11,E12,E13,E14,E15,E16,E17,E18,E19,E22,E23,E24,E27,E28,E29,E30,E31,E32,E35,E38,E41)</f>
        <v>37176641.06</v>
      </c>
      <c r="F7" s="1243">
        <f aca="true" t="shared" si="0" ref="F7:F36">E7/D7*100</f>
        <v>93.09015125887134</v>
      </c>
      <c r="G7" s="437"/>
    </row>
    <row r="8" spans="1:6" ht="32.25" customHeight="1">
      <c r="A8" s="1250" t="s">
        <v>1109</v>
      </c>
      <c r="B8" s="692" t="s">
        <v>875</v>
      </c>
      <c r="C8" s="467" t="s">
        <v>119</v>
      </c>
      <c r="D8" s="1251">
        <v>700000</v>
      </c>
      <c r="E8" s="1251">
        <v>677414.84</v>
      </c>
      <c r="F8" s="1224">
        <f t="shared" si="0"/>
        <v>96.77354857142856</v>
      </c>
    </row>
    <row r="9" spans="1:6" ht="22.5" customHeight="1">
      <c r="A9" s="689" t="s">
        <v>1110</v>
      </c>
      <c r="B9" s="690" t="s">
        <v>846</v>
      </c>
      <c r="C9" s="691" t="s">
        <v>590</v>
      </c>
      <c r="D9" s="1220">
        <v>1035500</v>
      </c>
      <c r="E9" s="1221">
        <v>1035500</v>
      </c>
      <c r="F9" s="1222">
        <f t="shared" si="0"/>
        <v>100</v>
      </c>
    </row>
    <row r="10" spans="1:6" ht="22.5" customHeight="1">
      <c r="A10" s="689" t="s">
        <v>1192</v>
      </c>
      <c r="B10" s="690" t="s">
        <v>846</v>
      </c>
      <c r="C10" s="473" t="s">
        <v>679</v>
      </c>
      <c r="D10" s="1220">
        <v>30000</v>
      </c>
      <c r="E10" s="1221">
        <v>24400</v>
      </c>
      <c r="F10" s="1222">
        <f t="shared" si="0"/>
        <v>81.33333333333333</v>
      </c>
    </row>
    <row r="11" spans="1:6" ht="22.5" customHeight="1">
      <c r="A11" s="689" t="s">
        <v>1199</v>
      </c>
      <c r="B11" s="692" t="s">
        <v>846</v>
      </c>
      <c r="C11" s="50" t="s">
        <v>948</v>
      </c>
      <c r="D11" s="1223">
        <v>100000</v>
      </c>
      <c r="E11" s="1223">
        <v>78144.36</v>
      </c>
      <c r="F11" s="1224">
        <f t="shared" si="0"/>
        <v>78.14436</v>
      </c>
    </row>
    <row r="12" spans="1:6" ht="30" customHeight="1">
      <c r="A12" s="717" t="s">
        <v>1200</v>
      </c>
      <c r="B12" s="718" t="s">
        <v>846</v>
      </c>
      <c r="C12" s="1252" t="s">
        <v>120</v>
      </c>
      <c r="D12" s="1225">
        <v>1388500</v>
      </c>
      <c r="E12" s="1225">
        <v>1387498.89</v>
      </c>
      <c r="F12" s="1226">
        <f t="shared" si="0"/>
        <v>99.92789989196974</v>
      </c>
    </row>
    <row r="13" spans="1:6" ht="22.5" customHeight="1">
      <c r="A13" s="689" t="s">
        <v>1201</v>
      </c>
      <c r="B13" s="692" t="s">
        <v>846</v>
      </c>
      <c r="C13" s="50" t="s">
        <v>680</v>
      </c>
      <c r="D13" s="1223">
        <v>105000</v>
      </c>
      <c r="E13" s="1223">
        <v>5302.12</v>
      </c>
      <c r="F13" s="1224">
        <f t="shared" si="0"/>
        <v>5.0496380952380955</v>
      </c>
    </row>
    <row r="14" spans="1:6" ht="22.5" customHeight="1">
      <c r="A14" s="689" t="s">
        <v>1310</v>
      </c>
      <c r="B14" s="692" t="s">
        <v>846</v>
      </c>
      <c r="C14" s="50" t="s">
        <v>681</v>
      </c>
      <c r="D14" s="1223">
        <v>906250</v>
      </c>
      <c r="E14" s="1223">
        <v>285974.3</v>
      </c>
      <c r="F14" s="1224">
        <f t="shared" si="0"/>
        <v>31.5557848275862</v>
      </c>
    </row>
    <row r="15" spans="1:6" ht="22.5" customHeight="1">
      <c r="A15" s="689" t="s">
        <v>1311</v>
      </c>
      <c r="B15" s="692" t="s">
        <v>846</v>
      </c>
      <c r="C15" s="50" t="s">
        <v>682</v>
      </c>
      <c r="D15" s="1223">
        <v>147000</v>
      </c>
      <c r="E15" s="1223">
        <v>146400</v>
      </c>
      <c r="F15" s="1224">
        <f t="shared" si="0"/>
        <v>99.59183673469387</v>
      </c>
    </row>
    <row r="16" spans="1:6" ht="24" customHeight="1">
      <c r="A16" s="702" t="s">
        <v>1202</v>
      </c>
      <c r="B16" s="703" t="s">
        <v>846</v>
      </c>
      <c r="C16" s="704" t="s">
        <v>593</v>
      </c>
      <c r="D16" s="1227">
        <v>3000000</v>
      </c>
      <c r="E16" s="1227">
        <v>2704496.97</v>
      </c>
      <c r="F16" s="1228">
        <f t="shared" si="0"/>
        <v>90.149899</v>
      </c>
    </row>
    <row r="17" spans="1:6" ht="22.5" customHeight="1">
      <c r="A17" s="689" t="s">
        <v>1204</v>
      </c>
      <c r="B17" s="692" t="s">
        <v>846</v>
      </c>
      <c r="C17" s="50" t="s">
        <v>909</v>
      </c>
      <c r="D17" s="1223">
        <v>84000</v>
      </c>
      <c r="E17" s="1223">
        <v>0</v>
      </c>
      <c r="F17" s="1224">
        <f t="shared" si="0"/>
        <v>0</v>
      </c>
    </row>
    <row r="18" spans="1:6" ht="22.5" customHeight="1">
      <c r="A18" s="689" t="s">
        <v>1312</v>
      </c>
      <c r="B18" s="692" t="s">
        <v>846</v>
      </c>
      <c r="C18" s="50" t="s">
        <v>743</v>
      </c>
      <c r="D18" s="1223">
        <v>944000</v>
      </c>
      <c r="E18" s="1223">
        <v>873664.32</v>
      </c>
      <c r="F18" s="1224">
        <f t="shared" si="0"/>
        <v>92.54918644067796</v>
      </c>
    </row>
    <row r="19" spans="1:6" ht="29.25" customHeight="1">
      <c r="A19" s="765" t="s">
        <v>1205</v>
      </c>
      <c r="B19" s="766" t="s">
        <v>846</v>
      </c>
      <c r="C19" s="767" t="s">
        <v>127</v>
      </c>
      <c r="D19" s="1229">
        <f>D20+D21</f>
        <v>2030000</v>
      </c>
      <c r="E19" s="1229">
        <f>E20+E21</f>
        <v>1592478.45</v>
      </c>
      <c r="F19" s="1230">
        <f t="shared" si="0"/>
        <v>78.44721428571428</v>
      </c>
    </row>
    <row r="20" spans="1:6" ht="21" customHeight="1">
      <c r="A20" s="720"/>
      <c r="B20" s="721"/>
      <c r="C20" s="722" t="s">
        <v>742</v>
      </c>
      <c r="D20" s="1231">
        <v>1515000</v>
      </c>
      <c r="E20" s="1231">
        <v>1239999.93</v>
      </c>
      <c r="F20" s="1232">
        <f t="shared" si="0"/>
        <v>81.84818019801979</v>
      </c>
    </row>
    <row r="21" spans="1:6" ht="21" customHeight="1">
      <c r="A21" s="693"/>
      <c r="B21" s="690"/>
      <c r="C21" s="716" t="s">
        <v>126</v>
      </c>
      <c r="D21" s="1233">
        <v>515000</v>
      </c>
      <c r="E21" s="1233">
        <v>352478.52</v>
      </c>
      <c r="F21" s="1234">
        <f t="shared" si="0"/>
        <v>68.44243106796117</v>
      </c>
    </row>
    <row r="22" spans="1:6" ht="22.5" customHeight="1">
      <c r="A22" s="689" t="s">
        <v>1206</v>
      </c>
      <c r="B22" s="692" t="s">
        <v>846</v>
      </c>
      <c r="C22" s="50" t="s">
        <v>744</v>
      </c>
      <c r="D22" s="1223">
        <v>175000</v>
      </c>
      <c r="E22" s="1223">
        <v>175000</v>
      </c>
      <c r="F22" s="1224">
        <f t="shared" si="0"/>
        <v>100</v>
      </c>
    </row>
    <row r="23" spans="1:6" ht="22.5" customHeight="1">
      <c r="A23" s="689" t="s">
        <v>1313</v>
      </c>
      <c r="B23" s="692" t="s">
        <v>846</v>
      </c>
      <c r="C23" s="50" t="s">
        <v>745</v>
      </c>
      <c r="D23" s="1223">
        <v>199000</v>
      </c>
      <c r="E23" s="1223">
        <v>143114.92</v>
      </c>
      <c r="F23" s="1224">
        <f t="shared" si="0"/>
        <v>71.91704522613065</v>
      </c>
    </row>
    <row r="24" spans="1:6" ht="29.25" customHeight="1">
      <c r="A24" s="717" t="s">
        <v>1207</v>
      </c>
      <c r="B24" s="718" t="s">
        <v>846</v>
      </c>
      <c r="C24" s="719" t="s">
        <v>128</v>
      </c>
      <c r="D24" s="1225">
        <f>SUM(D25,D26)</f>
        <v>420000</v>
      </c>
      <c r="E24" s="1225">
        <f>SUM(E25,E26)</f>
        <v>214229.5</v>
      </c>
      <c r="F24" s="1226">
        <f t="shared" si="0"/>
        <v>51.00702380952381</v>
      </c>
    </row>
    <row r="25" spans="1:6" ht="21" customHeight="1">
      <c r="A25" s="765"/>
      <c r="B25" s="766"/>
      <c r="C25" s="1235" t="s">
        <v>742</v>
      </c>
      <c r="D25" s="1236">
        <v>240000</v>
      </c>
      <c r="E25" s="1236">
        <v>131824.05</v>
      </c>
      <c r="F25" s="1237">
        <f>E25/D25*100</f>
        <v>54.92668749999999</v>
      </c>
    </row>
    <row r="26" spans="1:6" ht="21" customHeight="1">
      <c r="A26" s="693"/>
      <c r="B26" s="690"/>
      <c r="C26" s="716" t="s">
        <v>126</v>
      </c>
      <c r="D26" s="1233">
        <v>180000</v>
      </c>
      <c r="E26" s="1233">
        <v>82405.45</v>
      </c>
      <c r="F26" s="1234">
        <f>E26/D26*100</f>
        <v>45.78080555555555</v>
      </c>
    </row>
    <row r="27" spans="1:6" ht="22.5" customHeight="1">
      <c r="A27" s="689" t="s">
        <v>1208</v>
      </c>
      <c r="B27" s="692" t="s">
        <v>846</v>
      </c>
      <c r="C27" s="50" t="s">
        <v>746</v>
      </c>
      <c r="D27" s="1223">
        <v>85000</v>
      </c>
      <c r="E27" s="1223">
        <v>62440</v>
      </c>
      <c r="F27" s="1224">
        <f t="shared" si="0"/>
        <v>73.45882352941176</v>
      </c>
    </row>
    <row r="28" spans="1:6" ht="22.5" customHeight="1">
      <c r="A28" s="689" t="s">
        <v>1209</v>
      </c>
      <c r="B28" s="692" t="s">
        <v>847</v>
      </c>
      <c r="C28" s="50" t="s">
        <v>683</v>
      </c>
      <c r="D28" s="1223">
        <v>970000</v>
      </c>
      <c r="E28" s="1223">
        <v>967227.16</v>
      </c>
      <c r="F28" s="1224">
        <f t="shared" si="0"/>
        <v>99.71414020618558</v>
      </c>
    </row>
    <row r="29" spans="1:6" ht="22.5" customHeight="1">
      <c r="A29" s="693" t="s">
        <v>1210</v>
      </c>
      <c r="B29" s="690" t="s">
        <v>847</v>
      </c>
      <c r="C29" s="47" t="s">
        <v>591</v>
      </c>
      <c r="D29" s="1221">
        <v>20000</v>
      </c>
      <c r="E29" s="1221">
        <v>16034.29</v>
      </c>
      <c r="F29" s="1222">
        <f t="shared" si="0"/>
        <v>80.17145</v>
      </c>
    </row>
    <row r="30" spans="1:6" ht="22.5" customHeight="1">
      <c r="A30" s="689" t="s">
        <v>1213</v>
      </c>
      <c r="B30" s="692" t="s">
        <v>847</v>
      </c>
      <c r="C30" s="50" t="s">
        <v>350</v>
      </c>
      <c r="D30" s="1223">
        <v>963000</v>
      </c>
      <c r="E30" s="1223">
        <v>957122.9</v>
      </c>
      <c r="F30" s="1224">
        <f t="shared" si="0"/>
        <v>99.38970924195225</v>
      </c>
    </row>
    <row r="31" spans="1:6" ht="22.5" customHeight="1">
      <c r="A31" s="689" t="s">
        <v>1214</v>
      </c>
      <c r="B31" s="692" t="s">
        <v>847</v>
      </c>
      <c r="C31" s="50" t="s">
        <v>1268</v>
      </c>
      <c r="D31" s="1223">
        <v>1288000</v>
      </c>
      <c r="E31" s="1223">
        <v>1206814.58</v>
      </c>
      <c r="F31" s="1224">
        <f t="shared" si="0"/>
        <v>93.69678416149068</v>
      </c>
    </row>
    <row r="32" spans="1:7" ht="39.75" customHeight="1">
      <c r="A32" s="717" t="s">
        <v>1215</v>
      </c>
      <c r="B32" s="718" t="s">
        <v>847</v>
      </c>
      <c r="C32" s="719" t="s">
        <v>129</v>
      </c>
      <c r="D32" s="1225">
        <f>D33+D34</f>
        <v>2215000</v>
      </c>
      <c r="E32" s="1225">
        <f>SUM(E33,E34)</f>
        <v>2215000</v>
      </c>
      <c r="F32" s="1226">
        <f t="shared" si="0"/>
        <v>100</v>
      </c>
      <c r="G32" s="723"/>
    </row>
    <row r="33" spans="1:6" ht="22.5" customHeight="1">
      <c r="A33" s="720"/>
      <c r="B33" s="721"/>
      <c r="C33" s="722" t="s">
        <v>742</v>
      </c>
      <c r="D33" s="1231">
        <v>2065000</v>
      </c>
      <c r="E33" s="1231">
        <v>2065000</v>
      </c>
      <c r="F33" s="1232">
        <f t="shared" si="0"/>
        <v>100</v>
      </c>
    </row>
    <row r="34" spans="1:6" ht="22.5" customHeight="1">
      <c r="A34" s="693"/>
      <c r="B34" s="690"/>
      <c r="C34" s="716" t="s">
        <v>126</v>
      </c>
      <c r="D34" s="1233">
        <v>150000</v>
      </c>
      <c r="E34" s="1233">
        <v>150000</v>
      </c>
      <c r="F34" s="1234">
        <f t="shared" si="0"/>
        <v>100</v>
      </c>
    </row>
    <row r="35" spans="1:6" ht="33" customHeight="1">
      <c r="A35" s="717" t="s">
        <v>1216</v>
      </c>
      <c r="B35" s="718" t="s">
        <v>847</v>
      </c>
      <c r="C35" s="719" t="s">
        <v>130</v>
      </c>
      <c r="D35" s="1225">
        <f>D36+D37</f>
        <v>843000</v>
      </c>
      <c r="E35" s="1225">
        <f>E36+E37</f>
        <v>792271.83</v>
      </c>
      <c r="F35" s="1226">
        <f t="shared" si="0"/>
        <v>93.98242348754448</v>
      </c>
    </row>
    <row r="36" spans="1:6" ht="22.5" customHeight="1">
      <c r="A36" s="720"/>
      <c r="B36" s="721"/>
      <c r="C36" s="722" t="s">
        <v>742</v>
      </c>
      <c r="D36" s="1231">
        <v>628000</v>
      </c>
      <c r="E36" s="1231">
        <v>628000</v>
      </c>
      <c r="F36" s="1232">
        <f t="shared" si="0"/>
        <v>100</v>
      </c>
    </row>
    <row r="37" spans="1:6" ht="22.5" customHeight="1">
      <c r="A37" s="768"/>
      <c r="B37" s="769"/>
      <c r="C37" s="770" t="s">
        <v>126</v>
      </c>
      <c r="D37" s="1238">
        <v>215000</v>
      </c>
      <c r="E37" s="1238">
        <v>164271.83</v>
      </c>
      <c r="F37" s="1239">
        <f aca="true" t="shared" si="1" ref="F37:F63">E37/D37*100</f>
        <v>76.40550232558138</v>
      </c>
    </row>
    <row r="38" spans="1:6" ht="27" customHeight="1">
      <c r="A38" s="765" t="s">
        <v>1056</v>
      </c>
      <c r="B38" s="766" t="s">
        <v>847</v>
      </c>
      <c r="C38" s="767" t="s">
        <v>1269</v>
      </c>
      <c r="D38" s="1229">
        <f>D39+D40</f>
        <v>2792000</v>
      </c>
      <c r="E38" s="1229">
        <f>E39+E40</f>
        <v>2275529.09</v>
      </c>
      <c r="F38" s="1230">
        <f t="shared" si="1"/>
        <v>81.50175823782234</v>
      </c>
    </row>
    <row r="39" spans="1:6" ht="22.5" customHeight="1">
      <c r="A39" s="720"/>
      <c r="B39" s="721"/>
      <c r="C39" s="722" t="s">
        <v>747</v>
      </c>
      <c r="D39" s="1231">
        <v>2582000</v>
      </c>
      <c r="E39" s="1231">
        <v>2128037.19</v>
      </c>
      <c r="F39" s="1232">
        <f t="shared" si="1"/>
        <v>82.41817157242447</v>
      </c>
    </row>
    <row r="40" spans="1:6" ht="22.5" customHeight="1">
      <c r="A40" s="693"/>
      <c r="B40" s="690"/>
      <c r="C40" s="716" t="s">
        <v>126</v>
      </c>
      <c r="D40" s="1233">
        <v>210000</v>
      </c>
      <c r="E40" s="1233">
        <v>147491.9</v>
      </c>
      <c r="F40" s="1234">
        <f t="shared" si="1"/>
        <v>70.23423809523808</v>
      </c>
    </row>
    <row r="41" spans="1:6" ht="22.5" customHeight="1">
      <c r="A41" s="717" t="s">
        <v>1057</v>
      </c>
      <c r="B41" s="718" t="s">
        <v>1193</v>
      </c>
      <c r="C41" s="719" t="s">
        <v>596</v>
      </c>
      <c r="D41" s="1225">
        <v>19495920</v>
      </c>
      <c r="E41" s="1225">
        <v>19340582.54</v>
      </c>
      <c r="F41" s="1226">
        <f t="shared" si="1"/>
        <v>99.20323093242072</v>
      </c>
    </row>
    <row r="42" spans="1:7" s="714" customFormat="1" ht="22.5" customHeight="1">
      <c r="A42" s="1574" t="s">
        <v>850</v>
      </c>
      <c r="B42" s="1575"/>
      <c r="C42" s="1576"/>
      <c r="D42" s="1240">
        <f>SUM(D44,D43)</f>
        <v>1520000</v>
      </c>
      <c r="E42" s="1240">
        <f>SUM(E43,E44)</f>
        <v>978914.88</v>
      </c>
      <c r="F42" s="1241">
        <f t="shared" si="1"/>
        <v>64.40229473684211</v>
      </c>
      <c r="G42" s="713"/>
    </row>
    <row r="43" spans="1:6" ht="22.5" customHeight="1">
      <c r="A43" s="689" t="s">
        <v>1058</v>
      </c>
      <c r="B43" s="692" t="s">
        <v>310</v>
      </c>
      <c r="C43" s="50" t="s">
        <v>748</v>
      </c>
      <c r="D43" s="1223">
        <v>310000</v>
      </c>
      <c r="E43" s="1223">
        <v>2483.92</v>
      </c>
      <c r="F43" s="1224">
        <f t="shared" si="1"/>
        <v>0.8012645161290324</v>
      </c>
    </row>
    <row r="44" spans="1:6" ht="30.75" customHeight="1">
      <c r="A44" s="689" t="s">
        <v>1059</v>
      </c>
      <c r="B44" s="692" t="s">
        <v>310</v>
      </c>
      <c r="C44" s="50" t="s">
        <v>687</v>
      </c>
      <c r="D44" s="1223">
        <v>1210000</v>
      </c>
      <c r="E44" s="1223">
        <v>976430.96</v>
      </c>
      <c r="F44" s="1224">
        <f t="shared" si="1"/>
        <v>80.696773553719</v>
      </c>
    </row>
    <row r="45" spans="1:7" s="714" customFormat="1" ht="23.25" customHeight="1">
      <c r="A45" s="1574" t="s">
        <v>852</v>
      </c>
      <c r="B45" s="1575"/>
      <c r="C45" s="1576"/>
      <c r="D45" s="1240">
        <f>SUM(D46)</f>
        <v>66000</v>
      </c>
      <c r="E45" s="1240">
        <f>SUM(E46)</f>
        <v>58831.39</v>
      </c>
      <c r="F45" s="1241">
        <f t="shared" si="1"/>
        <v>89.1384696969697</v>
      </c>
      <c r="G45" s="713"/>
    </row>
    <row r="46" spans="1:6" ht="31.5" customHeight="1">
      <c r="A46" s="689" t="s">
        <v>447</v>
      </c>
      <c r="B46" s="692" t="s">
        <v>314</v>
      </c>
      <c r="C46" s="50" t="s">
        <v>694</v>
      </c>
      <c r="D46" s="1223">
        <v>66000</v>
      </c>
      <c r="E46" s="1223">
        <v>58831.39</v>
      </c>
      <c r="F46" s="1224">
        <f t="shared" si="1"/>
        <v>89.1384696969697</v>
      </c>
    </row>
    <row r="47" spans="1:7" s="714" customFormat="1" ht="22.5" customHeight="1">
      <c r="A47" s="1574" t="s">
        <v>856</v>
      </c>
      <c r="B47" s="1575"/>
      <c r="C47" s="1576"/>
      <c r="D47" s="1240">
        <f>SUM(D48)</f>
        <v>673000</v>
      </c>
      <c r="E47" s="1240">
        <f>SUM(E48)</f>
        <v>661718.98</v>
      </c>
      <c r="F47" s="1241">
        <f t="shared" si="1"/>
        <v>98.32377117384844</v>
      </c>
      <c r="G47" s="713"/>
    </row>
    <row r="48" spans="1:6" ht="22.5" customHeight="1">
      <c r="A48" s="689" t="s">
        <v>448</v>
      </c>
      <c r="B48" s="692" t="s">
        <v>865</v>
      </c>
      <c r="C48" s="50" t="s">
        <v>796</v>
      </c>
      <c r="D48" s="1223">
        <v>673000</v>
      </c>
      <c r="E48" s="1223">
        <v>661718.98</v>
      </c>
      <c r="F48" s="1224">
        <f t="shared" si="1"/>
        <v>98.32377117384844</v>
      </c>
    </row>
    <row r="49" spans="1:7" s="714" customFormat="1" ht="22.5" customHeight="1">
      <c r="A49" s="1574" t="s">
        <v>971</v>
      </c>
      <c r="B49" s="1575"/>
      <c r="C49" s="1576"/>
      <c r="D49" s="1240">
        <f>SUM(D50)</f>
        <v>75000</v>
      </c>
      <c r="E49" s="1240">
        <f>SUM(E50)</f>
        <v>45866.25</v>
      </c>
      <c r="F49" s="1241">
        <f t="shared" si="1"/>
        <v>61.155</v>
      </c>
      <c r="G49" s="713"/>
    </row>
    <row r="50" spans="1:6" ht="22.5" customHeight="1">
      <c r="A50" s="689" t="s">
        <v>449</v>
      </c>
      <c r="B50" s="692" t="s">
        <v>324</v>
      </c>
      <c r="C50" s="50" t="s">
        <v>695</v>
      </c>
      <c r="D50" s="1223">
        <v>75000</v>
      </c>
      <c r="E50" s="1223">
        <v>45866.25</v>
      </c>
      <c r="F50" s="1224">
        <f t="shared" si="1"/>
        <v>61.155</v>
      </c>
    </row>
    <row r="51" spans="1:7" s="714" customFormat="1" ht="22.5" customHeight="1">
      <c r="A51" s="1574" t="s">
        <v>892</v>
      </c>
      <c r="B51" s="1575"/>
      <c r="C51" s="1576"/>
      <c r="D51" s="1240">
        <f>SUM(D52)</f>
        <v>186000</v>
      </c>
      <c r="E51" s="1240">
        <f>SUM(E52)</f>
        <v>180681.67</v>
      </c>
      <c r="F51" s="1241">
        <f t="shared" si="1"/>
        <v>97.14068279569894</v>
      </c>
      <c r="G51" s="713"/>
    </row>
    <row r="52" spans="1:6" ht="24.75" customHeight="1">
      <c r="A52" s="689" t="s">
        <v>698</v>
      </c>
      <c r="B52" s="692" t="s">
        <v>346</v>
      </c>
      <c r="C52" s="50" t="s">
        <v>696</v>
      </c>
      <c r="D52" s="1223">
        <v>186000</v>
      </c>
      <c r="E52" s="1223">
        <v>180681.67</v>
      </c>
      <c r="F52" s="1224">
        <f t="shared" si="1"/>
        <v>97.14068279569894</v>
      </c>
    </row>
    <row r="53" spans="1:7" s="714" customFormat="1" ht="22.5" customHeight="1">
      <c r="A53" s="1571" t="s">
        <v>901</v>
      </c>
      <c r="B53" s="1572"/>
      <c r="C53" s="1573"/>
      <c r="D53" s="1242">
        <f>SUM(D54,D55,D56)</f>
        <v>9822661</v>
      </c>
      <c r="E53" s="1242">
        <f>SUM(E54,E55,E56)</f>
        <v>9728843.57</v>
      </c>
      <c r="F53" s="1243">
        <f t="shared" si="1"/>
        <v>99.04488783640197</v>
      </c>
      <c r="G53" s="713"/>
    </row>
    <row r="54" spans="1:6" ht="23.25" customHeight="1">
      <c r="A54" s="689" t="s">
        <v>699</v>
      </c>
      <c r="B54" s="692" t="s">
        <v>386</v>
      </c>
      <c r="C54" s="50" t="s">
        <v>293</v>
      </c>
      <c r="D54" s="1223">
        <v>8505661</v>
      </c>
      <c r="E54" s="1223">
        <v>8413666.86</v>
      </c>
      <c r="F54" s="1224">
        <f t="shared" si="1"/>
        <v>98.91843632140993</v>
      </c>
    </row>
    <row r="55" spans="1:6" ht="22.5" customHeight="1">
      <c r="A55" s="689" t="s">
        <v>471</v>
      </c>
      <c r="B55" s="692" t="s">
        <v>388</v>
      </c>
      <c r="C55" s="50" t="s">
        <v>495</v>
      </c>
      <c r="D55" s="1223">
        <v>55000</v>
      </c>
      <c r="E55" s="1223">
        <v>55000</v>
      </c>
      <c r="F55" s="1224">
        <f t="shared" si="1"/>
        <v>100</v>
      </c>
    </row>
    <row r="56" spans="1:6" ht="22.5" customHeight="1">
      <c r="A56" s="689" t="s">
        <v>910</v>
      </c>
      <c r="B56" s="692" t="s">
        <v>902</v>
      </c>
      <c r="C56" s="50" t="s">
        <v>697</v>
      </c>
      <c r="D56" s="1223">
        <v>1262000</v>
      </c>
      <c r="E56" s="1223">
        <v>1260176.71</v>
      </c>
      <c r="F56" s="1224">
        <f t="shared" si="1"/>
        <v>99.85552377179081</v>
      </c>
    </row>
    <row r="57" spans="1:7" s="714" customFormat="1" ht="22.5" customHeight="1">
      <c r="A57" s="1574" t="s">
        <v>30</v>
      </c>
      <c r="B57" s="1575"/>
      <c r="C57" s="1576"/>
      <c r="D57" s="1240">
        <f>SUM(D58+D59)</f>
        <v>443000</v>
      </c>
      <c r="E57" s="1240">
        <f>SUM(E58+E59)</f>
        <v>287209.2</v>
      </c>
      <c r="F57" s="1241">
        <f t="shared" si="1"/>
        <v>64.83277652370202</v>
      </c>
      <c r="G57" s="713"/>
    </row>
    <row r="58" spans="1:7" s="420" customFormat="1" ht="28.5" customHeight="1">
      <c r="A58" s="689" t="s">
        <v>689</v>
      </c>
      <c r="B58" s="694">
        <v>85201</v>
      </c>
      <c r="C58" s="695" t="s">
        <v>1270</v>
      </c>
      <c r="D58" s="1223">
        <v>30000</v>
      </c>
      <c r="E58" s="1223">
        <v>0</v>
      </c>
      <c r="F58" s="1224">
        <f t="shared" si="1"/>
        <v>0</v>
      </c>
      <c r="G58" s="439"/>
    </row>
    <row r="59" spans="1:6" ht="22.5" customHeight="1">
      <c r="A59" s="689" t="s">
        <v>749</v>
      </c>
      <c r="B59" s="692" t="s">
        <v>29</v>
      </c>
      <c r="C59" s="50" t="s">
        <v>592</v>
      </c>
      <c r="D59" s="1223">
        <v>413000</v>
      </c>
      <c r="E59" s="1223">
        <v>287209.2</v>
      </c>
      <c r="F59" s="1224">
        <f t="shared" si="1"/>
        <v>69.54217917675545</v>
      </c>
    </row>
    <row r="60" spans="1:7" s="714" customFormat="1" ht="22.5" customHeight="1">
      <c r="A60" s="1574" t="s">
        <v>429</v>
      </c>
      <c r="B60" s="1575"/>
      <c r="C60" s="1576"/>
      <c r="D60" s="1240">
        <f>SUM(D61,D64,D65,D66,D71,D74)</f>
        <v>5346000</v>
      </c>
      <c r="E60" s="1240">
        <f>SUM(E61,E64,E65,E66,E71,E74)</f>
        <v>4931798.920000001</v>
      </c>
      <c r="F60" s="1241">
        <f t="shared" si="1"/>
        <v>92.25213093901984</v>
      </c>
      <c r="G60" s="713"/>
    </row>
    <row r="61" spans="1:6" ht="27.75" customHeight="1">
      <c r="A61" s="1253" t="s">
        <v>329</v>
      </c>
      <c r="B61" s="718" t="s">
        <v>430</v>
      </c>
      <c r="C61" s="1252" t="s">
        <v>131</v>
      </c>
      <c r="D61" s="1254">
        <f>SUM(D62,D63)</f>
        <v>3285000</v>
      </c>
      <c r="E61" s="1254">
        <f>SUM(E62,E63)</f>
        <v>3050466.45</v>
      </c>
      <c r="F61" s="1226">
        <f t="shared" si="1"/>
        <v>92.86047031963471</v>
      </c>
    </row>
    <row r="62" spans="1:7" s="728" customFormat="1" ht="20.25" customHeight="1">
      <c r="A62" s="735"/>
      <c r="B62" s="726"/>
      <c r="C62" s="736" t="s">
        <v>677</v>
      </c>
      <c r="D62" s="1244">
        <v>3009000</v>
      </c>
      <c r="E62" s="1244">
        <v>2774466.45</v>
      </c>
      <c r="F62" s="1232">
        <f t="shared" si="1"/>
        <v>92.20559820538385</v>
      </c>
      <c r="G62" s="727"/>
    </row>
    <row r="63" spans="1:7" s="728" customFormat="1" ht="21" customHeight="1">
      <c r="A63" s="737"/>
      <c r="B63" s="730"/>
      <c r="C63" s="738" t="s">
        <v>126</v>
      </c>
      <c r="D63" s="1245">
        <v>276000</v>
      </c>
      <c r="E63" s="1245">
        <v>276000</v>
      </c>
      <c r="F63" s="1234">
        <f t="shared" si="1"/>
        <v>100</v>
      </c>
      <c r="G63" s="727"/>
    </row>
    <row r="64" spans="1:6" ht="34.5" customHeight="1">
      <c r="A64" s="1256" t="s">
        <v>330</v>
      </c>
      <c r="B64" s="692" t="s">
        <v>430</v>
      </c>
      <c r="C64" s="1257" t="s">
        <v>496</v>
      </c>
      <c r="D64" s="1251">
        <v>10000</v>
      </c>
      <c r="E64" s="1251">
        <v>3061.21</v>
      </c>
      <c r="F64" s="1258">
        <f aca="true" t="shared" si="2" ref="F64:F83">E64/D64*100</f>
        <v>30.612099999999998</v>
      </c>
    </row>
    <row r="65" spans="1:6" ht="30.75" customHeight="1">
      <c r="A65" s="1256" t="s">
        <v>520</v>
      </c>
      <c r="B65" s="692" t="s">
        <v>430</v>
      </c>
      <c r="C65" s="1257" t="s">
        <v>497</v>
      </c>
      <c r="D65" s="1251">
        <v>10000</v>
      </c>
      <c r="E65" s="1251">
        <v>8418</v>
      </c>
      <c r="F65" s="1258">
        <f t="shared" si="2"/>
        <v>84.17999999999999</v>
      </c>
    </row>
    <row r="66" spans="1:6" ht="32.25" customHeight="1">
      <c r="A66" s="696" t="s">
        <v>750</v>
      </c>
      <c r="B66" s="697" t="s">
        <v>978</v>
      </c>
      <c r="C66" s="463" t="s">
        <v>821</v>
      </c>
      <c r="D66" s="1255">
        <f>D67+D68+D69+D70</f>
        <v>681000</v>
      </c>
      <c r="E66" s="1255">
        <f>E67+E68+E69+E70</f>
        <v>622979.39</v>
      </c>
      <c r="F66" s="1222">
        <f t="shared" si="2"/>
        <v>91.4800866372981</v>
      </c>
    </row>
    <row r="67" spans="1:6" s="734" customFormat="1" ht="20.25" customHeight="1">
      <c r="A67" s="731" t="s">
        <v>122</v>
      </c>
      <c r="B67" s="732"/>
      <c r="C67" s="733" t="s">
        <v>1308</v>
      </c>
      <c r="D67" s="1246">
        <v>62000</v>
      </c>
      <c r="E67" s="1246">
        <v>55279.16</v>
      </c>
      <c r="F67" s="1247">
        <f t="shared" si="2"/>
        <v>89.15993548387098</v>
      </c>
    </row>
    <row r="68" spans="1:6" s="734" customFormat="1" ht="20.25" customHeight="1">
      <c r="A68" s="731" t="s">
        <v>123</v>
      </c>
      <c r="B68" s="732"/>
      <c r="C68" s="733" t="s">
        <v>751</v>
      </c>
      <c r="D68" s="1246">
        <v>250000</v>
      </c>
      <c r="E68" s="1246">
        <v>220038.97</v>
      </c>
      <c r="F68" s="1247">
        <f t="shared" si="2"/>
        <v>88.015588</v>
      </c>
    </row>
    <row r="69" spans="1:6" s="734" customFormat="1" ht="20.25" customHeight="1">
      <c r="A69" s="731" t="s">
        <v>124</v>
      </c>
      <c r="B69" s="732"/>
      <c r="C69" s="733" t="s">
        <v>752</v>
      </c>
      <c r="D69" s="1246">
        <v>33000</v>
      </c>
      <c r="E69" s="1246">
        <v>32391</v>
      </c>
      <c r="F69" s="1247">
        <f t="shared" si="2"/>
        <v>98.15454545454546</v>
      </c>
    </row>
    <row r="70" spans="1:6" s="734" customFormat="1" ht="20.25" customHeight="1">
      <c r="A70" s="731" t="s">
        <v>125</v>
      </c>
      <c r="B70" s="732"/>
      <c r="C70" s="733" t="s">
        <v>753</v>
      </c>
      <c r="D70" s="1246">
        <v>336000</v>
      </c>
      <c r="E70" s="1246">
        <v>315270.26</v>
      </c>
      <c r="F70" s="1247">
        <f t="shared" si="2"/>
        <v>93.83043452380953</v>
      </c>
    </row>
    <row r="71" spans="1:6" ht="41.25" customHeight="1">
      <c r="A71" s="1253" t="s">
        <v>754</v>
      </c>
      <c r="B71" s="718" t="s">
        <v>980</v>
      </c>
      <c r="C71" s="1252" t="s">
        <v>583</v>
      </c>
      <c r="D71" s="1254">
        <f>SUM(D72,D73)</f>
        <v>1260000</v>
      </c>
      <c r="E71" s="1254">
        <f>SUM(E72,E73)</f>
        <v>1146876.17</v>
      </c>
      <c r="F71" s="1226">
        <f t="shared" si="2"/>
        <v>91.02191825396825</v>
      </c>
    </row>
    <row r="72" spans="1:7" s="728" customFormat="1" ht="18.75" customHeight="1">
      <c r="A72" s="771"/>
      <c r="B72" s="772"/>
      <c r="C72" s="773" t="s">
        <v>677</v>
      </c>
      <c r="D72" s="1236">
        <v>108000</v>
      </c>
      <c r="E72" s="1236">
        <v>107989.25</v>
      </c>
      <c r="F72" s="1237">
        <f t="shared" si="2"/>
        <v>99.9900462962963</v>
      </c>
      <c r="G72" s="727"/>
    </row>
    <row r="73" spans="1:7" s="728" customFormat="1" ht="19.5" customHeight="1">
      <c r="A73" s="729"/>
      <c r="B73" s="730"/>
      <c r="C73" s="715" t="s">
        <v>126</v>
      </c>
      <c r="D73" s="1233">
        <v>1152000</v>
      </c>
      <c r="E73" s="1233">
        <v>1038886.92</v>
      </c>
      <c r="F73" s="1234">
        <f t="shared" si="2"/>
        <v>90.18115625</v>
      </c>
      <c r="G73" s="727"/>
    </row>
    <row r="74" spans="1:7" s="728" customFormat="1" ht="22.5" customHeight="1">
      <c r="A74" s="689" t="s">
        <v>755</v>
      </c>
      <c r="B74" s="692" t="s">
        <v>980</v>
      </c>
      <c r="C74" s="691" t="s">
        <v>498</v>
      </c>
      <c r="D74" s="1223">
        <v>100000</v>
      </c>
      <c r="E74" s="1223">
        <v>99997.7</v>
      </c>
      <c r="F74" s="1224">
        <f t="shared" si="2"/>
        <v>99.9977</v>
      </c>
      <c r="G74" s="727"/>
    </row>
    <row r="75" spans="1:7" s="725" customFormat="1" ht="21" customHeight="1">
      <c r="A75" s="1574" t="s">
        <v>436</v>
      </c>
      <c r="B75" s="1580"/>
      <c r="C75" s="1581"/>
      <c r="D75" s="1242">
        <f>D76</f>
        <v>210000</v>
      </c>
      <c r="E75" s="1242">
        <f>E76</f>
        <v>207400</v>
      </c>
      <c r="F75" s="1241">
        <f t="shared" si="2"/>
        <v>98.76190476190476</v>
      </c>
      <c r="G75" s="724"/>
    </row>
    <row r="76" spans="1:7" s="728" customFormat="1" ht="19.5" customHeight="1">
      <c r="A76" s="689" t="s">
        <v>756</v>
      </c>
      <c r="B76" s="692" t="s">
        <v>48</v>
      </c>
      <c r="C76" s="453" t="s">
        <v>1271</v>
      </c>
      <c r="D76" s="1221">
        <v>210000</v>
      </c>
      <c r="E76" s="1221">
        <v>207400</v>
      </c>
      <c r="F76" s="1247">
        <f t="shared" si="2"/>
        <v>98.76190476190476</v>
      </c>
      <c r="G76" s="727"/>
    </row>
    <row r="77" spans="1:7" s="714" customFormat="1" ht="22.5" customHeight="1">
      <c r="A77" s="1571" t="s">
        <v>1010</v>
      </c>
      <c r="B77" s="1572"/>
      <c r="C77" s="1573"/>
      <c r="D77" s="1242">
        <f>SUM(D78,D79,D80,D81,D82)</f>
        <v>11761000</v>
      </c>
      <c r="E77" s="1242">
        <f>SUM(E78,E79,E80,E81,E82)</f>
        <v>11190761.27</v>
      </c>
      <c r="F77" s="1243">
        <f t="shared" si="2"/>
        <v>95.15144349970241</v>
      </c>
      <c r="G77" s="713"/>
    </row>
    <row r="78" spans="1:6" ht="22.5" customHeight="1">
      <c r="A78" s="689" t="s">
        <v>757</v>
      </c>
      <c r="B78" s="692" t="s">
        <v>1014</v>
      </c>
      <c r="C78" s="50" t="s">
        <v>474</v>
      </c>
      <c r="D78" s="1223">
        <v>2576000</v>
      </c>
      <c r="E78" s="1223">
        <v>2565715.01</v>
      </c>
      <c r="F78" s="1222">
        <f t="shared" si="2"/>
        <v>99.6007379658385</v>
      </c>
    </row>
    <row r="79" spans="1:6" ht="22.5" customHeight="1">
      <c r="A79" s="689" t="s">
        <v>758</v>
      </c>
      <c r="B79" s="692" t="s">
        <v>1014</v>
      </c>
      <c r="C79" s="50" t="s">
        <v>475</v>
      </c>
      <c r="D79" s="1223">
        <v>800000</v>
      </c>
      <c r="E79" s="1223">
        <v>608128.47</v>
      </c>
      <c r="F79" s="1222">
        <f t="shared" si="2"/>
        <v>76.01605875</v>
      </c>
    </row>
    <row r="80" spans="1:6" ht="22.5" customHeight="1">
      <c r="A80" s="689" t="s">
        <v>759</v>
      </c>
      <c r="B80" s="692" t="s">
        <v>1014</v>
      </c>
      <c r="C80" s="50" t="s">
        <v>760</v>
      </c>
      <c r="D80" s="1223">
        <v>6425000</v>
      </c>
      <c r="E80" s="1223">
        <v>6423565.02</v>
      </c>
      <c r="F80" s="1222">
        <f t="shared" si="2"/>
        <v>99.97766568093385</v>
      </c>
    </row>
    <row r="81" spans="1:6" ht="22.5" customHeight="1">
      <c r="A81" s="696" t="s">
        <v>761</v>
      </c>
      <c r="B81" s="697" t="s">
        <v>1014</v>
      </c>
      <c r="C81" s="463" t="s">
        <v>762</v>
      </c>
      <c r="D81" s="1255">
        <v>90000</v>
      </c>
      <c r="E81" s="1255">
        <v>71370</v>
      </c>
      <c r="F81" s="1222">
        <f t="shared" si="2"/>
        <v>79.3</v>
      </c>
    </row>
    <row r="82" spans="1:6" ht="26.25" customHeight="1" thickBot="1">
      <c r="A82" s="705" t="s">
        <v>1307</v>
      </c>
      <c r="B82" s="706" t="s">
        <v>1014</v>
      </c>
      <c r="C82" s="418" t="s">
        <v>499</v>
      </c>
      <c r="D82" s="1259">
        <v>1870000</v>
      </c>
      <c r="E82" s="1259">
        <v>1521982.77</v>
      </c>
      <c r="F82" s="1260">
        <f t="shared" si="2"/>
        <v>81.38945294117647</v>
      </c>
    </row>
    <row r="83" spans="1:7" s="420" customFormat="1" ht="22.5" customHeight="1" thickBot="1" thickTop="1">
      <c r="A83" s="1577" t="s">
        <v>949</v>
      </c>
      <c r="B83" s="1578"/>
      <c r="C83" s="1579"/>
      <c r="D83" s="1261">
        <f>SUM(D7,D42,D45,D47,D49,D51,D53,D57,D60,D75,D77)</f>
        <v>70038831</v>
      </c>
      <c r="E83" s="1261">
        <f>SUM(E7,E42,E45,E47,E49,E51,E53,E57,E60,E75,E77)</f>
        <v>65448667.19000001</v>
      </c>
      <c r="F83" s="1262">
        <f t="shared" si="2"/>
        <v>93.44625867613354</v>
      </c>
      <c r="G83" s="439"/>
    </row>
    <row r="84" spans="1:7" s="701" customFormat="1" ht="14.25" customHeight="1">
      <c r="A84" s="698"/>
      <c r="B84" s="698"/>
      <c r="C84" s="699" t="s">
        <v>1124</v>
      </c>
      <c r="D84" s="1263"/>
      <c r="E84" s="1263"/>
      <c r="F84" s="1264"/>
      <c r="G84" s="700"/>
    </row>
    <row r="85" spans="1:7" s="701" customFormat="1" ht="13.5" customHeight="1">
      <c r="A85" s="700"/>
      <c r="B85" s="700"/>
      <c r="C85" s="739" t="s">
        <v>677</v>
      </c>
      <c r="D85" s="1263">
        <f>D83-D86</f>
        <v>67340831</v>
      </c>
      <c r="E85" s="1263">
        <f>E83-E86</f>
        <v>63237132.570000015</v>
      </c>
      <c r="F85" s="1264">
        <f>E85/D85*100</f>
        <v>93.90607693867041</v>
      </c>
      <c r="G85" s="700"/>
    </row>
    <row r="86" spans="1:7" s="701" customFormat="1" ht="22.5" customHeight="1">
      <c r="A86" s="700"/>
      <c r="B86" s="700"/>
      <c r="C86" s="739" t="s">
        <v>126</v>
      </c>
      <c r="D86" s="1263">
        <f>SUM(D21,D26,D34,D37,D40,D63,D73)</f>
        <v>2698000</v>
      </c>
      <c r="E86" s="1263">
        <f>SUM(E21,E26,E34,E37,E40,E63,E73)</f>
        <v>2211534.62</v>
      </c>
      <c r="F86" s="1264">
        <f>E86/D86*100</f>
        <v>81.96940770941438</v>
      </c>
      <c r="G86" s="700"/>
    </row>
    <row r="87" ht="9.75" customHeight="1"/>
  </sheetData>
  <sheetProtection formatCells="0" formatColumns="0" formatRows="0" insertColumns="0" insertRows="0" insertHyperlinks="0" deleteColumns="0" deleteRows="0" sort="0" autoFilter="0" pivotTables="0"/>
  <mergeCells count="14">
    <mergeCell ref="A83:C83"/>
    <mergeCell ref="A47:C47"/>
    <mergeCell ref="A53:C53"/>
    <mergeCell ref="A60:C60"/>
    <mergeCell ref="A77:C77"/>
    <mergeCell ref="A49:C49"/>
    <mergeCell ref="A51:C51"/>
    <mergeCell ref="A57:C57"/>
    <mergeCell ref="A75:C75"/>
    <mergeCell ref="E1:F1"/>
    <mergeCell ref="A3:F3"/>
    <mergeCell ref="A7:C7"/>
    <mergeCell ref="A45:C45"/>
    <mergeCell ref="A42:C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7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">
    <tabColor indexed="42"/>
  </sheetPr>
  <dimension ref="A1:K35"/>
  <sheetViews>
    <sheetView view="pageBreakPreview" zoomScaleSheetLayoutView="100" workbookViewId="0" topLeftCell="A20">
      <selection activeCell="A35" sqref="A35:C35"/>
    </sheetView>
  </sheetViews>
  <sheetFormatPr defaultColWidth="9.00390625" defaultRowHeight="12.75"/>
  <cols>
    <col min="1" max="1" width="5.625" style="451" customWidth="1"/>
    <col min="2" max="2" width="7.75390625" style="451" customWidth="1"/>
    <col min="3" max="3" width="34.00390625" style="450" customWidth="1"/>
    <col min="4" max="4" width="14.625" style="450" customWidth="1"/>
    <col min="5" max="6" width="12.25390625" style="450" customWidth="1"/>
    <col min="7" max="7" width="12.125" style="450" customWidth="1"/>
    <col min="8" max="8" width="12.25390625" style="450" customWidth="1"/>
    <col min="9" max="9" width="14.375" style="450" customWidth="1"/>
    <col min="10" max="10" width="10.375" style="450" customWidth="1"/>
    <col min="11" max="11" width="9.00390625" style="450" customWidth="1"/>
    <col min="12" max="16384" width="9.125" style="450" customWidth="1"/>
  </cols>
  <sheetData>
    <row r="1" spans="1:2" s="449" customFormat="1" ht="12.75">
      <c r="A1" s="448"/>
      <c r="B1" s="448"/>
    </row>
    <row r="2" spans="1:9" ht="12.75">
      <c r="A2" s="448"/>
      <c r="B2" s="448"/>
      <c r="C2" s="449"/>
      <c r="D2" s="449"/>
      <c r="E2" s="449"/>
      <c r="F2" s="449"/>
      <c r="G2" s="449"/>
      <c r="H2" s="157"/>
      <c r="I2" s="157" t="s">
        <v>249</v>
      </c>
    </row>
    <row r="3" ht="12.75" customHeight="1">
      <c r="H3" s="157"/>
    </row>
    <row r="4" spans="1:8" s="78" customFormat="1" ht="21" customHeight="1">
      <c r="A4" s="1584" t="s">
        <v>1060</v>
      </c>
      <c r="B4" s="1584"/>
      <c r="C4" s="1584"/>
      <c r="D4" s="1584"/>
      <c r="E4" s="1584"/>
      <c r="F4" s="1584"/>
      <c r="G4" s="1584"/>
      <c r="H4" s="1584"/>
    </row>
    <row r="5" spans="8:10" ht="19.5" customHeight="1" thickBot="1">
      <c r="H5" s="162"/>
      <c r="I5" s="162" t="s">
        <v>833</v>
      </c>
      <c r="J5" s="162" t="s">
        <v>833</v>
      </c>
    </row>
    <row r="6" spans="1:9" s="1043" customFormat="1" ht="17.25" customHeight="1">
      <c r="A6" s="1518" t="s">
        <v>1018</v>
      </c>
      <c r="B6" s="1591" t="s">
        <v>834</v>
      </c>
      <c r="C6" s="1585" t="s">
        <v>818</v>
      </c>
      <c r="D6" s="1416" t="s">
        <v>53</v>
      </c>
      <c r="E6" s="1587" t="s">
        <v>1133</v>
      </c>
      <c r="F6" s="1587"/>
      <c r="G6" s="1587" t="s">
        <v>1098</v>
      </c>
      <c r="H6" s="1590"/>
      <c r="I6" s="1582" t="s">
        <v>54</v>
      </c>
    </row>
    <row r="7" spans="1:9" s="1043" customFormat="1" ht="39.75" customHeight="1">
      <c r="A7" s="1519"/>
      <c r="B7" s="1592"/>
      <c r="C7" s="1586"/>
      <c r="D7" s="1417"/>
      <c r="E7" s="556" t="s">
        <v>836</v>
      </c>
      <c r="F7" s="555" t="s">
        <v>837</v>
      </c>
      <c r="G7" s="556" t="s">
        <v>836</v>
      </c>
      <c r="H7" s="557" t="s">
        <v>837</v>
      </c>
      <c r="I7" s="1583"/>
    </row>
    <row r="8" spans="1:11" s="1044" customFormat="1" ht="12.75" customHeight="1" thickBot="1">
      <c r="A8" s="558" t="s">
        <v>728</v>
      </c>
      <c r="B8" s="559" t="s">
        <v>37</v>
      </c>
      <c r="C8" s="560">
        <v>3</v>
      </c>
      <c r="D8" s="560">
        <v>4</v>
      </c>
      <c r="E8" s="560">
        <v>5</v>
      </c>
      <c r="F8" s="561">
        <v>6</v>
      </c>
      <c r="G8" s="561">
        <v>6</v>
      </c>
      <c r="H8" s="560">
        <v>7</v>
      </c>
      <c r="I8" s="562">
        <v>8</v>
      </c>
      <c r="K8" s="1044" t="s">
        <v>270</v>
      </c>
    </row>
    <row r="9" spans="1:11" s="14" customFormat="1" ht="18.75" customHeight="1">
      <c r="A9" s="1596" t="s">
        <v>872</v>
      </c>
      <c r="B9" s="1597"/>
      <c r="C9" s="1598"/>
      <c r="D9" s="1045">
        <f aca="true" t="shared" si="0" ref="D9:I9">SUM(D10,D11,D17,D21,D22)</f>
        <v>608904.2200000002</v>
      </c>
      <c r="E9" s="824">
        <f t="shared" si="0"/>
        <v>2179823</v>
      </c>
      <c r="F9" s="824">
        <f t="shared" si="0"/>
        <v>2271942.63</v>
      </c>
      <c r="G9" s="824">
        <f t="shared" si="0"/>
        <v>2741520</v>
      </c>
      <c r="H9" s="824">
        <f t="shared" si="0"/>
        <v>2607735.34</v>
      </c>
      <c r="I9" s="1046">
        <f t="shared" si="0"/>
        <v>273111.51</v>
      </c>
      <c r="J9" s="307">
        <f>D9+F9-H9</f>
        <v>273111.51000000024</v>
      </c>
      <c r="K9" s="307">
        <f aca="true" t="shared" si="1" ref="K9:K20">I9-J9</f>
        <v>0</v>
      </c>
    </row>
    <row r="10" spans="1:11" s="44" customFormat="1" ht="24.75" customHeight="1">
      <c r="A10" s="445" t="s">
        <v>844</v>
      </c>
      <c r="B10" s="446" t="s">
        <v>847</v>
      </c>
      <c r="C10" s="447" t="s">
        <v>56</v>
      </c>
      <c r="D10" s="1013">
        <v>528432.92</v>
      </c>
      <c r="E10" s="1013">
        <v>735000</v>
      </c>
      <c r="F10" s="1013">
        <v>867531.04</v>
      </c>
      <c r="G10" s="1013">
        <v>1263433</v>
      </c>
      <c r="H10" s="1014">
        <v>1249738.72</v>
      </c>
      <c r="I10" s="1015">
        <v>146225.24</v>
      </c>
      <c r="J10" s="307">
        <f>D10+F10-H10</f>
        <v>146225.24</v>
      </c>
      <c r="K10" s="307">
        <f t="shared" si="1"/>
        <v>0</v>
      </c>
    </row>
    <row r="11" spans="1:11" s="44" customFormat="1" ht="24.75" customHeight="1">
      <c r="A11" s="1345" t="s">
        <v>891</v>
      </c>
      <c r="B11" s="1346" t="s">
        <v>893</v>
      </c>
      <c r="C11" s="1347" t="s">
        <v>894</v>
      </c>
      <c r="D11" s="1348">
        <f aca="true" t="shared" si="2" ref="D11:I11">SUM(D12,D13,D14,D15,D16)</f>
        <v>35232.020000000004</v>
      </c>
      <c r="E11" s="1348">
        <f t="shared" si="2"/>
        <v>601012</v>
      </c>
      <c r="F11" s="1348">
        <f t="shared" si="2"/>
        <v>579391.21</v>
      </c>
      <c r="G11" s="1348">
        <f t="shared" si="2"/>
        <v>617828</v>
      </c>
      <c r="H11" s="1348">
        <f t="shared" si="2"/>
        <v>580196.6000000001</v>
      </c>
      <c r="I11" s="1349">
        <f t="shared" si="2"/>
        <v>34426.63</v>
      </c>
      <c r="J11" s="307">
        <f>D11+F11-H11</f>
        <v>34426.62999999989</v>
      </c>
      <c r="K11" s="307">
        <f t="shared" si="1"/>
        <v>1.0913936421275139E-10</v>
      </c>
    </row>
    <row r="12" spans="1:11" s="58" customFormat="1" ht="24.75" customHeight="1">
      <c r="A12" s="1350" t="s">
        <v>891</v>
      </c>
      <c r="B12" s="1351" t="s">
        <v>893</v>
      </c>
      <c r="C12" s="1352" t="s">
        <v>624</v>
      </c>
      <c r="D12" s="1353">
        <v>22815.74</v>
      </c>
      <c r="E12" s="1353">
        <v>194360</v>
      </c>
      <c r="F12" s="1353">
        <v>174726.02</v>
      </c>
      <c r="G12" s="1353">
        <v>199309</v>
      </c>
      <c r="H12" s="1354">
        <v>175935.39</v>
      </c>
      <c r="I12" s="1355">
        <v>21606.37</v>
      </c>
      <c r="J12" s="62">
        <f aca="true" t="shared" si="3" ref="J12:J20">D12+F12-H12</f>
        <v>21606.369999999966</v>
      </c>
      <c r="K12" s="307">
        <f t="shared" si="1"/>
        <v>3.2741809263825417E-11</v>
      </c>
    </row>
    <row r="13" spans="1:11" s="58" customFormat="1" ht="24.75" customHeight="1">
      <c r="A13" s="1350" t="s">
        <v>891</v>
      </c>
      <c r="B13" s="1351" t="s">
        <v>893</v>
      </c>
      <c r="C13" s="1352" t="s">
        <v>625</v>
      </c>
      <c r="D13" s="1353">
        <v>720.65</v>
      </c>
      <c r="E13" s="1353">
        <v>10289</v>
      </c>
      <c r="F13" s="1353">
        <v>10289.24</v>
      </c>
      <c r="G13" s="1353">
        <v>11010</v>
      </c>
      <c r="H13" s="1354">
        <v>8342.45</v>
      </c>
      <c r="I13" s="1355">
        <v>2667.44</v>
      </c>
      <c r="J13" s="62">
        <f t="shared" si="3"/>
        <v>2667.4399999999987</v>
      </c>
      <c r="K13" s="307">
        <f t="shared" si="1"/>
        <v>0</v>
      </c>
    </row>
    <row r="14" spans="1:11" s="58" customFormat="1" ht="24.75" customHeight="1">
      <c r="A14" s="1350" t="s">
        <v>891</v>
      </c>
      <c r="B14" s="1351" t="s">
        <v>893</v>
      </c>
      <c r="C14" s="1352" t="s">
        <v>300</v>
      </c>
      <c r="D14" s="1353">
        <v>5648.51</v>
      </c>
      <c r="E14" s="1353">
        <v>122000</v>
      </c>
      <c r="F14" s="1353">
        <v>120015.79</v>
      </c>
      <c r="G14" s="1353">
        <v>127099</v>
      </c>
      <c r="H14" s="1354">
        <v>120785.63</v>
      </c>
      <c r="I14" s="1355">
        <v>4878.67</v>
      </c>
      <c r="J14" s="62">
        <f t="shared" si="3"/>
        <v>4878.669999999984</v>
      </c>
      <c r="K14" s="307">
        <f t="shared" si="1"/>
        <v>1.6370904631912708E-11</v>
      </c>
    </row>
    <row r="15" spans="1:11" s="58" customFormat="1" ht="24.75" customHeight="1">
      <c r="A15" s="1356" t="s">
        <v>891</v>
      </c>
      <c r="B15" s="1357" t="s">
        <v>893</v>
      </c>
      <c r="C15" s="1358" t="s">
        <v>626</v>
      </c>
      <c r="D15" s="1359">
        <v>1462.87</v>
      </c>
      <c r="E15" s="1359">
        <v>181683</v>
      </c>
      <c r="F15" s="1359">
        <v>181681.76</v>
      </c>
      <c r="G15" s="1359">
        <v>183146</v>
      </c>
      <c r="H15" s="1360">
        <v>177952.48</v>
      </c>
      <c r="I15" s="1361">
        <v>5192.15</v>
      </c>
      <c r="J15" s="62">
        <f t="shared" si="3"/>
        <v>5192.149999999994</v>
      </c>
      <c r="K15" s="307">
        <f t="shared" si="1"/>
        <v>0</v>
      </c>
    </row>
    <row r="16" spans="1:11" s="58" customFormat="1" ht="24.75" customHeight="1">
      <c r="A16" s="454" t="s">
        <v>891</v>
      </c>
      <c r="B16" s="455" t="s">
        <v>893</v>
      </c>
      <c r="C16" s="456" t="s">
        <v>629</v>
      </c>
      <c r="D16" s="1017">
        <v>4584.25</v>
      </c>
      <c r="E16" s="1017">
        <v>92680</v>
      </c>
      <c r="F16" s="1017">
        <v>92678.4</v>
      </c>
      <c r="G16" s="1017">
        <v>97264</v>
      </c>
      <c r="H16" s="1018">
        <v>97180.65</v>
      </c>
      <c r="I16" s="1019">
        <v>82</v>
      </c>
      <c r="J16" s="62">
        <f t="shared" si="3"/>
        <v>82</v>
      </c>
      <c r="K16" s="307">
        <f t="shared" si="1"/>
        <v>0</v>
      </c>
    </row>
    <row r="17" spans="1:11" s="44" customFormat="1" ht="24.75" customHeight="1">
      <c r="A17" s="1345" t="s">
        <v>891</v>
      </c>
      <c r="B17" s="1346" t="s">
        <v>895</v>
      </c>
      <c r="C17" s="1347" t="s">
        <v>896</v>
      </c>
      <c r="D17" s="1348">
        <f aca="true" t="shared" si="4" ref="D17:I17">SUM(D18,D19,D20)</f>
        <v>18734.440000000002</v>
      </c>
      <c r="E17" s="1348">
        <f t="shared" si="4"/>
        <v>418970</v>
      </c>
      <c r="F17" s="1348">
        <f t="shared" si="4"/>
        <v>400103.50999999995</v>
      </c>
      <c r="G17" s="1348">
        <f t="shared" si="4"/>
        <v>413700</v>
      </c>
      <c r="H17" s="1348">
        <f t="shared" si="4"/>
        <v>376733.49</v>
      </c>
      <c r="I17" s="1362">
        <f t="shared" si="4"/>
        <v>42104.46</v>
      </c>
      <c r="J17" s="307">
        <f t="shared" si="3"/>
        <v>42104.45999999996</v>
      </c>
      <c r="K17" s="307">
        <f t="shared" si="1"/>
        <v>0</v>
      </c>
    </row>
    <row r="18" spans="1:11" s="58" customFormat="1" ht="24.75" customHeight="1">
      <c r="A18" s="1350" t="s">
        <v>891</v>
      </c>
      <c r="B18" s="1351" t="s">
        <v>895</v>
      </c>
      <c r="C18" s="1352" t="s">
        <v>630</v>
      </c>
      <c r="D18" s="1353">
        <v>5018.34</v>
      </c>
      <c r="E18" s="1353">
        <v>299054</v>
      </c>
      <c r="F18" s="1353">
        <v>283422.68</v>
      </c>
      <c r="G18" s="1353">
        <v>294679</v>
      </c>
      <c r="H18" s="1354">
        <v>259738.38</v>
      </c>
      <c r="I18" s="1355">
        <v>28702.64</v>
      </c>
      <c r="J18" s="62">
        <f t="shared" si="3"/>
        <v>28702.640000000014</v>
      </c>
      <c r="K18" s="307">
        <f t="shared" si="1"/>
        <v>0</v>
      </c>
    </row>
    <row r="19" spans="1:11" s="58" customFormat="1" ht="24.75" customHeight="1">
      <c r="A19" s="1350" t="s">
        <v>891</v>
      </c>
      <c r="B19" s="1351" t="s">
        <v>895</v>
      </c>
      <c r="C19" s="1352" t="s">
        <v>631</v>
      </c>
      <c r="D19" s="1353">
        <v>2859.56</v>
      </c>
      <c r="E19" s="1353">
        <v>115910</v>
      </c>
      <c r="F19" s="1353">
        <v>114463.91</v>
      </c>
      <c r="G19" s="1353">
        <v>116770</v>
      </c>
      <c r="H19" s="1354">
        <v>114744.13</v>
      </c>
      <c r="I19" s="1355">
        <v>2579.34</v>
      </c>
      <c r="J19" s="62">
        <f t="shared" si="3"/>
        <v>2579.3399999999965</v>
      </c>
      <c r="K19" s="307">
        <f t="shared" si="1"/>
        <v>3.637978807091713E-12</v>
      </c>
    </row>
    <row r="20" spans="1:11" s="58" customFormat="1" ht="24.75" customHeight="1">
      <c r="A20" s="454" t="s">
        <v>891</v>
      </c>
      <c r="B20" s="455" t="s">
        <v>895</v>
      </c>
      <c r="C20" s="456" t="s">
        <v>632</v>
      </c>
      <c r="D20" s="1017">
        <v>10856.54</v>
      </c>
      <c r="E20" s="1017">
        <v>4006</v>
      </c>
      <c r="F20" s="1017">
        <v>2216.92</v>
      </c>
      <c r="G20" s="1017">
        <v>2251</v>
      </c>
      <c r="H20" s="1018">
        <v>2250.98</v>
      </c>
      <c r="I20" s="1019">
        <v>10822.48</v>
      </c>
      <c r="J20" s="62">
        <f t="shared" si="3"/>
        <v>10822.480000000001</v>
      </c>
      <c r="K20" s="307">
        <f t="shared" si="1"/>
        <v>0</v>
      </c>
    </row>
    <row r="21" spans="1:11" s="44" customFormat="1" ht="24.75" customHeight="1">
      <c r="A21" s="445" t="s">
        <v>904</v>
      </c>
      <c r="B21" s="446" t="s">
        <v>905</v>
      </c>
      <c r="C21" s="447" t="s">
        <v>57</v>
      </c>
      <c r="D21" s="1013">
        <v>4786.42</v>
      </c>
      <c r="E21" s="1013">
        <v>167330</v>
      </c>
      <c r="F21" s="1013">
        <v>167405.97</v>
      </c>
      <c r="G21" s="1013">
        <v>167330</v>
      </c>
      <c r="H21" s="1014">
        <v>163860.77</v>
      </c>
      <c r="I21" s="1015">
        <v>8331.62</v>
      </c>
      <c r="J21" s="307">
        <f>D21+F21-H21</f>
        <v>8331.620000000024</v>
      </c>
      <c r="K21" s="307">
        <f>I21-J21</f>
        <v>-2.3646862246096134E-11</v>
      </c>
    </row>
    <row r="22" spans="1:11" s="44" customFormat="1" ht="24.75" customHeight="1">
      <c r="A22" s="445" t="s">
        <v>916</v>
      </c>
      <c r="B22" s="446" t="s">
        <v>970</v>
      </c>
      <c r="C22" s="447" t="s">
        <v>60</v>
      </c>
      <c r="D22" s="1013">
        <v>21718.42</v>
      </c>
      <c r="E22" s="1013">
        <v>257511</v>
      </c>
      <c r="F22" s="1013">
        <v>257510.9</v>
      </c>
      <c r="G22" s="1013">
        <v>279229</v>
      </c>
      <c r="H22" s="1014">
        <v>237205.76</v>
      </c>
      <c r="I22" s="1015">
        <v>42023.56</v>
      </c>
      <c r="J22" s="307">
        <f>D22+F22-H22</f>
        <v>42023.56</v>
      </c>
      <c r="K22" s="307">
        <f>I22-J22</f>
        <v>0</v>
      </c>
    </row>
    <row r="23" spans="1:11" s="14" customFormat="1" ht="21" customHeight="1">
      <c r="A23" s="1593" t="s">
        <v>793</v>
      </c>
      <c r="B23" s="1594"/>
      <c r="C23" s="1595"/>
      <c r="D23" s="1047">
        <f aca="true" t="shared" si="5" ref="D23:I23">SUM(D24,D27,D28,D29,D32,D33,D34)</f>
        <v>878088.91</v>
      </c>
      <c r="E23" s="1047">
        <f t="shared" si="5"/>
        <v>2276176</v>
      </c>
      <c r="F23" s="1047">
        <f t="shared" si="5"/>
        <v>2096334.5899999999</v>
      </c>
      <c r="G23" s="1047">
        <f t="shared" si="5"/>
        <v>3122369</v>
      </c>
      <c r="H23" s="1047">
        <f t="shared" si="5"/>
        <v>2472511.99</v>
      </c>
      <c r="I23" s="1047">
        <f t="shared" si="5"/>
        <v>501911.51</v>
      </c>
      <c r="J23" s="307">
        <f>D23+F23-H23</f>
        <v>501911.5099999998</v>
      </c>
      <c r="K23" s="307">
        <f>I23-J23</f>
        <v>0</v>
      </c>
    </row>
    <row r="24" spans="1:11" s="43" customFormat="1" ht="40.5" customHeight="1">
      <c r="A24" s="1363" t="s">
        <v>844</v>
      </c>
      <c r="B24" s="1364" t="s">
        <v>846</v>
      </c>
      <c r="C24" s="1365" t="s">
        <v>907</v>
      </c>
      <c r="D24" s="1366">
        <f aca="true" t="shared" si="6" ref="D24:I24">SUM(D25,D26)</f>
        <v>706248.35</v>
      </c>
      <c r="E24" s="1366">
        <f t="shared" si="6"/>
        <v>824994</v>
      </c>
      <c r="F24" s="1366">
        <f t="shared" si="6"/>
        <v>744917.97</v>
      </c>
      <c r="G24" s="1366">
        <f t="shared" si="6"/>
        <v>1531242</v>
      </c>
      <c r="H24" s="1366">
        <f t="shared" si="6"/>
        <v>1170157.45</v>
      </c>
      <c r="I24" s="1367">
        <f t="shared" si="6"/>
        <v>281008.87</v>
      </c>
      <c r="J24" s="307">
        <f>D24+F24-H24</f>
        <v>281008.8699999999</v>
      </c>
      <c r="K24" s="307">
        <f>I24-J24</f>
        <v>0</v>
      </c>
    </row>
    <row r="25" spans="1:11" s="58" customFormat="1" ht="24.75" customHeight="1">
      <c r="A25" s="1350" t="s">
        <v>844</v>
      </c>
      <c r="B25" s="1351" t="s">
        <v>846</v>
      </c>
      <c r="C25" s="1352" t="s">
        <v>55</v>
      </c>
      <c r="D25" s="1353">
        <v>146811</v>
      </c>
      <c r="E25" s="1353">
        <v>426494</v>
      </c>
      <c r="F25" s="1353">
        <v>426494.03</v>
      </c>
      <c r="G25" s="1353">
        <v>573305</v>
      </c>
      <c r="H25" s="1354">
        <v>293171.86</v>
      </c>
      <c r="I25" s="1355">
        <v>280133.17</v>
      </c>
      <c r="J25" s="62">
        <f>D25+F25-H25</f>
        <v>280133.17000000004</v>
      </c>
      <c r="K25" s="62">
        <f>I25-J25</f>
        <v>0</v>
      </c>
    </row>
    <row r="26" spans="1:11" s="58" customFormat="1" ht="24.75" customHeight="1">
      <c r="A26" s="454" t="s">
        <v>844</v>
      </c>
      <c r="B26" s="455" t="s">
        <v>846</v>
      </c>
      <c r="C26" s="456" t="s">
        <v>56</v>
      </c>
      <c r="D26" s="1017">
        <v>559437.35</v>
      </c>
      <c r="E26" s="1017">
        <v>398500</v>
      </c>
      <c r="F26" s="1017">
        <v>318423.94</v>
      </c>
      <c r="G26" s="1017">
        <v>957937</v>
      </c>
      <c r="H26" s="1018">
        <v>876985.59</v>
      </c>
      <c r="I26" s="1019">
        <v>875.7</v>
      </c>
      <c r="J26" s="62">
        <f aca="true" t="shared" si="7" ref="J26:J35">D26+F26-H26</f>
        <v>875.7000000000698</v>
      </c>
      <c r="K26" s="62">
        <f aca="true" t="shared" si="8" ref="K26:K35">I26-J26</f>
        <v>-6.980371836107224E-11</v>
      </c>
    </row>
    <row r="27" spans="1:11" s="44" customFormat="1" ht="24.75" customHeight="1">
      <c r="A27" s="445" t="s">
        <v>884</v>
      </c>
      <c r="B27" s="446" t="s">
        <v>885</v>
      </c>
      <c r="C27" s="447" t="s">
        <v>1116</v>
      </c>
      <c r="D27" s="1013">
        <v>0</v>
      </c>
      <c r="E27" s="1013">
        <v>32780</v>
      </c>
      <c r="F27" s="1013">
        <v>10379.95</v>
      </c>
      <c r="G27" s="1013">
        <v>32780</v>
      </c>
      <c r="H27" s="1014">
        <v>2954.09</v>
      </c>
      <c r="I27" s="1015">
        <v>7425.86</v>
      </c>
      <c r="J27" s="62">
        <f t="shared" si="7"/>
        <v>7425.860000000001</v>
      </c>
      <c r="K27" s="62">
        <f t="shared" si="8"/>
        <v>0</v>
      </c>
    </row>
    <row r="28" spans="1:11" s="44" customFormat="1" ht="26.25" customHeight="1">
      <c r="A28" s="445" t="s">
        <v>891</v>
      </c>
      <c r="B28" s="446" t="s">
        <v>897</v>
      </c>
      <c r="C28" s="447" t="s">
        <v>819</v>
      </c>
      <c r="D28" s="1013">
        <v>2359.53</v>
      </c>
      <c r="E28" s="1013">
        <v>54918</v>
      </c>
      <c r="F28" s="1013">
        <v>47185.86</v>
      </c>
      <c r="G28" s="1013">
        <v>57278</v>
      </c>
      <c r="H28" s="1014">
        <v>47666.3</v>
      </c>
      <c r="I28" s="1015">
        <v>1879.09</v>
      </c>
      <c r="J28" s="307">
        <f>D28+F28-H28</f>
        <v>1879.0899999999965</v>
      </c>
      <c r="K28" s="307">
        <f>I28-J28</f>
        <v>3.410605131648481E-12</v>
      </c>
    </row>
    <row r="29" spans="1:11" s="44" customFormat="1" ht="24.75" customHeight="1">
      <c r="A29" s="1345" t="s">
        <v>891</v>
      </c>
      <c r="B29" s="1346" t="s">
        <v>898</v>
      </c>
      <c r="C29" s="1347" t="s">
        <v>899</v>
      </c>
      <c r="D29" s="1348">
        <v>89158.36</v>
      </c>
      <c r="E29" s="1348">
        <f>SUM(E30,E31)</f>
        <v>367210</v>
      </c>
      <c r="F29" s="1348">
        <f>SUM(F30,F31)</f>
        <v>344412.27</v>
      </c>
      <c r="G29" s="1348">
        <f>SUM(G30,G31)</f>
        <v>429346</v>
      </c>
      <c r="H29" s="1348">
        <f>SUM(H30,H31)</f>
        <v>249359.74</v>
      </c>
      <c r="I29" s="1362">
        <f>SUM(I30,I31)</f>
        <v>184210.89</v>
      </c>
      <c r="J29" s="307">
        <f t="shared" si="7"/>
        <v>184210.89</v>
      </c>
      <c r="K29" s="307">
        <f t="shared" si="8"/>
        <v>0</v>
      </c>
    </row>
    <row r="30" spans="1:11" s="58" customFormat="1" ht="24.75" customHeight="1">
      <c r="A30" s="1350" t="s">
        <v>891</v>
      </c>
      <c r="B30" s="1351" t="s">
        <v>898</v>
      </c>
      <c r="C30" s="1352" t="s">
        <v>634</v>
      </c>
      <c r="D30" s="1353">
        <v>29952.63</v>
      </c>
      <c r="E30" s="1353">
        <v>44638</v>
      </c>
      <c r="F30" s="1353">
        <v>21840.37</v>
      </c>
      <c r="G30" s="1353">
        <v>47568</v>
      </c>
      <c r="H30" s="1354">
        <v>47568</v>
      </c>
      <c r="I30" s="1355">
        <v>4225</v>
      </c>
      <c r="J30" s="62">
        <f t="shared" si="7"/>
        <v>4225</v>
      </c>
      <c r="K30" s="62">
        <f t="shared" si="8"/>
        <v>0</v>
      </c>
    </row>
    <row r="31" spans="1:11" s="58" customFormat="1" ht="24.75" customHeight="1">
      <c r="A31" s="454" t="s">
        <v>891</v>
      </c>
      <c r="B31" s="455" t="s">
        <v>898</v>
      </c>
      <c r="C31" s="456" t="s">
        <v>635</v>
      </c>
      <c r="D31" s="1017">
        <v>59205.73</v>
      </c>
      <c r="E31" s="1017">
        <v>322572</v>
      </c>
      <c r="F31" s="1017">
        <v>322571.9</v>
      </c>
      <c r="G31" s="1017">
        <v>381778</v>
      </c>
      <c r="H31" s="1018">
        <v>201791.74</v>
      </c>
      <c r="I31" s="1019">
        <v>179985.89</v>
      </c>
      <c r="J31" s="62">
        <f t="shared" si="7"/>
        <v>179985.89</v>
      </c>
      <c r="K31" s="62">
        <f t="shared" si="8"/>
        <v>0</v>
      </c>
    </row>
    <row r="32" spans="1:11" s="44" customFormat="1" ht="24.75" customHeight="1">
      <c r="A32" s="445" t="s">
        <v>916</v>
      </c>
      <c r="B32" s="446" t="s">
        <v>921</v>
      </c>
      <c r="C32" s="447" t="s">
        <v>58</v>
      </c>
      <c r="D32" s="1013">
        <v>64803.18</v>
      </c>
      <c r="E32" s="1013">
        <v>514800</v>
      </c>
      <c r="F32" s="1013">
        <v>468786</v>
      </c>
      <c r="G32" s="1013">
        <v>579603</v>
      </c>
      <c r="H32" s="1014">
        <v>513645.69</v>
      </c>
      <c r="I32" s="1015">
        <v>19943.49</v>
      </c>
      <c r="J32" s="307">
        <f t="shared" si="7"/>
        <v>19943.49000000005</v>
      </c>
      <c r="K32" s="307">
        <f t="shared" si="8"/>
        <v>-4.729372449219227E-11</v>
      </c>
    </row>
    <row r="33" spans="1:11" s="44" customFormat="1" ht="24.75" customHeight="1">
      <c r="A33" s="445" t="s">
        <v>916</v>
      </c>
      <c r="B33" s="446" t="s">
        <v>922</v>
      </c>
      <c r="C33" s="447" t="s">
        <v>59</v>
      </c>
      <c r="D33" s="1013">
        <v>4724.48</v>
      </c>
      <c r="E33" s="1013">
        <v>5962</v>
      </c>
      <c r="F33" s="1013">
        <v>5140.55</v>
      </c>
      <c r="G33" s="1013">
        <v>5962</v>
      </c>
      <c r="H33" s="1014">
        <v>2570.72</v>
      </c>
      <c r="I33" s="1015">
        <v>7294.31</v>
      </c>
      <c r="J33" s="307">
        <f t="shared" si="7"/>
        <v>7294.3099999999995</v>
      </c>
      <c r="K33" s="307">
        <f t="shared" si="8"/>
        <v>0</v>
      </c>
    </row>
    <row r="34" spans="1:11" s="44" customFormat="1" ht="24.75" customHeight="1" thickBot="1">
      <c r="A34" s="1010" t="s">
        <v>916</v>
      </c>
      <c r="B34" s="1011" t="s">
        <v>972</v>
      </c>
      <c r="C34" s="1012" t="s">
        <v>633</v>
      </c>
      <c r="D34" s="1020">
        <v>10795.01</v>
      </c>
      <c r="E34" s="1020">
        <v>475512</v>
      </c>
      <c r="F34" s="1020">
        <v>475511.99</v>
      </c>
      <c r="G34" s="1020">
        <v>486158</v>
      </c>
      <c r="H34" s="1021">
        <v>486158</v>
      </c>
      <c r="I34" s="1022">
        <v>149</v>
      </c>
      <c r="J34" s="307">
        <f>D34+F34-H34</f>
        <v>149</v>
      </c>
      <c r="K34" s="307">
        <f>I34-J34</f>
        <v>0</v>
      </c>
    </row>
    <row r="35" spans="1:11" s="306" customFormat="1" ht="24.75" customHeight="1" thickBot="1">
      <c r="A35" s="1588" t="s">
        <v>623</v>
      </c>
      <c r="B35" s="1589"/>
      <c r="C35" s="1589"/>
      <c r="D35" s="1048">
        <f aca="true" t="shared" si="9" ref="D35:I35">SUM(D9,D23)</f>
        <v>1486993.1300000004</v>
      </c>
      <c r="E35" s="1048">
        <f t="shared" si="9"/>
        <v>4455999</v>
      </c>
      <c r="F35" s="1048">
        <f t="shared" si="9"/>
        <v>4368277.22</v>
      </c>
      <c r="G35" s="1048">
        <f t="shared" si="9"/>
        <v>5863889</v>
      </c>
      <c r="H35" s="1048">
        <f t="shared" si="9"/>
        <v>5080247.33</v>
      </c>
      <c r="I35" s="1049">
        <f t="shared" si="9"/>
        <v>775023.02</v>
      </c>
      <c r="J35" s="307">
        <f t="shared" si="7"/>
        <v>775023.0199999996</v>
      </c>
      <c r="K35" s="307">
        <f t="shared" si="8"/>
        <v>0</v>
      </c>
    </row>
  </sheetData>
  <sheetProtection/>
  <mergeCells count="11">
    <mergeCell ref="A35:C35"/>
    <mergeCell ref="G6:H6"/>
    <mergeCell ref="A6:A7"/>
    <mergeCell ref="B6:B7"/>
    <mergeCell ref="D6:D7"/>
    <mergeCell ref="A23:C23"/>
    <mergeCell ref="A9:C9"/>
    <mergeCell ref="I6:I7"/>
    <mergeCell ref="A4:H4"/>
    <mergeCell ref="C6:C7"/>
    <mergeCell ref="E6:F6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H15"/>
  <sheetViews>
    <sheetView view="pageBreakPreview" zoomScaleSheetLayoutView="100" workbookViewId="0" topLeftCell="A6">
      <selection activeCell="G13" sqref="G13"/>
    </sheetView>
  </sheetViews>
  <sheetFormatPr defaultColWidth="9.00390625" defaultRowHeight="12.75"/>
  <cols>
    <col min="1" max="1" width="3.375" style="15" customWidth="1"/>
    <col min="2" max="2" width="7.25390625" style="16" customWidth="1"/>
    <col min="3" max="3" width="34.75390625" style="16" customWidth="1"/>
    <col min="4" max="4" width="8.625" style="17" customWidth="1"/>
    <col min="5" max="5" width="11.125" style="16" customWidth="1"/>
    <col min="6" max="6" width="11.75390625" style="18" customWidth="1"/>
    <col min="7" max="7" width="10.00390625" style="16" customWidth="1"/>
    <col min="8" max="16384" width="9.125" style="16" customWidth="1"/>
  </cols>
  <sheetData>
    <row r="1" ht="12.75">
      <c r="G1" s="19" t="s">
        <v>250</v>
      </c>
    </row>
    <row r="3" spans="1:6" ht="12.75">
      <c r="A3" s="1602" t="s">
        <v>1239</v>
      </c>
      <c r="B3" s="1602"/>
      <c r="C3" s="1602"/>
      <c r="D3" s="1602"/>
      <c r="E3" s="1602"/>
      <c r="F3" s="1602"/>
    </row>
    <row r="4" spans="5:7" ht="12.75">
      <c r="E4" s="20"/>
      <c r="F4" s="21"/>
      <c r="G4" s="21"/>
    </row>
    <row r="5" spans="1:7" s="1324" customFormat="1" ht="56.25" customHeight="1">
      <c r="A5" s="563" t="s">
        <v>1106</v>
      </c>
      <c r="B5" s="563" t="s">
        <v>834</v>
      </c>
      <c r="C5" s="563" t="s">
        <v>1019</v>
      </c>
      <c r="D5" s="564" t="s">
        <v>692</v>
      </c>
      <c r="E5" s="564" t="s">
        <v>348</v>
      </c>
      <c r="F5" s="565" t="s">
        <v>118</v>
      </c>
      <c r="G5" s="564" t="s">
        <v>170</v>
      </c>
    </row>
    <row r="6" spans="1:7" s="1325" customFormat="1" ht="14.25" customHeight="1">
      <c r="A6" s="566">
        <v>1</v>
      </c>
      <c r="B6" s="566">
        <v>2</v>
      </c>
      <c r="C6" s="566">
        <v>3</v>
      </c>
      <c r="D6" s="567">
        <v>4</v>
      </c>
      <c r="E6" s="567">
        <v>5</v>
      </c>
      <c r="F6" s="568">
        <v>6</v>
      </c>
      <c r="G6" s="567">
        <v>7</v>
      </c>
    </row>
    <row r="7" spans="1:8" s="25" customFormat="1" ht="42.75" customHeight="1">
      <c r="A7" s="22" t="s">
        <v>1109</v>
      </c>
      <c r="B7" s="22">
        <v>60011</v>
      </c>
      <c r="C7" s="23" t="s">
        <v>1240</v>
      </c>
      <c r="D7" s="24" t="s">
        <v>1241</v>
      </c>
      <c r="E7" s="1218">
        <v>300000</v>
      </c>
      <c r="F7" s="1219">
        <v>299868.68</v>
      </c>
      <c r="G7" s="1218">
        <f aca="true" t="shared" si="0" ref="G7:G14">E7-F7</f>
        <v>131.32000000000698</v>
      </c>
      <c r="H7" s="25" t="s">
        <v>117</v>
      </c>
    </row>
    <row r="8" spans="1:8" s="25" customFormat="1" ht="42.75" customHeight="1">
      <c r="A8" s="22" t="s">
        <v>1110</v>
      </c>
      <c r="B8" s="22">
        <v>60015</v>
      </c>
      <c r="C8" s="23" t="s">
        <v>1243</v>
      </c>
      <c r="D8" s="24" t="s">
        <v>1242</v>
      </c>
      <c r="E8" s="1218">
        <v>400000</v>
      </c>
      <c r="F8" s="1219">
        <v>160065.84</v>
      </c>
      <c r="G8" s="1218">
        <f t="shared" si="0"/>
        <v>239934.16</v>
      </c>
      <c r="H8" s="25" t="s">
        <v>117</v>
      </c>
    </row>
    <row r="9" spans="1:8" s="25" customFormat="1" ht="42.75" customHeight="1">
      <c r="A9" s="22" t="s">
        <v>1192</v>
      </c>
      <c r="B9" s="22">
        <v>60016</v>
      </c>
      <c r="C9" s="23" t="s">
        <v>1244</v>
      </c>
      <c r="D9" s="24" t="s">
        <v>1241</v>
      </c>
      <c r="E9" s="1218">
        <v>83000</v>
      </c>
      <c r="F9" s="1219">
        <v>75814.49</v>
      </c>
      <c r="G9" s="1218">
        <f t="shared" si="0"/>
        <v>7185.509999999995</v>
      </c>
      <c r="H9" s="25" t="s">
        <v>117</v>
      </c>
    </row>
    <row r="10" spans="1:8" s="25" customFormat="1" ht="42.75" customHeight="1">
      <c r="A10" s="22" t="s">
        <v>1199</v>
      </c>
      <c r="B10" s="22">
        <v>60016</v>
      </c>
      <c r="C10" s="23" t="s">
        <v>684</v>
      </c>
      <c r="D10" s="24" t="s">
        <v>1241</v>
      </c>
      <c r="E10" s="1218">
        <v>110000</v>
      </c>
      <c r="F10" s="1219">
        <v>92151.32</v>
      </c>
      <c r="G10" s="1218">
        <f t="shared" si="0"/>
        <v>17848.679999999993</v>
      </c>
      <c r="H10" s="25" t="s">
        <v>117</v>
      </c>
    </row>
    <row r="11" spans="1:7" s="25" customFormat="1" ht="42.75" customHeight="1">
      <c r="A11" s="22" t="s">
        <v>1200</v>
      </c>
      <c r="B11" s="22">
        <v>75405</v>
      </c>
      <c r="C11" s="23" t="s">
        <v>1245</v>
      </c>
      <c r="D11" s="24" t="s">
        <v>1246</v>
      </c>
      <c r="E11" s="1218">
        <v>57809</v>
      </c>
      <c r="F11" s="1219">
        <v>57809</v>
      </c>
      <c r="G11" s="1218">
        <f t="shared" si="0"/>
        <v>0</v>
      </c>
    </row>
    <row r="12" spans="1:7" s="25" customFormat="1" ht="42.75" customHeight="1">
      <c r="A12" s="22" t="s">
        <v>1201</v>
      </c>
      <c r="B12" s="22">
        <v>80130</v>
      </c>
      <c r="C12" s="23" t="s">
        <v>1247</v>
      </c>
      <c r="D12" s="24" t="s">
        <v>1248</v>
      </c>
      <c r="E12" s="1218">
        <v>415000</v>
      </c>
      <c r="F12" s="1219">
        <v>415000</v>
      </c>
      <c r="G12" s="1218">
        <f t="shared" si="0"/>
        <v>0</v>
      </c>
    </row>
    <row r="13" spans="1:8" s="25" customFormat="1" ht="42.75" customHeight="1">
      <c r="A13" s="22" t="s">
        <v>1310</v>
      </c>
      <c r="B13" s="22">
        <v>85154</v>
      </c>
      <c r="C13" s="23" t="s">
        <v>1249</v>
      </c>
      <c r="D13" s="24" t="s">
        <v>1241</v>
      </c>
      <c r="E13" s="1218">
        <v>345496</v>
      </c>
      <c r="F13" s="1219">
        <v>345496</v>
      </c>
      <c r="G13" s="1218">
        <f t="shared" si="0"/>
        <v>0</v>
      </c>
      <c r="H13" s="25" t="s">
        <v>117</v>
      </c>
    </row>
    <row r="14" spans="1:7" s="25" customFormat="1" ht="66.75" customHeight="1">
      <c r="A14" s="22" t="s">
        <v>1311</v>
      </c>
      <c r="B14" s="22">
        <v>85154</v>
      </c>
      <c r="C14" s="23" t="s">
        <v>1255</v>
      </c>
      <c r="D14" s="24" t="s">
        <v>1241</v>
      </c>
      <c r="E14" s="1218">
        <v>100000</v>
      </c>
      <c r="F14" s="1326">
        <v>0</v>
      </c>
      <c r="G14" s="1327">
        <f t="shared" si="0"/>
        <v>100000</v>
      </c>
    </row>
    <row r="15" spans="1:7" s="25" customFormat="1" ht="27" customHeight="1">
      <c r="A15" s="1599" t="s">
        <v>693</v>
      </c>
      <c r="B15" s="1600"/>
      <c r="C15" s="1600"/>
      <c r="D15" s="1601"/>
      <c r="E15" s="1328">
        <f>SUM(E7:E14)</f>
        <v>1811305</v>
      </c>
      <c r="F15" s="1328">
        <f>SUM(F7:F14)</f>
        <v>1446205.33</v>
      </c>
      <c r="G15" s="1328">
        <f>SUM(G7:G14)</f>
        <v>365099.67</v>
      </c>
    </row>
  </sheetData>
  <sheetProtection/>
  <mergeCells count="2">
    <mergeCell ref="A15:D15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6"/>
  <sheetViews>
    <sheetView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14.375" style="28" customWidth="1"/>
    <col min="2" max="2" width="17.00390625" style="28" customWidth="1"/>
    <col min="3" max="3" width="13.75390625" style="27" customWidth="1"/>
    <col min="4" max="4" width="13.875" style="27" customWidth="1"/>
    <col min="5" max="5" width="14.25390625" style="27" customWidth="1"/>
    <col min="6" max="6" width="13.625" style="27" customWidth="1"/>
    <col min="7" max="7" width="17.25390625" style="27" customWidth="1"/>
    <col min="8" max="8" width="16.375" style="27" customWidth="1"/>
    <col min="9" max="16384" width="9.125" style="27" customWidth="1"/>
  </cols>
  <sheetData>
    <row r="1" ht="23.25" customHeight="1">
      <c r="F1" s="511" t="s">
        <v>240</v>
      </c>
    </row>
    <row r="2" ht="23.25" customHeight="1">
      <c r="F2" s="29"/>
    </row>
    <row r="3" spans="1:6" ht="30.75" customHeight="1">
      <c r="A3" s="1438" t="s">
        <v>807</v>
      </c>
      <c r="B3" s="1438"/>
      <c r="C3" s="1438"/>
      <c r="D3" s="1438"/>
      <c r="E3" s="1438"/>
      <c r="F3" s="1438"/>
    </row>
    <row r="4" ht="16.5" customHeight="1" thickBot="1">
      <c r="F4" s="29" t="s">
        <v>833</v>
      </c>
    </row>
    <row r="5" spans="1:6" s="1319" customFormat="1" ht="18" customHeight="1">
      <c r="A5" s="1434" t="s">
        <v>39</v>
      </c>
      <c r="B5" s="1424" t="s">
        <v>822</v>
      </c>
      <c r="C5" s="1436" t="s">
        <v>1318</v>
      </c>
      <c r="D5" s="1437"/>
      <c r="E5" s="1436" t="s">
        <v>1319</v>
      </c>
      <c r="F5" s="1430"/>
    </row>
    <row r="6" spans="1:6" s="1319" customFormat="1" ht="18" customHeight="1">
      <c r="A6" s="1435"/>
      <c r="B6" s="1425"/>
      <c r="C6" s="1320" t="s">
        <v>40</v>
      </c>
      <c r="D6" s="1320" t="s">
        <v>41</v>
      </c>
      <c r="E6" s="1320" t="s">
        <v>40</v>
      </c>
      <c r="F6" s="1321" t="s">
        <v>41</v>
      </c>
    </row>
    <row r="7" spans="1:6" s="1319" customFormat="1" ht="13.5" customHeight="1">
      <c r="A7" s="1322">
        <v>1</v>
      </c>
      <c r="B7" s="1323">
        <v>2</v>
      </c>
      <c r="C7" s="1320">
        <v>3</v>
      </c>
      <c r="D7" s="1320">
        <v>4</v>
      </c>
      <c r="E7" s="1320">
        <v>5</v>
      </c>
      <c r="F7" s="1321">
        <v>6</v>
      </c>
    </row>
    <row r="8" spans="1:6" s="31" customFormat="1" ht="18" customHeight="1">
      <c r="A8" s="1451" t="s">
        <v>42</v>
      </c>
      <c r="B8" s="1452"/>
      <c r="C8" s="1439">
        <v>10802410</v>
      </c>
      <c r="D8" s="1450"/>
      <c r="E8" s="1439">
        <v>23287965</v>
      </c>
      <c r="F8" s="1440"/>
    </row>
    <row r="9" spans="1:6" ht="18" customHeight="1">
      <c r="A9" s="32" t="s">
        <v>1264</v>
      </c>
      <c r="B9" s="33" t="s">
        <v>1265</v>
      </c>
      <c r="C9" s="34">
        <v>0</v>
      </c>
      <c r="D9" s="34">
        <v>2692661</v>
      </c>
      <c r="E9" s="34">
        <v>0</v>
      </c>
      <c r="F9" s="35">
        <v>0</v>
      </c>
    </row>
    <row r="10" spans="1:6" ht="18" customHeight="1">
      <c r="A10" s="36" t="s">
        <v>1282</v>
      </c>
      <c r="B10" s="33" t="s">
        <v>1283</v>
      </c>
      <c r="C10" s="34">
        <v>0</v>
      </c>
      <c r="D10" s="34">
        <v>23622933</v>
      </c>
      <c r="E10" s="34">
        <v>0</v>
      </c>
      <c r="F10" s="35">
        <v>165350</v>
      </c>
    </row>
    <row r="11" spans="1:6" ht="18" customHeight="1">
      <c r="A11" s="36" t="s">
        <v>191</v>
      </c>
      <c r="B11" s="33" t="s">
        <v>192</v>
      </c>
      <c r="C11" s="34">
        <v>0</v>
      </c>
      <c r="D11" s="34">
        <v>50000</v>
      </c>
      <c r="E11" s="34">
        <v>0</v>
      </c>
      <c r="F11" s="35">
        <v>0</v>
      </c>
    </row>
    <row r="12" spans="1:6" ht="18" customHeight="1">
      <c r="A12" s="36" t="s">
        <v>211</v>
      </c>
      <c r="B12" s="33" t="s">
        <v>210</v>
      </c>
      <c r="C12" s="34">
        <v>-18000</v>
      </c>
      <c r="D12" s="34">
        <v>5230</v>
      </c>
      <c r="E12" s="34">
        <v>-120219</v>
      </c>
      <c r="F12" s="35">
        <v>0</v>
      </c>
    </row>
    <row r="13" spans="1:6" ht="18" customHeight="1">
      <c r="A13" s="36" t="s">
        <v>217</v>
      </c>
      <c r="B13" s="33" t="s">
        <v>218</v>
      </c>
      <c r="C13" s="34">
        <v>0</v>
      </c>
      <c r="D13" s="34">
        <v>0</v>
      </c>
      <c r="E13" s="34">
        <v>-4124767</v>
      </c>
      <c r="F13" s="35">
        <v>0</v>
      </c>
    </row>
    <row r="14" spans="1:6" s="31" customFormat="1" ht="18" customHeight="1">
      <c r="A14" s="1426" t="s">
        <v>1102</v>
      </c>
      <c r="B14" s="1427"/>
      <c r="C14" s="839">
        <f>SUM(C9,C10,C11,C12,C13)</f>
        <v>-18000</v>
      </c>
      <c r="D14" s="839">
        <f>SUM(D9,D10,D11,D12,D13)</f>
        <v>26370824</v>
      </c>
      <c r="E14" s="839">
        <f>SUM(E9,E10,E11,E12,E13)</f>
        <v>-4244986</v>
      </c>
      <c r="F14" s="840">
        <f>SUM(F9,F10,F11,F12,F13)</f>
        <v>165350</v>
      </c>
    </row>
    <row r="15" spans="1:6" s="31" customFormat="1" ht="18" customHeight="1">
      <c r="A15" s="1428" t="s">
        <v>43</v>
      </c>
      <c r="B15" s="1429"/>
      <c r="C15" s="1422">
        <f>SUM(C14:D14)</f>
        <v>26352824</v>
      </c>
      <c r="D15" s="1423"/>
      <c r="E15" s="1422">
        <f>SUM(E14:F14)</f>
        <v>-4079636</v>
      </c>
      <c r="F15" s="1431"/>
    </row>
    <row r="16" spans="1:6" s="31" customFormat="1" ht="18" customHeight="1" thickBot="1">
      <c r="A16" s="1457" t="s">
        <v>44</v>
      </c>
      <c r="B16" s="1433"/>
      <c r="C16" s="1447">
        <f>SUM(C8,C15)</f>
        <v>37155234</v>
      </c>
      <c r="D16" s="1448"/>
      <c r="E16" s="1447">
        <f>SUM(E8,E15)</f>
        <v>19208329</v>
      </c>
      <c r="F16" s="1449"/>
    </row>
  </sheetData>
  <sheetProtection/>
  <mergeCells count="15">
    <mergeCell ref="A3:F3"/>
    <mergeCell ref="A14:B14"/>
    <mergeCell ref="A15:B15"/>
    <mergeCell ref="E8:F8"/>
    <mergeCell ref="E5:F5"/>
    <mergeCell ref="E15:F15"/>
    <mergeCell ref="E16:F16"/>
    <mergeCell ref="A16:B16"/>
    <mergeCell ref="A5:A6"/>
    <mergeCell ref="A8:B8"/>
    <mergeCell ref="C8:D8"/>
    <mergeCell ref="C5:D5"/>
    <mergeCell ref="C15:D15"/>
    <mergeCell ref="C16:D1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5">
    <tabColor indexed="42"/>
  </sheetPr>
  <dimension ref="A1:G53"/>
  <sheetViews>
    <sheetView view="pageBreakPreview" zoomScaleSheetLayoutView="100" workbookViewId="0" topLeftCell="A34">
      <selection activeCell="A3" sqref="A3:F3"/>
    </sheetView>
  </sheetViews>
  <sheetFormatPr defaultColWidth="9.00390625" defaultRowHeight="12.75"/>
  <cols>
    <col min="1" max="1" width="3.625" style="3" customWidth="1"/>
    <col min="2" max="2" width="4.375" style="3" customWidth="1"/>
    <col min="3" max="3" width="48.875" style="3" customWidth="1"/>
    <col min="4" max="5" width="12.00390625" style="3" customWidth="1"/>
    <col min="6" max="6" width="6.25390625" style="3" customWidth="1"/>
    <col min="7" max="16384" width="9.125" style="3" customWidth="1"/>
  </cols>
  <sheetData>
    <row r="1" spans="5:6" s="44" customFormat="1" ht="12" customHeight="1">
      <c r="E1" s="1493" t="s">
        <v>261</v>
      </c>
      <c r="F1" s="1493"/>
    </row>
    <row r="2" s="44" customFormat="1" ht="12.75"/>
    <row r="3" spans="1:6" s="44" customFormat="1" ht="12.75">
      <c r="A3" s="1400" t="s">
        <v>334</v>
      </c>
      <c r="B3" s="1400"/>
      <c r="C3" s="1400"/>
      <c r="D3" s="1400"/>
      <c r="E3" s="1400"/>
      <c r="F3" s="1400"/>
    </row>
    <row r="4" spans="1:6" s="44" customFormat="1" ht="12.75">
      <c r="A4" s="14"/>
      <c r="B4" s="14"/>
      <c r="C4" s="14"/>
      <c r="D4" s="14"/>
      <c r="E4" s="14"/>
      <c r="F4" s="14"/>
    </row>
    <row r="5" spans="1:6" s="306" customFormat="1" ht="12.75" customHeight="1" thickBot="1">
      <c r="A5" s="1605" t="s">
        <v>335</v>
      </c>
      <c r="B5" s="1605"/>
      <c r="C5" s="1605"/>
      <c r="F5" s="19" t="s">
        <v>833</v>
      </c>
    </row>
    <row r="6" spans="1:6" s="14" customFormat="1" ht="12.75">
      <c r="A6" s="569" t="s">
        <v>1106</v>
      </c>
      <c r="B6" s="570" t="s">
        <v>1024</v>
      </c>
      <c r="C6" s="570" t="s">
        <v>835</v>
      </c>
      <c r="D6" s="571" t="s">
        <v>836</v>
      </c>
      <c r="E6" s="571" t="s">
        <v>837</v>
      </c>
      <c r="F6" s="572" t="s">
        <v>61</v>
      </c>
    </row>
    <row r="7" spans="1:6" s="458" customFormat="1" ht="12.75" customHeight="1" thickBot="1">
      <c r="A7" s="573">
        <v>1</v>
      </c>
      <c r="B7" s="574">
        <v>2</v>
      </c>
      <c r="C7" s="574">
        <v>3</v>
      </c>
      <c r="D7" s="575">
        <v>4</v>
      </c>
      <c r="E7" s="575">
        <v>5</v>
      </c>
      <c r="F7" s="576">
        <v>6</v>
      </c>
    </row>
    <row r="8" spans="1:6" s="306" customFormat="1" ht="27.75" customHeight="1">
      <c r="A8" s="488" t="s">
        <v>62</v>
      </c>
      <c r="B8" s="489"/>
      <c r="C8" s="490" t="s">
        <v>480</v>
      </c>
      <c r="D8" s="1023">
        <v>477569</v>
      </c>
      <c r="E8" s="1023">
        <v>477568.94</v>
      </c>
      <c r="F8" s="1024" t="s">
        <v>1114</v>
      </c>
    </row>
    <row r="9" spans="1:6" s="306" customFormat="1" ht="18.75" customHeight="1">
      <c r="A9" s="491" t="s">
        <v>67</v>
      </c>
      <c r="B9" s="492"/>
      <c r="C9" s="492" t="s">
        <v>1097</v>
      </c>
      <c r="D9" s="1025">
        <f>SUM(D10,D11,D12,)+D13+D14</f>
        <v>10359200</v>
      </c>
      <c r="E9" s="1025">
        <f>SUM(E10,E11,E12,)+E13+E14</f>
        <v>10383408.4</v>
      </c>
      <c r="F9" s="1026">
        <f aca="true" t="shared" si="0" ref="F9:F19">E9/D9*100</f>
        <v>100.23368986022088</v>
      </c>
    </row>
    <row r="10" spans="1:6" s="44" customFormat="1" ht="18.75" customHeight="1">
      <c r="A10" s="459" t="s">
        <v>1109</v>
      </c>
      <c r="B10" s="460" t="s">
        <v>1354</v>
      </c>
      <c r="C10" s="461" t="s">
        <v>68</v>
      </c>
      <c r="D10" s="1027">
        <v>8786200</v>
      </c>
      <c r="E10" s="1027">
        <v>8714590.28</v>
      </c>
      <c r="F10" s="1028">
        <f t="shared" si="0"/>
        <v>99.18497507454872</v>
      </c>
    </row>
    <row r="11" spans="1:6" s="44" customFormat="1" ht="18.75" customHeight="1">
      <c r="A11" s="459" t="s">
        <v>1110</v>
      </c>
      <c r="B11" s="460" t="s">
        <v>1355</v>
      </c>
      <c r="C11" s="461" t="s">
        <v>1032</v>
      </c>
      <c r="D11" s="1027">
        <v>278000</v>
      </c>
      <c r="E11" s="1027">
        <v>313881.06</v>
      </c>
      <c r="F11" s="1028">
        <f t="shared" si="0"/>
        <v>112.90685611510791</v>
      </c>
    </row>
    <row r="12" spans="1:6" s="44" customFormat="1" ht="18.75" customHeight="1">
      <c r="A12" s="459" t="s">
        <v>1192</v>
      </c>
      <c r="B12" s="460" t="s">
        <v>1356</v>
      </c>
      <c r="C12" s="461" t="s">
        <v>1031</v>
      </c>
      <c r="D12" s="1027">
        <v>245000</v>
      </c>
      <c r="E12" s="1027">
        <v>256576.15</v>
      </c>
      <c r="F12" s="1028">
        <f t="shared" si="0"/>
        <v>104.72495918367346</v>
      </c>
    </row>
    <row r="13" spans="1:6" s="44" customFormat="1" ht="27" customHeight="1">
      <c r="A13" s="459" t="s">
        <v>1199</v>
      </c>
      <c r="B13" s="460" t="s">
        <v>69</v>
      </c>
      <c r="C13" s="463" t="s">
        <v>70</v>
      </c>
      <c r="D13" s="1027">
        <v>550000</v>
      </c>
      <c r="E13" s="1027">
        <v>547184.24</v>
      </c>
      <c r="F13" s="1028">
        <f t="shared" si="0"/>
        <v>99.48804363636363</v>
      </c>
    </row>
    <row r="14" spans="1:6" s="44" customFormat="1" ht="18.75" customHeight="1" thickBot="1">
      <c r="A14" s="459"/>
      <c r="B14" s="460"/>
      <c r="C14" s="461" t="s">
        <v>71</v>
      </c>
      <c r="D14" s="1027">
        <v>500000</v>
      </c>
      <c r="E14" s="1027">
        <v>551176.67</v>
      </c>
      <c r="F14" s="1028">
        <f t="shared" si="0"/>
        <v>110.23533400000001</v>
      </c>
    </row>
    <row r="15" spans="1:6" s="306" customFormat="1" ht="18" customHeight="1" thickBot="1">
      <c r="A15" s="1603" t="s">
        <v>72</v>
      </c>
      <c r="B15" s="1604"/>
      <c r="C15" s="1604"/>
      <c r="D15" s="1029">
        <f>D9+D8</f>
        <v>10836769</v>
      </c>
      <c r="E15" s="1029">
        <f>E9+E8</f>
        <v>10860977.34</v>
      </c>
      <c r="F15" s="1030">
        <f t="shared" si="0"/>
        <v>100.22339075419988</v>
      </c>
    </row>
    <row r="16" spans="1:6" s="306" customFormat="1" ht="18" customHeight="1">
      <c r="A16" s="491" t="s">
        <v>73</v>
      </c>
      <c r="B16" s="492"/>
      <c r="C16" s="492" t="s">
        <v>74</v>
      </c>
      <c r="D16" s="1025">
        <f>SUM(D17,D18,D19,D20,D21,D22,D23,D24,D25,D26,D27,D28,D29,D30,D31,D32,D33,D34,D35,D36,D37,D38,D39,D40,D41,D42,D43,D44,D45,D46)+D47+D48+D49</f>
        <v>10270769</v>
      </c>
      <c r="E16" s="1025">
        <f>SUM(E17,E18,E19,E20,E21,E22,E23,E24,E25,E26,E27,E28,E29,E30,E31,E32,E33,E34,E35,E36,E37,E38,E39,E40,E41,E42,E43,E44,E45,E46)+E47+E48+E49</f>
        <v>10484855.990000002</v>
      </c>
      <c r="F16" s="1026">
        <f t="shared" si="0"/>
        <v>102.08442999740332</v>
      </c>
    </row>
    <row r="17" spans="1:6" s="44" customFormat="1" ht="18.75" customHeight="1">
      <c r="A17" s="459" t="s">
        <v>1109</v>
      </c>
      <c r="B17" s="462">
        <v>3020</v>
      </c>
      <c r="C17" s="463" t="s">
        <v>75</v>
      </c>
      <c r="D17" s="1032">
        <v>65000</v>
      </c>
      <c r="E17" s="1027">
        <v>53322.39</v>
      </c>
      <c r="F17" s="1033">
        <f t="shared" si="0"/>
        <v>82.03444615384615</v>
      </c>
    </row>
    <row r="18" spans="1:7" s="44" customFormat="1" ht="18.75" customHeight="1">
      <c r="A18" s="459" t="s">
        <v>1110</v>
      </c>
      <c r="B18" s="462">
        <v>4010</v>
      </c>
      <c r="C18" s="463" t="s">
        <v>76</v>
      </c>
      <c r="D18" s="1027">
        <v>1261000</v>
      </c>
      <c r="E18" s="1027">
        <v>1235414.58</v>
      </c>
      <c r="F18" s="1028">
        <f t="shared" si="0"/>
        <v>97.97102141157812</v>
      </c>
      <c r="G18" s="307"/>
    </row>
    <row r="19" spans="1:6" s="44" customFormat="1" ht="18.75" customHeight="1">
      <c r="A19" s="459" t="s">
        <v>1192</v>
      </c>
      <c r="B19" s="462">
        <v>4040</v>
      </c>
      <c r="C19" s="463" t="s">
        <v>77</v>
      </c>
      <c r="D19" s="1027">
        <v>102000</v>
      </c>
      <c r="E19" s="1027">
        <v>97026.56</v>
      </c>
      <c r="F19" s="1028">
        <f t="shared" si="0"/>
        <v>95.12407843137255</v>
      </c>
    </row>
    <row r="20" spans="1:6" s="44" customFormat="1" ht="18.75" customHeight="1">
      <c r="A20" s="459" t="s">
        <v>1199</v>
      </c>
      <c r="B20" s="462">
        <v>4110</v>
      </c>
      <c r="C20" s="463" t="s">
        <v>83</v>
      </c>
      <c r="D20" s="1027">
        <v>202000</v>
      </c>
      <c r="E20" s="1027">
        <v>186867.33</v>
      </c>
      <c r="F20" s="1028">
        <f aca="true" t="shared" si="1" ref="F20:F37">E20/D20*100</f>
        <v>92.50857920792079</v>
      </c>
    </row>
    <row r="21" spans="1:6" s="44" customFormat="1" ht="18.75" customHeight="1">
      <c r="A21" s="459" t="s">
        <v>1200</v>
      </c>
      <c r="B21" s="462">
        <v>4120</v>
      </c>
      <c r="C21" s="463" t="s">
        <v>84</v>
      </c>
      <c r="D21" s="1027">
        <v>33000</v>
      </c>
      <c r="E21" s="1027">
        <v>32341.28</v>
      </c>
      <c r="F21" s="1028">
        <f t="shared" si="1"/>
        <v>98.00387878787879</v>
      </c>
    </row>
    <row r="22" spans="1:6" s="44" customFormat="1" ht="18.75" customHeight="1">
      <c r="A22" s="459" t="s">
        <v>1201</v>
      </c>
      <c r="B22" s="462">
        <v>4170</v>
      </c>
      <c r="C22" s="463" t="s">
        <v>85</v>
      </c>
      <c r="D22" s="1027">
        <v>24000</v>
      </c>
      <c r="E22" s="1027">
        <v>17491.88</v>
      </c>
      <c r="F22" s="1028">
        <f t="shared" si="1"/>
        <v>72.88283333333334</v>
      </c>
    </row>
    <row r="23" spans="1:6" s="44" customFormat="1" ht="18.75" customHeight="1">
      <c r="A23" s="459" t="s">
        <v>1310</v>
      </c>
      <c r="B23" s="462">
        <v>4210</v>
      </c>
      <c r="C23" s="463" t="s">
        <v>86</v>
      </c>
      <c r="D23" s="1027">
        <v>160000</v>
      </c>
      <c r="E23" s="1027">
        <v>139574.93</v>
      </c>
      <c r="F23" s="1028">
        <f t="shared" si="1"/>
        <v>87.23433125</v>
      </c>
    </row>
    <row r="24" spans="1:6" s="44" customFormat="1" ht="18.75" customHeight="1">
      <c r="A24" s="459" t="s">
        <v>1311</v>
      </c>
      <c r="B24" s="462">
        <v>4260</v>
      </c>
      <c r="C24" s="463" t="s">
        <v>87</v>
      </c>
      <c r="D24" s="1027">
        <v>1662000</v>
      </c>
      <c r="E24" s="1027">
        <v>1582101.41</v>
      </c>
      <c r="F24" s="1028">
        <f t="shared" si="1"/>
        <v>95.19262394705173</v>
      </c>
    </row>
    <row r="25" spans="1:6" s="44" customFormat="1" ht="18.75" customHeight="1">
      <c r="A25" s="459" t="s">
        <v>1202</v>
      </c>
      <c r="B25" s="462">
        <v>4270</v>
      </c>
      <c r="C25" s="463" t="s">
        <v>88</v>
      </c>
      <c r="D25" s="1027">
        <v>3154143</v>
      </c>
      <c r="E25" s="1027">
        <v>2739188.46</v>
      </c>
      <c r="F25" s="1028">
        <f t="shared" si="1"/>
        <v>86.84414308419117</v>
      </c>
    </row>
    <row r="26" spans="1:6" s="44" customFormat="1" ht="18.75" customHeight="1">
      <c r="A26" s="459" t="s">
        <v>1204</v>
      </c>
      <c r="B26" s="462">
        <v>4280</v>
      </c>
      <c r="C26" s="463" t="s">
        <v>148</v>
      </c>
      <c r="D26" s="1027">
        <v>2000</v>
      </c>
      <c r="E26" s="1027">
        <v>1543.3</v>
      </c>
      <c r="F26" s="1028">
        <f t="shared" si="1"/>
        <v>77.16499999999999</v>
      </c>
    </row>
    <row r="27" spans="1:6" s="44" customFormat="1" ht="18.75" customHeight="1">
      <c r="A27" s="459" t="s">
        <v>1312</v>
      </c>
      <c r="B27" s="462">
        <v>4300</v>
      </c>
      <c r="C27" s="463" t="s">
        <v>92</v>
      </c>
      <c r="D27" s="1027">
        <v>2618900</v>
      </c>
      <c r="E27" s="1027">
        <v>2576179.2</v>
      </c>
      <c r="F27" s="1028">
        <f t="shared" si="1"/>
        <v>98.36875023864982</v>
      </c>
    </row>
    <row r="28" spans="1:6" s="44" customFormat="1" ht="18.75" customHeight="1">
      <c r="A28" s="459" t="s">
        <v>1205</v>
      </c>
      <c r="B28" s="462">
        <v>4350</v>
      </c>
      <c r="C28" s="618" t="s">
        <v>93</v>
      </c>
      <c r="D28" s="1027">
        <v>1700</v>
      </c>
      <c r="E28" s="1027">
        <v>840</v>
      </c>
      <c r="F28" s="1028">
        <f t="shared" si="1"/>
        <v>49.411764705882355</v>
      </c>
    </row>
    <row r="29" spans="1:6" s="44" customFormat="1" ht="28.5" customHeight="1">
      <c r="A29" s="459" t="s">
        <v>1206</v>
      </c>
      <c r="B29" s="462">
        <v>4360</v>
      </c>
      <c r="C29" s="618" t="s">
        <v>94</v>
      </c>
      <c r="D29" s="1027">
        <v>10500</v>
      </c>
      <c r="E29" s="1027">
        <v>8147.9</v>
      </c>
      <c r="F29" s="1028">
        <f t="shared" si="1"/>
        <v>77.59904761904761</v>
      </c>
    </row>
    <row r="30" spans="1:6" s="44" customFormat="1" ht="28.5" customHeight="1">
      <c r="A30" s="459" t="s">
        <v>1313</v>
      </c>
      <c r="B30" s="462">
        <v>4370</v>
      </c>
      <c r="C30" s="618" t="s">
        <v>96</v>
      </c>
      <c r="D30" s="1027">
        <v>13000</v>
      </c>
      <c r="E30" s="1027">
        <v>8493.91</v>
      </c>
      <c r="F30" s="1028">
        <f t="shared" si="1"/>
        <v>65.33776923076923</v>
      </c>
    </row>
    <row r="31" spans="1:6" s="44" customFormat="1" ht="19.5" customHeight="1">
      <c r="A31" s="459" t="s">
        <v>1207</v>
      </c>
      <c r="B31" s="462">
        <v>4390</v>
      </c>
      <c r="C31" s="618" t="s">
        <v>151</v>
      </c>
      <c r="D31" s="1027">
        <v>2000</v>
      </c>
      <c r="E31" s="1027">
        <v>732</v>
      </c>
      <c r="F31" s="1028">
        <f t="shared" si="1"/>
        <v>36.6</v>
      </c>
    </row>
    <row r="32" spans="1:6" s="44" customFormat="1" ht="30" customHeight="1">
      <c r="A32" s="459" t="s">
        <v>1208</v>
      </c>
      <c r="B32" s="462">
        <v>4400</v>
      </c>
      <c r="C32" s="618" t="s">
        <v>97</v>
      </c>
      <c r="D32" s="1027">
        <v>7000</v>
      </c>
      <c r="E32" s="1027">
        <v>6553.08</v>
      </c>
      <c r="F32" s="1028">
        <f t="shared" si="1"/>
        <v>93.61542857142857</v>
      </c>
    </row>
    <row r="33" spans="1:6" s="44" customFormat="1" ht="18.75" customHeight="1">
      <c r="A33" s="459" t="s">
        <v>1209</v>
      </c>
      <c r="B33" s="462">
        <v>4410</v>
      </c>
      <c r="C33" s="463" t="s">
        <v>98</v>
      </c>
      <c r="D33" s="1027">
        <v>8000</v>
      </c>
      <c r="E33" s="1027">
        <v>7128.39</v>
      </c>
      <c r="F33" s="1028">
        <f t="shared" si="1"/>
        <v>89.104875</v>
      </c>
    </row>
    <row r="34" spans="1:6" s="44" customFormat="1" ht="18.75" customHeight="1">
      <c r="A34" s="459" t="s">
        <v>1210</v>
      </c>
      <c r="B34" s="462">
        <v>4430</v>
      </c>
      <c r="C34" s="463" t="s">
        <v>99</v>
      </c>
      <c r="D34" s="1027">
        <v>15000</v>
      </c>
      <c r="E34" s="1027">
        <v>14030.41</v>
      </c>
      <c r="F34" s="1028">
        <f t="shared" si="1"/>
        <v>93.53606666666666</v>
      </c>
    </row>
    <row r="35" spans="1:6" s="44" customFormat="1" ht="18.75" customHeight="1">
      <c r="A35" s="459" t="s">
        <v>1213</v>
      </c>
      <c r="B35" s="462">
        <v>4440</v>
      </c>
      <c r="C35" s="463" t="s">
        <v>100</v>
      </c>
      <c r="D35" s="1027">
        <v>50000</v>
      </c>
      <c r="E35" s="1027">
        <v>43771.91</v>
      </c>
      <c r="F35" s="1028">
        <f t="shared" si="1"/>
        <v>87.54382000000001</v>
      </c>
    </row>
    <row r="36" spans="1:6" s="44" customFormat="1" ht="18.75" customHeight="1">
      <c r="A36" s="459" t="s">
        <v>1214</v>
      </c>
      <c r="B36" s="462">
        <v>4480</v>
      </c>
      <c r="C36" s="463" t="s">
        <v>1044</v>
      </c>
      <c r="D36" s="1027">
        <v>556000</v>
      </c>
      <c r="E36" s="1027">
        <v>554150</v>
      </c>
      <c r="F36" s="1028">
        <f t="shared" si="1"/>
        <v>99.66726618705036</v>
      </c>
    </row>
    <row r="37" spans="1:6" s="44" customFormat="1" ht="28.5" customHeight="1">
      <c r="A37" s="459" t="s">
        <v>1215</v>
      </c>
      <c r="B37" s="462">
        <v>4500</v>
      </c>
      <c r="C37" s="463" t="s">
        <v>271</v>
      </c>
      <c r="D37" s="1027">
        <v>1926</v>
      </c>
      <c r="E37" s="1027">
        <v>1925.7</v>
      </c>
      <c r="F37" s="1028">
        <f t="shared" si="1"/>
        <v>99.98442367601247</v>
      </c>
    </row>
    <row r="38" spans="1:6" s="44" customFormat="1" ht="23.25" customHeight="1">
      <c r="A38" s="459" t="s">
        <v>1216</v>
      </c>
      <c r="B38" s="462">
        <v>4510</v>
      </c>
      <c r="C38" s="463" t="s">
        <v>913</v>
      </c>
      <c r="D38" s="1027">
        <v>35000</v>
      </c>
      <c r="E38" s="1027">
        <v>24968.47</v>
      </c>
      <c r="F38" s="1028">
        <f aca="true" t="shared" si="2" ref="F38:F48">E36/D36*100</f>
        <v>99.66726618705036</v>
      </c>
    </row>
    <row r="39" spans="1:6" s="44" customFormat="1" ht="27" customHeight="1">
      <c r="A39" s="459" t="s">
        <v>1056</v>
      </c>
      <c r="B39" s="462">
        <v>4570</v>
      </c>
      <c r="C39" s="463" t="s">
        <v>101</v>
      </c>
      <c r="D39" s="1027">
        <v>1000</v>
      </c>
      <c r="E39" s="1027">
        <v>0</v>
      </c>
      <c r="F39" s="1028">
        <f t="shared" si="2"/>
        <v>99.98442367601247</v>
      </c>
    </row>
    <row r="40" spans="1:6" s="44" customFormat="1" ht="18" customHeight="1">
      <c r="A40" s="459" t="s">
        <v>1057</v>
      </c>
      <c r="B40" s="462">
        <v>4580</v>
      </c>
      <c r="C40" s="463" t="s">
        <v>1032</v>
      </c>
      <c r="D40" s="1027">
        <v>4000</v>
      </c>
      <c r="E40" s="1027">
        <v>69.12</v>
      </c>
      <c r="F40" s="1028">
        <f t="shared" si="2"/>
        <v>71.33848571428571</v>
      </c>
    </row>
    <row r="41" spans="1:6" s="44" customFormat="1" ht="18" customHeight="1">
      <c r="A41" s="459" t="s">
        <v>1058</v>
      </c>
      <c r="B41" s="462">
        <v>4590</v>
      </c>
      <c r="C41" s="463" t="s">
        <v>102</v>
      </c>
      <c r="D41" s="1027">
        <v>1000</v>
      </c>
      <c r="E41" s="1027">
        <v>0</v>
      </c>
      <c r="F41" s="1028">
        <f t="shared" si="2"/>
        <v>0</v>
      </c>
    </row>
    <row r="42" spans="1:6" s="44" customFormat="1" ht="19.5" customHeight="1">
      <c r="A42" s="459" t="s">
        <v>1059</v>
      </c>
      <c r="B42" s="462">
        <v>4610</v>
      </c>
      <c r="C42" s="463" t="s">
        <v>103</v>
      </c>
      <c r="D42" s="1027">
        <v>51000</v>
      </c>
      <c r="E42" s="1027">
        <v>43539.9</v>
      </c>
      <c r="F42" s="1028">
        <f t="shared" si="2"/>
        <v>1.728</v>
      </c>
    </row>
    <row r="43" spans="1:6" s="44" customFormat="1" ht="26.25" customHeight="1">
      <c r="A43" s="459" t="s">
        <v>447</v>
      </c>
      <c r="B43" s="462">
        <v>4700</v>
      </c>
      <c r="C43" s="463" t="s">
        <v>104</v>
      </c>
      <c r="D43" s="1027">
        <v>7000</v>
      </c>
      <c r="E43" s="1027">
        <v>5571</v>
      </c>
      <c r="F43" s="1028">
        <f t="shared" si="2"/>
        <v>0</v>
      </c>
    </row>
    <row r="44" spans="1:6" s="44" customFormat="1" ht="28.5" customHeight="1">
      <c r="A44" s="459" t="s">
        <v>448</v>
      </c>
      <c r="B44" s="462">
        <v>4740</v>
      </c>
      <c r="C44" s="463" t="s">
        <v>105</v>
      </c>
      <c r="D44" s="1027">
        <v>7000</v>
      </c>
      <c r="E44" s="1027">
        <v>5101.54</v>
      </c>
      <c r="F44" s="1028">
        <f t="shared" si="2"/>
        <v>85.37235294117647</v>
      </c>
    </row>
    <row r="45" spans="1:6" s="44" customFormat="1" ht="19.5" customHeight="1">
      <c r="A45" s="459" t="s">
        <v>449</v>
      </c>
      <c r="B45" s="462">
        <v>4750</v>
      </c>
      <c r="C45" s="463" t="s">
        <v>106</v>
      </c>
      <c r="D45" s="1027">
        <v>15000</v>
      </c>
      <c r="E45" s="1027">
        <v>8831.38</v>
      </c>
      <c r="F45" s="1028">
        <f t="shared" si="2"/>
        <v>79.58571428571429</v>
      </c>
    </row>
    <row r="46" spans="1:6" s="44" customFormat="1" ht="19.5" customHeight="1">
      <c r="A46" s="459" t="s">
        <v>698</v>
      </c>
      <c r="B46" s="462">
        <v>6070</v>
      </c>
      <c r="C46" s="463" t="s">
        <v>107</v>
      </c>
      <c r="D46" s="1027">
        <v>180600</v>
      </c>
      <c r="E46" s="1027">
        <v>124280.4</v>
      </c>
      <c r="F46" s="1028">
        <f t="shared" si="2"/>
        <v>72.87914285714285</v>
      </c>
    </row>
    <row r="47" spans="1:6" s="44" customFormat="1" ht="19.5" customHeight="1">
      <c r="A47" s="459" t="s">
        <v>699</v>
      </c>
      <c r="B47" s="462">
        <v>6080</v>
      </c>
      <c r="C47" s="463" t="s">
        <v>108</v>
      </c>
      <c r="D47" s="1027">
        <v>20000</v>
      </c>
      <c r="E47" s="1027">
        <v>17076.16</v>
      </c>
      <c r="F47" s="1028">
        <f t="shared" si="2"/>
        <v>58.87586666666667</v>
      </c>
    </row>
    <row r="48" spans="1:6" s="44" customFormat="1" ht="18" customHeight="1">
      <c r="A48" s="1031"/>
      <c r="B48" s="470"/>
      <c r="C48" s="463" t="s">
        <v>109</v>
      </c>
      <c r="D48" s="1027">
        <v>500000</v>
      </c>
      <c r="E48" s="1027">
        <v>551176.67</v>
      </c>
      <c r="F48" s="1028">
        <f t="shared" si="2"/>
        <v>68.81528239202657</v>
      </c>
    </row>
    <row r="49" spans="1:6" s="44" customFormat="1" ht="19.5" customHeight="1">
      <c r="A49" s="46"/>
      <c r="B49" s="421"/>
      <c r="C49" s="47" t="s">
        <v>110</v>
      </c>
      <c r="D49" s="1034">
        <v>-500000</v>
      </c>
      <c r="E49" s="1034">
        <v>397416.73</v>
      </c>
      <c r="F49" s="1035"/>
    </row>
    <row r="50" spans="1:6" s="306" customFormat="1" ht="19.5" customHeight="1">
      <c r="A50" s="619" t="s">
        <v>111</v>
      </c>
      <c r="B50" s="620"/>
      <c r="C50" s="621" t="s">
        <v>1082</v>
      </c>
      <c r="D50" s="1036">
        <v>300000</v>
      </c>
      <c r="E50" s="1036">
        <v>231789</v>
      </c>
      <c r="F50" s="1037" t="s">
        <v>1114</v>
      </c>
    </row>
    <row r="51" spans="1:6" s="306" customFormat="1" ht="25.5" customHeight="1" thickBot="1">
      <c r="A51" s="493" t="s">
        <v>155</v>
      </c>
      <c r="B51" s="494"/>
      <c r="C51" s="495" t="s">
        <v>481</v>
      </c>
      <c r="D51" s="1038">
        <f>D8+D9-D16-D50</f>
        <v>266000</v>
      </c>
      <c r="E51" s="1038">
        <f>E8+E9-E16-E50</f>
        <v>144332.34999999776</v>
      </c>
      <c r="F51" s="1039" t="s">
        <v>1114</v>
      </c>
    </row>
    <row r="52" spans="1:6" s="44" customFormat="1" ht="18" customHeight="1" thickBot="1">
      <c r="A52" s="1040" t="s">
        <v>162</v>
      </c>
      <c r="B52" s="749"/>
      <c r="C52" s="749"/>
      <c r="D52" s="1029">
        <f>D16+D50+D51</f>
        <v>10836769</v>
      </c>
      <c r="E52" s="1029">
        <f>E16+E50+E51</f>
        <v>10860977.34</v>
      </c>
      <c r="F52" s="1030">
        <f>E50/D50*100</f>
        <v>77.263</v>
      </c>
    </row>
    <row r="53" spans="3:5" s="44" customFormat="1" ht="12.75">
      <c r="C53" s="45" t="s">
        <v>957</v>
      </c>
      <c r="D53" s="307">
        <f>D15-D52</f>
        <v>0</v>
      </c>
      <c r="E53" s="307">
        <f>E15-E52</f>
        <v>0</v>
      </c>
    </row>
    <row r="54" s="44" customFormat="1" ht="12.75"/>
    <row r="55" s="44" customFormat="1" ht="12.75"/>
    <row r="56" s="44" customFormat="1" ht="12.75"/>
    <row r="57" s="44" customFormat="1" ht="12.75"/>
    <row r="58" s="44" customFormat="1" ht="12.75"/>
  </sheetData>
  <sheetProtection/>
  <mergeCells count="4">
    <mergeCell ref="A15:C15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7">
    <tabColor indexed="42"/>
  </sheetPr>
  <dimension ref="A1:F45"/>
  <sheetViews>
    <sheetView view="pageBreakPreview" zoomScaleSheetLayoutView="100" workbookViewId="0" topLeftCell="A24">
      <selection activeCell="A2" sqref="A2:F2"/>
    </sheetView>
  </sheetViews>
  <sheetFormatPr defaultColWidth="9.00390625" defaultRowHeight="12.75"/>
  <cols>
    <col min="1" max="1" width="3.625" style="44" customWidth="1"/>
    <col min="2" max="2" width="4.375" style="44" customWidth="1"/>
    <col min="3" max="3" width="49.75390625" style="44" customWidth="1"/>
    <col min="4" max="4" width="11.875" style="44" customWidth="1"/>
    <col min="5" max="5" width="11.25390625" style="44" bestFit="1" customWidth="1"/>
    <col min="6" max="6" width="5.125" style="44" customWidth="1"/>
    <col min="7" max="16384" width="9.125" style="44" customWidth="1"/>
  </cols>
  <sheetData>
    <row r="1" spans="5:6" ht="27" customHeight="1">
      <c r="E1" s="1493" t="s">
        <v>260</v>
      </c>
      <c r="F1" s="1493"/>
    </row>
    <row r="2" spans="1:6" ht="31.5" customHeight="1">
      <c r="A2" s="1400" t="s">
        <v>113</v>
      </c>
      <c r="B2" s="1400"/>
      <c r="C2" s="1400"/>
      <c r="D2" s="1400"/>
      <c r="E2" s="1400"/>
      <c r="F2" s="1400"/>
    </row>
    <row r="3" spans="1:6" ht="19.5" customHeight="1" thickBot="1">
      <c r="A3" s="1605" t="s">
        <v>336</v>
      </c>
      <c r="B3" s="1605"/>
      <c r="C3" s="1605"/>
      <c r="F3" s="45" t="s">
        <v>833</v>
      </c>
    </row>
    <row r="4" spans="1:6" s="14" customFormat="1" ht="15" customHeight="1">
      <c r="A4" s="569" t="s">
        <v>1106</v>
      </c>
      <c r="B4" s="570" t="s">
        <v>1024</v>
      </c>
      <c r="C4" s="570" t="s">
        <v>835</v>
      </c>
      <c r="D4" s="571" t="s">
        <v>836</v>
      </c>
      <c r="E4" s="571" t="s">
        <v>837</v>
      </c>
      <c r="F4" s="572" t="s">
        <v>61</v>
      </c>
    </row>
    <row r="5" spans="1:6" s="458" customFormat="1" ht="12" customHeight="1" thickBot="1">
      <c r="A5" s="573">
        <v>1</v>
      </c>
      <c r="B5" s="574">
        <v>2</v>
      </c>
      <c r="C5" s="574">
        <v>3</v>
      </c>
      <c r="D5" s="575">
        <v>4</v>
      </c>
      <c r="E5" s="575">
        <v>5</v>
      </c>
      <c r="F5" s="576">
        <v>6</v>
      </c>
    </row>
    <row r="6" spans="1:6" s="306" customFormat="1" ht="24" customHeight="1">
      <c r="A6" s="488" t="s">
        <v>62</v>
      </c>
      <c r="B6" s="489"/>
      <c r="C6" s="490" t="s">
        <v>480</v>
      </c>
      <c r="D6" s="1023">
        <v>233897</v>
      </c>
      <c r="E6" s="1023">
        <v>233896.69</v>
      </c>
      <c r="F6" s="1024" t="s">
        <v>1114</v>
      </c>
    </row>
    <row r="7" spans="1:6" s="306" customFormat="1" ht="19.5" customHeight="1">
      <c r="A7" s="491" t="s">
        <v>67</v>
      </c>
      <c r="B7" s="492"/>
      <c r="C7" s="492" t="s">
        <v>1097</v>
      </c>
      <c r="D7" s="1025">
        <f>SUM(D8:D13)</f>
        <v>7733912.11</v>
      </c>
      <c r="E7" s="1025">
        <f>SUM(E8:E13)</f>
        <v>7499473.54</v>
      </c>
      <c r="F7" s="1026">
        <f aca="true" t="shared" si="0" ref="F7:F12">E7/D7*100</f>
        <v>96.96869363569739</v>
      </c>
    </row>
    <row r="8" spans="1:6" ht="54" customHeight="1">
      <c r="A8" s="459" t="s">
        <v>1109</v>
      </c>
      <c r="B8" s="460" t="s">
        <v>1359</v>
      </c>
      <c r="C8" s="463" t="s">
        <v>38</v>
      </c>
      <c r="D8" s="1027">
        <v>18649</v>
      </c>
      <c r="E8" s="1027">
        <v>18488.5</v>
      </c>
      <c r="F8" s="1028">
        <f t="shared" si="0"/>
        <v>99.13936404096735</v>
      </c>
    </row>
    <row r="9" spans="1:6" ht="16.5" customHeight="1">
      <c r="A9" s="459" t="s">
        <v>1110</v>
      </c>
      <c r="B9" s="460" t="s">
        <v>1354</v>
      </c>
      <c r="C9" s="461" t="s">
        <v>68</v>
      </c>
      <c r="D9" s="1027">
        <v>2254195</v>
      </c>
      <c r="E9" s="1027">
        <v>2020767.55</v>
      </c>
      <c r="F9" s="1028">
        <f t="shared" si="0"/>
        <v>89.64475344857034</v>
      </c>
    </row>
    <row r="10" spans="1:6" ht="16.5" customHeight="1">
      <c r="A10" s="459" t="s">
        <v>1192</v>
      </c>
      <c r="B10" s="460" t="s">
        <v>1355</v>
      </c>
      <c r="C10" s="461" t="s">
        <v>1032</v>
      </c>
      <c r="D10" s="1027">
        <v>3439</v>
      </c>
      <c r="E10" s="1027">
        <v>3384.07</v>
      </c>
      <c r="F10" s="1028">
        <f t="shared" si="0"/>
        <v>98.40273335271881</v>
      </c>
    </row>
    <row r="11" spans="1:6" ht="16.5" customHeight="1">
      <c r="A11" s="459" t="s">
        <v>1199</v>
      </c>
      <c r="B11" s="460" t="s">
        <v>1356</v>
      </c>
      <c r="C11" s="461" t="s">
        <v>1031</v>
      </c>
      <c r="D11" s="1027">
        <v>24745</v>
      </c>
      <c r="E11" s="1027">
        <v>23949.31</v>
      </c>
      <c r="F11" s="1028">
        <f t="shared" si="0"/>
        <v>96.78444130127299</v>
      </c>
    </row>
    <row r="12" spans="1:6" ht="26.25" customHeight="1">
      <c r="A12" s="459" t="s">
        <v>1200</v>
      </c>
      <c r="B12" s="460" t="s">
        <v>115</v>
      </c>
      <c r="C12" s="463" t="s">
        <v>145</v>
      </c>
      <c r="D12" s="1027">
        <v>5374268</v>
      </c>
      <c r="E12" s="1027">
        <v>5374268</v>
      </c>
      <c r="F12" s="1028">
        <f t="shared" si="0"/>
        <v>100</v>
      </c>
    </row>
    <row r="13" spans="1:6" ht="16.5" customHeight="1" thickBot="1">
      <c r="A13" s="459"/>
      <c r="B13" s="460"/>
      <c r="C13" s="461" t="s">
        <v>71</v>
      </c>
      <c r="D13" s="1027">
        <v>58616.11</v>
      </c>
      <c r="E13" s="1027">
        <v>58616.11</v>
      </c>
      <c r="F13" s="1028">
        <f aca="true" t="shared" si="1" ref="F13:F18">E13/D13*100</f>
        <v>100</v>
      </c>
    </row>
    <row r="14" spans="1:6" s="306" customFormat="1" ht="18.75" customHeight="1" thickBot="1">
      <c r="A14" s="1603" t="s">
        <v>72</v>
      </c>
      <c r="B14" s="1604"/>
      <c r="C14" s="1604"/>
      <c r="D14" s="1029">
        <f>D7+D6</f>
        <v>7967809.11</v>
      </c>
      <c r="E14" s="1029">
        <f>E7+E6</f>
        <v>7733370.23</v>
      </c>
      <c r="F14" s="1030">
        <f t="shared" si="1"/>
        <v>97.05767449039703</v>
      </c>
    </row>
    <row r="15" spans="1:6" s="306" customFormat="1" ht="18.75" customHeight="1">
      <c r="A15" s="491" t="s">
        <v>73</v>
      </c>
      <c r="B15" s="492"/>
      <c r="C15" s="492" t="s">
        <v>74</v>
      </c>
      <c r="D15" s="1025">
        <f>SUM(D16,D17,D18,D19,D20,D21,D22,D23,D24,D25,D26,D27,D28,D29,D30,D31,D32,D33,D34,D35,D36,D37,D38,D39,D40,D41,D42)</f>
        <v>7907809.11</v>
      </c>
      <c r="E15" s="1025">
        <f>SUM(E16,E17,E18,E19,E20,E21,E22,E23,E24,E25,E26,E27,E28,E29,E30,E31,E32,E33,E34,E35,E36,E37,E38,E39,E40,E41,E42)</f>
        <v>7907511.330000002</v>
      </c>
      <c r="F15" s="1026">
        <f t="shared" si="1"/>
        <v>99.99623435523219</v>
      </c>
    </row>
    <row r="16" spans="1:6" ht="16.5" customHeight="1">
      <c r="A16" s="459" t="s">
        <v>1109</v>
      </c>
      <c r="B16" s="462">
        <v>3020</v>
      </c>
      <c r="C16" s="461" t="s">
        <v>75</v>
      </c>
      <c r="D16" s="1027">
        <v>14829</v>
      </c>
      <c r="E16" s="1027">
        <v>14829.29</v>
      </c>
      <c r="F16" s="1028">
        <f t="shared" si="1"/>
        <v>100.00195562748668</v>
      </c>
    </row>
    <row r="17" spans="1:6" ht="16.5" customHeight="1">
      <c r="A17" s="459" t="s">
        <v>1110</v>
      </c>
      <c r="B17" s="462">
        <v>4010</v>
      </c>
      <c r="C17" s="461" t="s">
        <v>76</v>
      </c>
      <c r="D17" s="1027">
        <v>4174110</v>
      </c>
      <c r="E17" s="1027">
        <v>4174110.13</v>
      </c>
      <c r="F17" s="1028">
        <f t="shared" si="1"/>
        <v>100.00000311443638</v>
      </c>
    </row>
    <row r="18" spans="1:6" ht="16.5" customHeight="1">
      <c r="A18" s="459" t="s">
        <v>1192</v>
      </c>
      <c r="B18" s="462">
        <v>4040</v>
      </c>
      <c r="C18" s="461" t="s">
        <v>77</v>
      </c>
      <c r="D18" s="1027">
        <v>316780</v>
      </c>
      <c r="E18" s="1027">
        <v>316780.72</v>
      </c>
      <c r="F18" s="1028">
        <f t="shared" si="1"/>
        <v>100.0002272870762</v>
      </c>
    </row>
    <row r="19" spans="1:6" ht="16.5" customHeight="1">
      <c r="A19" s="459" t="s">
        <v>1199</v>
      </c>
      <c r="B19" s="462">
        <v>4110</v>
      </c>
      <c r="C19" s="461" t="s">
        <v>83</v>
      </c>
      <c r="D19" s="1027">
        <v>653377</v>
      </c>
      <c r="E19" s="1027">
        <v>653375.86</v>
      </c>
      <c r="F19" s="1028">
        <f aca="true" t="shared" si="2" ref="F19:F41">E19/D19*100</f>
        <v>99.99982552186563</v>
      </c>
    </row>
    <row r="20" spans="1:6" ht="16.5" customHeight="1">
      <c r="A20" s="459" t="s">
        <v>1200</v>
      </c>
      <c r="B20" s="462">
        <v>4120</v>
      </c>
      <c r="C20" s="461" t="s">
        <v>84</v>
      </c>
      <c r="D20" s="1027">
        <v>105176</v>
      </c>
      <c r="E20" s="1027">
        <v>105175.56</v>
      </c>
      <c r="F20" s="1028">
        <f t="shared" si="2"/>
        <v>99.99958165360918</v>
      </c>
    </row>
    <row r="21" spans="1:6" ht="29.25" customHeight="1">
      <c r="A21" s="459" t="s">
        <v>1201</v>
      </c>
      <c r="B21" s="462">
        <v>4140</v>
      </c>
      <c r="C21" s="463" t="s">
        <v>150</v>
      </c>
      <c r="D21" s="1027">
        <v>12198</v>
      </c>
      <c r="E21" s="1027">
        <v>12198</v>
      </c>
      <c r="F21" s="1028">
        <f t="shared" si="2"/>
        <v>100</v>
      </c>
    </row>
    <row r="22" spans="1:6" ht="18.75" customHeight="1">
      <c r="A22" s="459" t="s">
        <v>1310</v>
      </c>
      <c r="B22" s="462">
        <v>4170</v>
      </c>
      <c r="C22" s="463" t="s">
        <v>85</v>
      </c>
      <c r="D22" s="1027">
        <v>3591</v>
      </c>
      <c r="E22" s="1027">
        <v>3591.21</v>
      </c>
      <c r="F22" s="1028">
        <f t="shared" si="2"/>
        <v>100.00584795321636</v>
      </c>
    </row>
    <row r="23" spans="1:6" ht="16.5" customHeight="1">
      <c r="A23" s="459" t="s">
        <v>1311</v>
      </c>
      <c r="B23" s="462">
        <v>4210</v>
      </c>
      <c r="C23" s="461" t="s">
        <v>86</v>
      </c>
      <c r="D23" s="1027">
        <v>402083</v>
      </c>
      <c r="E23" s="1027">
        <v>402083.73</v>
      </c>
      <c r="F23" s="1028">
        <f t="shared" si="2"/>
        <v>100.00018155455466</v>
      </c>
    </row>
    <row r="24" spans="1:6" ht="16.5" customHeight="1">
      <c r="A24" s="459" t="s">
        <v>1202</v>
      </c>
      <c r="B24" s="462">
        <v>4220</v>
      </c>
      <c r="C24" s="461" t="s">
        <v>146</v>
      </c>
      <c r="D24" s="1027">
        <v>590012</v>
      </c>
      <c r="E24" s="1027">
        <v>590007.36</v>
      </c>
      <c r="F24" s="1028">
        <f t="shared" si="2"/>
        <v>99.99921357531711</v>
      </c>
    </row>
    <row r="25" spans="1:6" ht="16.5" customHeight="1">
      <c r="A25" s="459" t="s">
        <v>1204</v>
      </c>
      <c r="B25" s="462">
        <v>4240</v>
      </c>
      <c r="C25" s="461" t="s">
        <v>147</v>
      </c>
      <c r="D25" s="1027">
        <v>66004</v>
      </c>
      <c r="E25" s="1027">
        <v>65986.73</v>
      </c>
      <c r="F25" s="1028">
        <f t="shared" si="2"/>
        <v>99.97383491909581</v>
      </c>
    </row>
    <row r="26" spans="1:6" ht="16.5" customHeight="1">
      <c r="A26" s="459" t="s">
        <v>1312</v>
      </c>
      <c r="B26" s="462">
        <v>4260</v>
      </c>
      <c r="C26" s="461" t="s">
        <v>87</v>
      </c>
      <c r="D26" s="1027">
        <v>384212</v>
      </c>
      <c r="E26" s="1027">
        <v>384212.49</v>
      </c>
      <c r="F26" s="1028">
        <f t="shared" si="2"/>
        <v>100.0001275337574</v>
      </c>
    </row>
    <row r="27" spans="1:6" ht="16.5" customHeight="1">
      <c r="A27" s="459" t="s">
        <v>1205</v>
      </c>
      <c r="B27" s="462">
        <v>4270</v>
      </c>
      <c r="C27" s="461" t="s">
        <v>88</v>
      </c>
      <c r="D27" s="1027">
        <v>420575</v>
      </c>
      <c r="E27" s="1027">
        <v>420560.26</v>
      </c>
      <c r="F27" s="1028">
        <f t="shared" si="2"/>
        <v>99.99649527432682</v>
      </c>
    </row>
    <row r="28" spans="1:6" ht="16.5" customHeight="1">
      <c r="A28" s="459" t="s">
        <v>1206</v>
      </c>
      <c r="B28" s="462">
        <v>4280</v>
      </c>
      <c r="C28" s="461" t="s">
        <v>148</v>
      </c>
      <c r="D28" s="1027">
        <v>6836</v>
      </c>
      <c r="E28" s="1027">
        <v>6825.8</v>
      </c>
      <c r="F28" s="1028">
        <f t="shared" si="2"/>
        <v>99.85078993563488</v>
      </c>
    </row>
    <row r="29" spans="1:6" ht="16.5" customHeight="1">
      <c r="A29" s="459" t="s">
        <v>1313</v>
      </c>
      <c r="B29" s="462">
        <v>4300</v>
      </c>
      <c r="C29" s="461" t="s">
        <v>92</v>
      </c>
      <c r="D29" s="1027">
        <v>213868</v>
      </c>
      <c r="E29" s="1027">
        <v>213828.57</v>
      </c>
      <c r="F29" s="1028">
        <f t="shared" si="2"/>
        <v>99.98156339424318</v>
      </c>
    </row>
    <row r="30" spans="1:6" ht="16.5" customHeight="1">
      <c r="A30" s="459" t="s">
        <v>1207</v>
      </c>
      <c r="B30" s="462">
        <v>4350</v>
      </c>
      <c r="C30" s="461" t="s">
        <v>93</v>
      </c>
      <c r="D30" s="1027">
        <v>4189</v>
      </c>
      <c r="E30" s="1027">
        <v>4121.2</v>
      </c>
      <c r="F30" s="1028">
        <f t="shared" si="2"/>
        <v>98.38147529243255</v>
      </c>
    </row>
    <row r="31" spans="1:6" ht="27.75" customHeight="1">
      <c r="A31" s="459" t="s">
        <v>1208</v>
      </c>
      <c r="B31" s="462">
        <v>4370</v>
      </c>
      <c r="C31" s="463" t="s">
        <v>96</v>
      </c>
      <c r="D31" s="1027">
        <v>15960</v>
      </c>
      <c r="E31" s="1027">
        <v>15911.69</v>
      </c>
      <c r="F31" s="1028">
        <f t="shared" si="2"/>
        <v>99.69730576441103</v>
      </c>
    </row>
    <row r="32" spans="1:6" ht="16.5" customHeight="1">
      <c r="A32" s="459" t="s">
        <v>1209</v>
      </c>
      <c r="B32" s="462">
        <v>4390</v>
      </c>
      <c r="C32" s="461" t="s">
        <v>151</v>
      </c>
      <c r="D32" s="1027">
        <v>9778</v>
      </c>
      <c r="E32" s="1027">
        <v>9777.98</v>
      </c>
      <c r="F32" s="1028">
        <f t="shared" si="2"/>
        <v>99.9997954591941</v>
      </c>
    </row>
    <row r="33" spans="1:6" ht="16.5" customHeight="1">
      <c r="A33" s="459" t="s">
        <v>1210</v>
      </c>
      <c r="B33" s="462">
        <v>4410</v>
      </c>
      <c r="C33" s="461" t="s">
        <v>98</v>
      </c>
      <c r="D33" s="1027">
        <v>678</v>
      </c>
      <c r="E33" s="1027">
        <v>676.6</v>
      </c>
      <c r="F33" s="1028">
        <f t="shared" si="2"/>
        <v>99.79351032448378</v>
      </c>
    </row>
    <row r="34" spans="1:6" ht="16.5" customHeight="1">
      <c r="A34" s="459" t="s">
        <v>1213</v>
      </c>
      <c r="B34" s="462">
        <v>4430</v>
      </c>
      <c r="C34" s="461" t="s">
        <v>99</v>
      </c>
      <c r="D34" s="1027">
        <v>15647</v>
      </c>
      <c r="E34" s="1027">
        <v>15628.54</v>
      </c>
      <c r="F34" s="1028">
        <f t="shared" si="2"/>
        <v>99.88202211286509</v>
      </c>
    </row>
    <row r="35" spans="1:6" ht="16.5" customHeight="1">
      <c r="A35" s="459" t="s">
        <v>1214</v>
      </c>
      <c r="B35" s="462">
        <v>4440</v>
      </c>
      <c r="C35" s="461" t="s">
        <v>100</v>
      </c>
      <c r="D35" s="1027">
        <v>269052</v>
      </c>
      <c r="E35" s="1027">
        <v>269052</v>
      </c>
      <c r="F35" s="1028">
        <f t="shared" si="2"/>
        <v>100</v>
      </c>
    </row>
    <row r="36" spans="1:6" ht="16.5" customHeight="1">
      <c r="A36" s="459" t="s">
        <v>1215</v>
      </c>
      <c r="B36" s="462">
        <v>4480</v>
      </c>
      <c r="C36" s="461" t="s">
        <v>1044</v>
      </c>
      <c r="D36" s="1027">
        <v>16</v>
      </c>
      <c r="E36" s="1027">
        <v>16</v>
      </c>
      <c r="F36" s="1028">
        <f t="shared" si="2"/>
        <v>100</v>
      </c>
    </row>
    <row r="37" spans="1:6" ht="16.5" customHeight="1">
      <c r="A37" s="459" t="s">
        <v>1216</v>
      </c>
      <c r="B37" s="462">
        <v>4510</v>
      </c>
      <c r="C37" s="463" t="s">
        <v>913</v>
      </c>
      <c r="D37" s="1027">
        <v>310</v>
      </c>
      <c r="E37" s="1027">
        <v>310</v>
      </c>
      <c r="F37" s="1028">
        <f t="shared" si="2"/>
        <v>100</v>
      </c>
    </row>
    <row r="38" spans="1:6" ht="30" customHeight="1">
      <c r="A38" s="459" t="s">
        <v>1056</v>
      </c>
      <c r="B38" s="462">
        <v>4700</v>
      </c>
      <c r="C38" s="463" t="s">
        <v>104</v>
      </c>
      <c r="D38" s="1027">
        <v>8539</v>
      </c>
      <c r="E38" s="1027">
        <v>8539</v>
      </c>
      <c r="F38" s="1028">
        <f t="shared" si="2"/>
        <v>100</v>
      </c>
    </row>
    <row r="39" spans="1:6" ht="25.5" customHeight="1">
      <c r="A39" s="459" t="s">
        <v>1057</v>
      </c>
      <c r="B39" s="462">
        <v>4740</v>
      </c>
      <c r="C39" s="463" t="s">
        <v>105</v>
      </c>
      <c r="D39" s="1027">
        <v>3348</v>
      </c>
      <c r="E39" s="1027">
        <v>3347.69</v>
      </c>
      <c r="F39" s="1028">
        <f t="shared" si="2"/>
        <v>99.99074074074075</v>
      </c>
    </row>
    <row r="40" spans="1:6" ht="16.5" customHeight="1">
      <c r="A40" s="459" t="s">
        <v>1058</v>
      </c>
      <c r="B40" s="462">
        <v>4750</v>
      </c>
      <c r="C40" s="461" t="s">
        <v>106</v>
      </c>
      <c r="D40" s="1027">
        <v>10025</v>
      </c>
      <c r="E40" s="1027">
        <v>9971.55</v>
      </c>
      <c r="F40" s="1028">
        <f t="shared" si="2"/>
        <v>99.46683291770573</v>
      </c>
    </row>
    <row r="41" spans="1:6" ht="16.5" customHeight="1">
      <c r="A41" s="459" t="s">
        <v>1059</v>
      </c>
      <c r="B41" s="462">
        <v>6080</v>
      </c>
      <c r="C41" s="461" t="s">
        <v>108</v>
      </c>
      <c r="D41" s="1027">
        <v>148000</v>
      </c>
      <c r="E41" s="1027">
        <v>147977.26</v>
      </c>
      <c r="F41" s="1028">
        <f t="shared" si="2"/>
        <v>99.98463513513514</v>
      </c>
    </row>
    <row r="42" spans="1:6" ht="16.5" customHeight="1">
      <c r="A42" s="46"/>
      <c r="B42" s="48"/>
      <c r="C42" s="421" t="s">
        <v>109</v>
      </c>
      <c r="D42" s="1034">
        <v>58616.11</v>
      </c>
      <c r="E42" s="1034">
        <v>58616.11</v>
      </c>
      <c r="F42" s="1035">
        <f>E42/D42*100</f>
        <v>100</v>
      </c>
    </row>
    <row r="43" spans="1:6" s="306" customFormat="1" ht="30" customHeight="1" thickBot="1">
      <c r="A43" s="493" t="s">
        <v>111</v>
      </c>
      <c r="B43" s="494"/>
      <c r="C43" s="495" t="s">
        <v>481</v>
      </c>
      <c r="D43" s="1038">
        <f>D6+D7-D15</f>
        <v>60000</v>
      </c>
      <c r="E43" s="1038">
        <f>E6+E7-E15</f>
        <v>-174141.1000000015</v>
      </c>
      <c r="F43" s="1039" t="s">
        <v>1114</v>
      </c>
    </row>
    <row r="44" spans="1:6" ht="18.75" customHeight="1" thickBot="1">
      <c r="A44" s="1603" t="s">
        <v>112</v>
      </c>
      <c r="B44" s="1604"/>
      <c r="C44" s="1604"/>
      <c r="D44" s="1029">
        <f>D43+D15</f>
        <v>7967809.11</v>
      </c>
      <c r="E44" s="1029">
        <f>E43+E15</f>
        <v>7733370.23</v>
      </c>
      <c r="F44" s="1030">
        <f>E44/D44*100</f>
        <v>97.05767449039703</v>
      </c>
    </row>
    <row r="45" spans="3:5" ht="12.75">
      <c r="C45" s="45" t="s">
        <v>957</v>
      </c>
      <c r="D45" s="307">
        <f>D14-D44</f>
        <v>0</v>
      </c>
      <c r="E45" s="307">
        <f>E14-E44</f>
        <v>0</v>
      </c>
    </row>
  </sheetData>
  <sheetProtection/>
  <mergeCells count="5">
    <mergeCell ref="A14:C14"/>
    <mergeCell ref="A44:C44"/>
    <mergeCell ref="A2:F2"/>
    <mergeCell ref="E1:F1"/>
    <mergeCell ref="A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8">
    <tabColor indexed="42"/>
  </sheetPr>
  <dimension ref="A1:F52"/>
  <sheetViews>
    <sheetView view="pageBreakPreview" zoomScaleSheetLayoutView="100" workbookViewId="0" topLeftCell="A34">
      <selection activeCell="C46" sqref="C46"/>
    </sheetView>
  </sheetViews>
  <sheetFormatPr defaultColWidth="9.00390625" defaultRowHeight="12.75"/>
  <cols>
    <col min="1" max="1" width="3.625" style="44" customWidth="1"/>
    <col min="2" max="2" width="4.375" style="44" customWidth="1"/>
    <col min="3" max="3" width="50.625" style="44" customWidth="1"/>
    <col min="4" max="4" width="11.25390625" style="44" customWidth="1"/>
    <col min="5" max="5" width="11.25390625" style="44" bestFit="1" customWidth="1"/>
    <col min="6" max="6" width="5.625" style="44" customWidth="1"/>
    <col min="7" max="16384" width="9.125" style="44" customWidth="1"/>
  </cols>
  <sheetData>
    <row r="1" spans="5:6" ht="12.75">
      <c r="E1" s="1493" t="s">
        <v>259</v>
      </c>
      <c r="F1" s="1493"/>
    </row>
    <row r="3" spans="1:6" ht="12" customHeight="1">
      <c r="A3" s="1400" t="s">
        <v>149</v>
      </c>
      <c r="B3" s="1400"/>
      <c r="C3" s="1400"/>
      <c r="D3" s="1400"/>
      <c r="E3" s="1400"/>
      <c r="F3" s="1400"/>
    </row>
    <row r="4" spans="1:6" ht="12" customHeight="1">
      <c r="A4" s="14"/>
      <c r="B4" s="14"/>
      <c r="C4" s="14"/>
      <c r="D4" s="14"/>
      <c r="E4" s="14"/>
      <c r="F4" s="14"/>
    </row>
    <row r="5" spans="1:6" ht="14.25" customHeight="1" thickBot="1">
      <c r="A5" s="1605" t="s">
        <v>337</v>
      </c>
      <c r="B5" s="1605"/>
      <c r="C5" s="1605"/>
      <c r="F5" s="45" t="s">
        <v>833</v>
      </c>
    </row>
    <row r="6" spans="1:6" s="14" customFormat="1" ht="22.5" customHeight="1">
      <c r="A6" s="569" t="s">
        <v>1106</v>
      </c>
      <c r="B6" s="570" t="s">
        <v>1024</v>
      </c>
      <c r="C6" s="570" t="s">
        <v>835</v>
      </c>
      <c r="D6" s="571" t="s">
        <v>836</v>
      </c>
      <c r="E6" s="571" t="s">
        <v>837</v>
      </c>
      <c r="F6" s="572" t="s">
        <v>61</v>
      </c>
    </row>
    <row r="7" spans="1:6" s="458" customFormat="1" ht="12" customHeight="1" thickBot="1">
      <c r="A7" s="573">
        <v>1</v>
      </c>
      <c r="B7" s="574">
        <v>2</v>
      </c>
      <c r="C7" s="574">
        <v>3</v>
      </c>
      <c r="D7" s="575">
        <v>4</v>
      </c>
      <c r="E7" s="575">
        <v>5</v>
      </c>
      <c r="F7" s="576">
        <v>6</v>
      </c>
    </row>
    <row r="8" spans="1:6" s="306" customFormat="1" ht="27" customHeight="1">
      <c r="A8" s="488" t="s">
        <v>62</v>
      </c>
      <c r="B8" s="489"/>
      <c r="C8" s="490" t="s">
        <v>480</v>
      </c>
      <c r="D8" s="1023">
        <v>365571</v>
      </c>
      <c r="E8" s="1023">
        <v>365570.56</v>
      </c>
      <c r="F8" s="1041" t="s">
        <v>1114</v>
      </c>
    </row>
    <row r="9" spans="1:6" s="306" customFormat="1" ht="19.5" customHeight="1">
      <c r="A9" s="491" t="s">
        <v>67</v>
      </c>
      <c r="B9" s="492"/>
      <c r="C9" s="492" t="s">
        <v>1097</v>
      </c>
      <c r="D9" s="1025">
        <f>SUM(D10,D11,D12,D13,D14,D15)</f>
        <v>5724400</v>
      </c>
      <c r="E9" s="1025">
        <f>SUM(E10,E11,E12,E13,E14,E15)</f>
        <v>5724079.13</v>
      </c>
      <c r="F9" s="1026">
        <f aca="true" t="shared" si="0" ref="F9:F21">E9/D9*100</f>
        <v>99.99439469638739</v>
      </c>
    </row>
    <row r="10" spans="1:6" ht="53.25" customHeight="1">
      <c r="A10" s="459" t="s">
        <v>1109</v>
      </c>
      <c r="B10" s="460" t="s">
        <v>1359</v>
      </c>
      <c r="C10" s="463" t="s">
        <v>114</v>
      </c>
      <c r="D10" s="1027">
        <v>1207500</v>
      </c>
      <c r="E10" s="1027">
        <v>1207446.35</v>
      </c>
      <c r="F10" s="1028">
        <f t="shared" si="0"/>
        <v>99.9955569358178</v>
      </c>
    </row>
    <row r="11" spans="1:6" ht="18.75" customHeight="1">
      <c r="A11" s="459" t="s">
        <v>1110</v>
      </c>
      <c r="B11" s="460" t="s">
        <v>1354</v>
      </c>
      <c r="C11" s="461" t="s">
        <v>68</v>
      </c>
      <c r="D11" s="1027">
        <v>2419200</v>
      </c>
      <c r="E11" s="1027">
        <v>2419101.88</v>
      </c>
      <c r="F11" s="1028">
        <f t="shared" si="0"/>
        <v>99.99594411375661</v>
      </c>
    </row>
    <row r="12" spans="1:6" ht="18.75" customHeight="1">
      <c r="A12" s="459" t="s">
        <v>1192</v>
      </c>
      <c r="B12" s="460" t="s">
        <v>1355</v>
      </c>
      <c r="C12" s="461" t="s">
        <v>1032</v>
      </c>
      <c r="D12" s="1027">
        <v>5200</v>
      </c>
      <c r="E12" s="1027">
        <v>5178.6</v>
      </c>
      <c r="F12" s="1028">
        <f t="shared" si="0"/>
        <v>99.58846153846154</v>
      </c>
    </row>
    <row r="13" spans="1:6" ht="18.75" customHeight="1">
      <c r="A13" s="459" t="s">
        <v>1199</v>
      </c>
      <c r="B13" s="460" t="s">
        <v>1356</v>
      </c>
      <c r="C13" s="461" t="s">
        <v>1031</v>
      </c>
      <c r="D13" s="1027">
        <v>7500</v>
      </c>
      <c r="E13" s="1027">
        <v>7484.1</v>
      </c>
      <c r="F13" s="1028">
        <f t="shared" si="0"/>
        <v>99.78800000000001</v>
      </c>
    </row>
    <row r="14" spans="1:6" ht="31.5" customHeight="1">
      <c r="A14" s="459" t="s">
        <v>1200</v>
      </c>
      <c r="B14" s="460" t="s">
        <v>69</v>
      </c>
      <c r="C14" s="463" t="s">
        <v>70</v>
      </c>
      <c r="D14" s="1027">
        <v>420600</v>
      </c>
      <c r="E14" s="1027">
        <v>420560.73</v>
      </c>
      <c r="F14" s="1028">
        <f t="shared" si="0"/>
        <v>99.99066333808844</v>
      </c>
    </row>
    <row r="15" spans="1:6" ht="18.75" customHeight="1">
      <c r="A15" s="459"/>
      <c r="B15" s="460"/>
      <c r="C15" s="461" t="s">
        <v>71</v>
      </c>
      <c r="D15" s="1027">
        <v>1664400</v>
      </c>
      <c r="E15" s="1027">
        <v>1664307.47</v>
      </c>
      <c r="F15" s="1028">
        <f t="shared" si="0"/>
        <v>99.9944406392694</v>
      </c>
    </row>
    <row r="16" spans="1:6" ht="5.25" customHeight="1" thickBot="1">
      <c r="A16" s="459"/>
      <c r="B16" s="460"/>
      <c r="C16" s="461"/>
      <c r="D16" s="1027"/>
      <c r="E16" s="1027"/>
      <c r="F16" s="1028"/>
    </row>
    <row r="17" spans="1:6" s="306" customFormat="1" ht="18.75" customHeight="1" thickBot="1">
      <c r="A17" s="1603" t="s">
        <v>72</v>
      </c>
      <c r="B17" s="1604"/>
      <c r="C17" s="1604"/>
      <c r="D17" s="1029">
        <f>D9+D8</f>
        <v>6089971</v>
      </c>
      <c r="E17" s="1029">
        <f>E9+E8</f>
        <v>6089649.6899999995</v>
      </c>
      <c r="F17" s="1030">
        <f t="shared" si="0"/>
        <v>99.99472394860337</v>
      </c>
    </row>
    <row r="18" spans="1:6" s="306" customFormat="1" ht="18.75" customHeight="1">
      <c r="A18" s="488" t="s">
        <v>73</v>
      </c>
      <c r="B18" s="489"/>
      <c r="C18" s="489" t="s">
        <v>74</v>
      </c>
      <c r="D18" s="1023">
        <f>SUM(D19,D20,D21,D22,D23,D24,D25,D26,D27,D28,D29,D30,D31,D32,D33,D34,D35,D36,D37,D38,D39,D40,D41,D42,D43,D44,D45,D46,D47,D48)</f>
        <v>5995300</v>
      </c>
      <c r="E18" s="1023">
        <f>SUM(E19,E20,E21,E22,E23,E24,E25,E26,E27,E28,E29,E30,E31,E32,E33,E34,E35,E36,E37,E38,E39,E40,E41,E42,E43,E44,E45,E46,E47,E48)</f>
        <v>5713315.82</v>
      </c>
      <c r="F18" s="1042">
        <f t="shared" si="0"/>
        <v>95.2965793204677</v>
      </c>
    </row>
    <row r="19" spans="1:6" ht="18.75" customHeight="1">
      <c r="A19" s="459" t="s">
        <v>1109</v>
      </c>
      <c r="B19" s="462">
        <v>3020</v>
      </c>
      <c r="C19" s="461" t="s">
        <v>75</v>
      </c>
      <c r="D19" s="1027">
        <v>15000</v>
      </c>
      <c r="E19" s="1027">
        <v>9049.55</v>
      </c>
      <c r="F19" s="1028">
        <f t="shared" si="0"/>
        <v>60.33033333333333</v>
      </c>
    </row>
    <row r="20" spans="1:6" ht="18.75" customHeight="1">
      <c r="A20" s="459" t="s">
        <v>1110</v>
      </c>
      <c r="B20" s="462">
        <v>4010</v>
      </c>
      <c r="C20" s="461" t="s">
        <v>76</v>
      </c>
      <c r="D20" s="1027">
        <v>1460000</v>
      </c>
      <c r="E20" s="1027">
        <v>1422772.43</v>
      </c>
      <c r="F20" s="1028">
        <f t="shared" si="0"/>
        <v>97.45016643835615</v>
      </c>
    </row>
    <row r="21" spans="1:6" ht="18.75" customHeight="1">
      <c r="A21" s="459" t="s">
        <v>1192</v>
      </c>
      <c r="B21" s="462">
        <v>4040</v>
      </c>
      <c r="C21" s="461" t="s">
        <v>77</v>
      </c>
      <c r="D21" s="1027">
        <v>115000</v>
      </c>
      <c r="E21" s="1027">
        <v>112564.91</v>
      </c>
      <c r="F21" s="1028">
        <f t="shared" si="0"/>
        <v>97.88253043478261</v>
      </c>
    </row>
    <row r="22" spans="1:6" ht="18.75" customHeight="1">
      <c r="A22" s="459" t="s">
        <v>1199</v>
      </c>
      <c r="B22" s="462">
        <v>4110</v>
      </c>
      <c r="C22" s="461" t="s">
        <v>83</v>
      </c>
      <c r="D22" s="1027">
        <v>280000</v>
      </c>
      <c r="E22" s="1027">
        <v>257651.51</v>
      </c>
      <c r="F22" s="1028">
        <f aca="true" t="shared" si="1" ref="F22:F37">E22/D22*100</f>
        <v>92.01839642857144</v>
      </c>
    </row>
    <row r="23" spans="1:6" ht="18.75" customHeight="1">
      <c r="A23" s="459" t="s">
        <v>1200</v>
      </c>
      <c r="B23" s="462">
        <v>4120</v>
      </c>
      <c r="C23" s="461" t="s">
        <v>84</v>
      </c>
      <c r="D23" s="1027">
        <v>45000</v>
      </c>
      <c r="E23" s="1027">
        <v>40814.25</v>
      </c>
      <c r="F23" s="1028">
        <f t="shared" si="1"/>
        <v>90.69833333333334</v>
      </c>
    </row>
    <row r="24" spans="1:6" ht="30" customHeight="1">
      <c r="A24" s="459" t="s">
        <v>1201</v>
      </c>
      <c r="B24" s="462">
        <v>4140</v>
      </c>
      <c r="C24" s="463" t="s">
        <v>150</v>
      </c>
      <c r="D24" s="1027">
        <v>10000</v>
      </c>
      <c r="E24" s="1027">
        <v>9054</v>
      </c>
      <c r="F24" s="1028">
        <f t="shared" si="1"/>
        <v>90.53999999999999</v>
      </c>
    </row>
    <row r="25" spans="1:6" ht="18.75" customHeight="1">
      <c r="A25" s="459" t="s">
        <v>1310</v>
      </c>
      <c r="B25" s="462">
        <v>4170</v>
      </c>
      <c r="C25" s="461" t="s">
        <v>85</v>
      </c>
      <c r="D25" s="1027">
        <v>400000</v>
      </c>
      <c r="E25" s="1027">
        <v>358758.96</v>
      </c>
      <c r="F25" s="1028">
        <f t="shared" si="1"/>
        <v>89.68974</v>
      </c>
    </row>
    <row r="26" spans="1:6" ht="18.75" customHeight="1">
      <c r="A26" s="459" t="s">
        <v>1311</v>
      </c>
      <c r="B26" s="462">
        <v>4210</v>
      </c>
      <c r="C26" s="461" t="s">
        <v>86</v>
      </c>
      <c r="D26" s="1027">
        <v>500000</v>
      </c>
      <c r="E26" s="1027">
        <v>464678.49</v>
      </c>
      <c r="F26" s="1028">
        <f t="shared" si="1"/>
        <v>92.935698</v>
      </c>
    </row>
    <row r="27" spans="1:6" ht="18.75" customHeight="1">
      <c r="A27" s="459" t="s">
        <v>1202</v>
      </c>
      <c r="B27" s="462">
        <v>4260</v>
      </c>
      <c r="C27" s="461" t="s">
        <v>87</v>
      </c>
      <c r="D27" s="1027">
        <v>610000</v>
      </c>
      <c r="E27" s="1027">
        <v>594820.62</v>
      </c>
      <c r="F27" s="1028">
        <f t="shared" si="1"/>
        <v>97.51157704918033</v>
      </c>
    </row>
    <row r="28" spans="1:6" ht="18.75" customHeight="1">
      <c r="A28" s="459" t="s">
        <v>1204</v>
      </c>
      <c r="B28" s="462">
        <v>4270</v>
      </c>
      <c r="C28" s="461" t="s">
        <v>88</v>
      </c>
      <c r="D28" s="1027">
        <v>30000</v>
      </c>
      <c r="E28" s="1027">
        <v>22961.72</v>
      </c>
      <c r="F28" s="1028">
        <f t="shared" si="1"/>
        <v>76.53906666666667</v>
      </c>
    </row>
    <row r="29" spans="1:6" ht="18.75" customHeight="1">
      <c r="A29" s="459" t="s">
        <v>1312</v>
      </c>
      <c r="B29" s="462">
        <v>4280</v>
      </c>
      <c r="C29" s="461" t="s">
        <v>148</v>
      </c>
      <c r="D29" s="1027">
        <v>5000</v>
      </c>
      <c r="E29" s="1027">
        <v>2381</v>
      </c>
      <c r="F29" s="1028">
        <f t="shared" si="1"/>
        <v>47.620000000000005</v>
      </c>
    </row>
    <row r="30" spans="1:6" ht="18.75" customHeight="1">
      <c r="A30" s="459" t="s">
        <v>1205</v>
      </c>
      <c r="B30" s="462">
        <v>4300</v>
      </c>
      <c r="C30" s="461" t="s">
        <v>92</v>
      </c>
      <c r="D30" s="1027">
        <v>550000</v>
      </c>
      <c r="E30" s="1027">
        <v>531305.69</v>
      </c>
      <c r="F30" s="1028">
        <f t="shared" si="1"/>
        <v>96.60103454545454</v>
      </c>
    </row>
    <row r="31" spans="1:6" ht="18.75" customHeight="1">
      <c r="A31" s="459" t="s">
        <v>1206</v>
      </c>
      <c r="B31" s="462">
        <v>4350</v>
      </c>
      <c r="C31" s="461" t="s">
        <v>93</v>
      </c>
      <c r="D31" s="1027">
        <v>5000</v>
      </c>
      <c r="E31" s="1027">
        <v>1446.26</v>
      </c>
      <c r="F31" s="1028">
        <f t="shared" si="1"/>
        <v>28.9252</v>
      </c>
    </row>
    <row r="32" spans="1:6" ht="27.75" customHeight="1">
      <c r="A32" s="459" t="s">
        <v>1313</v>
      </c>
      <c r="B32" s="462">
        <v>4360</v>
      </c>
      <c r="C32" s="463" t="s">
        <v>94</v>
      </c>
      <c r="D32" s="1027">
        <v>25000</v>
      </c>
      <c r="E32" s="1027">
        <v>11199.08</v>
      </c>
      <c r="F32" s="1028">
        <f t="shared" si="1"/>
        <v>44.79632</v>
      </c>
    </row>
    <row r="33" spans="1:6" ht="30.75" customHeight="1">
      <c r="A33" s="459" t="s">
        <v>1207</v>
      </c>
      <c r="B33" s="462">
        <v>4370</v>
      </c>
      <c r="C33" s="463" t="s">
        <v>96</v>
      </c>
      <c r="D33" s="1027">
        <v>25000</v>
      </c>
      <c r="E33" s="1027">
        <v>16078.11</v>
      </c>
      <c r="F33" s="1028">
        <f t="shared" si="1"/>
        <v>64.31244000000001</v>
      </c>
    </row>
    <row r="34" spans="1:6" ht="18.75" customHeight="1">
      <c r="A34" s="459" t="s">
        <v>1208</v>
      </c>
      <c r="B34" s="462">
        <v>4390</v>
      </c>
      <c r="C34" s="461" t="s">
        <v>151</v>
      </c>
      <c r="D34" s="1027">
        <v>15000</v>
      </c>
      <c r="E34" s="1027">
        <v>8527.6</v>
      </c>
      <c r="F34" s="1028">
        <f t="shared" si="1"/>
        <v>56.85066666666667</v>
      </c>
    </row>
    <row r="35" spans="1:6" ht="27.75" customHeight="1">
      <c r="A35" s="459" t="s">
        <v>1209</v>
      </c>
      <c r="B35" s="462">
        <v>4400</v>
      </c>
      <c r="C35" s="463" t="s">
        <v>97</v>
      </c>
      <c r="D35" s="1027">
        <v>5000</v>
      </c>
      <c r="E35" s="1027">
        <v>3111.08</v>
      </c>
      <c r="F35" s="1028">
        <f t="shared" si="1"/>
        <v>62.2216</v>
      </c>
    </row>
    <row r="36" spans="1:6" ht="18.75" customHeight="1">
      <c r="A36" s="459" t="s">
        <v>1210</v>
      </c>
      <c r="B36" s="462">
        <v>4410</v>
      </c>
      <c r="C36" s="461" t="s">
        <v>98</v>
      </c>
      <c r="D36" s="1027">
        <v>20000</v>
      </c>
      <c r="E36" s="1027">
        <v>13299.74</v>
      </c>
      <c r="F36" s="1028">
        <f t="shared" si="1"/>
        <v>66.4987</v>
      </c>
    </row>
    <row r="37" spans="1:6" ht="18.75" customHeight="1">
      <c r="A37" s="459" t="s">
        <v>1213</v>
      </c>
      <c r="B37" s="462">
        <v>4420</v>
      </c>
      <c r="C37" s="461" t="s">
        <v>152</v>
      </c>
      <c r="D37" s="1027">
        <v>5000</v>
      </c>
      <c r="E37" s="1027">
        <v>802</v>
      </c>
      <c r="F37" s="1028">
        <f t="shared" si="1"/>
        <v>16.04</v>
      </c>
    </row>
    <row r="38" spans="1:6" ht="18.75" customHeight="1">
      <c r="A38" s="459" t="s">
        <v>1214</v>
      </c>
      <c r="B38" s="462">
        <v>4430</v>
      </c>
      <c r="C38" s="461" t="s">
        <v>99</v>
      </c>
      <c r="D38" s="1027">
        <v>50000</v>
      </c>
      <c r="E38" s="1027">
        <v>35802.11</v>
      </c>
      <c r="F38" s="1028">
        <f aca="true" t="shared" si="2" ref="F38:F48">E38/D38*100</f>
        <v>71.60422</v>
      </c>
    </row>
    <row r="39" spans="1:6" ht="18.75" customHeight="1">
      <c r="A39" s="459" t="s">
        <v>1215</v>
      </c>
      <c r="B39" s="462">
        <v>4440</v>
      </c>
      <c r="C39" s="461" t="s">
        <v>100</v>
      </c>
      <c r="D39" s="1027">
        <v>48000</v>
      </c>
      <c r="E39" s="1027">
        <v>43700</v>
      </c>
      <c r="F39" s="1028">
        <f t="shared" si="2"/>
        <v>91.04166666666667</v>
      </c>
    </row>
    <row r="40" spans="1:6" ht="18.75" customHeight="1">
      <c r="A40" s="459" t="s">
        <v>1216</v>
      </c>
      <c r="B40" s="462">
        <v>4480</v>
      </c>
      <c r="C40" s="461" t="s">
        <v>1044</v>
      </c>
      <c r="D40" s="1027">
        <v>80000</v>
      </c>
      <c r="E40" s="1027">
        <v>68230.45</v>
      </c>
      <c r="F40" s="1028">
        <f t="shared" si="2"/>
        <v>85.2880625</v>
      </c>
    </row>
    <row r="41" spans="1:6" ht="30.75" customHeight="1">
      <c r="A41" s="459" t="s">
        <v>1056</v>
      </c>
      <c r="B41" s="462">
        <v>4500</v>
      </c>
      <c r="C41" s="463" t="s">
        <v>271</v>
      </c>
      <c r="D41" s="1027">
        <v>5000</v>
      </c>
      <c r="E41" s="1027">
        <v>2000</v>
      </c>
      <c r="F41" s="1028">
        <f t="shared" si="2"/>
        <v>40</v>
      </c>
    </row>
    <row r="42" spans="1:6" ht="18.75" customHeight="1">
      <c r="A42" s="459" t="s">
        <v>1057</v>
      </c>
      <c r="B42" s="462">
        <v>4520</v>
      </c>
      <c r="C42" s="463" t="s">
        <v>153</v>
      </c>
      <c r="D42" s="1027">
        <v>5000</v>
      </c>
      <c r="E42" s="1027">
        <v>1327.33</v>
      </c>
      <c r="F42" s="1028">
        <f t="shared" si="2"/>
        <v>26.546599999999998</v>
      </c>
    </row>
    <row r="43" spans="1:6" ht="18.75" customHeight="1">
      <c r="A43" s="459" t="s">
        <v>1058</v>
      </c>
      <c r="B43" s="462">
        <v>4610</v>
      </c>
      <c r="C43" s="463" t="s">
        <v>103</v>
      </c>
      <c r="D43" s="1027">
        <v>1000</v>
      </c>
      <c r="E43" s="1027">
        <v>877.26</v>
      </c>
      <c r="F43" s="1028">
        <f t="shared" si="2"/>
        <v>87.726</v>
      </c>
    </row>
    <row r="44" spans="1:6" ht="27" customHeight="1">
      <c r="A44" s="459" t="s">
        <v>1059</v>
      </c>
      <c r="B44" s="462">
        <v>4700</v>
      </c>
      <c r="C44" s="463" t="s">
        <v>104</v>
      </c>
      <c r="D44" s="1027">
        <v>5000</v>
      </c>
      <c r="E44" s="1027">
        <v>3653.14</v>
      </c>
      <c r="F44" s="1028">
        <f t="shared" si="2"/>
        <v>73.0628</v>
      </c>
    </row>
    <row r="45" spans="1:6" ht="30" customHeight="1">
      <c r="A45" s="459" t="s">
        <v>447</v>
      </c>
      <c r="B45" s="462">
        <v>4740</v>
      </c>
      <c r="C45" s="463" t="s">
        <v>105</v>
      </c>
      <c r="D45" s="1027">
        <v>3000</v>
      </c>
      <c r="E45" s="1027">
        <v>1261.87</v>
      </c>
      <c r="F45" s="1028">
        <f t="shared" si="2"/>
        <v>42.06233333333333</v>
      </c>
    </row>
    <row r="46" spans="1:6" ht="18.75" customHeight="1">
      <c r="A46" s="459" t="s">
        <v>448</v>
      </c>
      <c r="B46" s="462">
        <v>4750</v>
      </c>
      <c r="C46" s="463" t="s">
        <v>106</v>
      </c>
      <c r="D46" s="1027">
        <v>13082</v>
      </c>
      <c r="E46" s="1027">
        <v>10061.77</v>
      </c>
      <c r="F46" s="1028">
        <f t="shared" si="2"/>
        <v>76.91308668399328</v>
      </c>
    </row>
    <row r="47" spans="1:6" ht="18.75" customHeight="1">
      <c r="A47" s="459"/>
      <c r="B47" s="462"/>
      <c r="C47" s="461" t="s">
        <v>109</v>
      </c>
      <c r="D47" s="1027">
        <v>1664400</v>
      </c>
      <c r="E47" s="1027">
        <v>1664307.47</v>
      </c>
      <c r="F47" s="1028">
        <f t="shared" si="2"/>
        <v>99.9944406392694</v>
      </c>
    </row>
    <row r="48" spans="1:6" ht="18.75" customHeight="1">
      <c r="A48" s="46"/>
      <c r="B48" s="421"/>
      <c r="C48" s="421" t="s">
        <v>110</v>
      </c>
      <c r="D48" s="1034">
        <v>818</v>
      </c>
      <c r="E48" s="1034">
        <v>817.42</v>
      </c>
      <c r="F48" s="1035">
        <f t="shared" si="2"/>
        <v>99.92909535452323</v>
      </c>
    </row>
    <row r="49" spans="1:6" s="306" customFormat="1" ht="22.5" customHeight="1">
      <c r="A49" s="622" t="s">
        <v>111</v>
      </c>
      <c r="B49" s="492"/>
      <c r="C49" s="492" t="s">
        <v>154</v>
      </c>
      <c r="D49" s="1025">
        <v>0</v>
      </c>
      <c r="E49" s="1025">
        <v>0</v>
      </c>
      <c r="F49" s="1026">
        <v>0</v>
      </c>
    </row>
    <row r="50" spans="1:6" s="306" customFormat="1" ht="30.75" customHeight="1" thickBot="1">
      <c r="A50" s="493" t="s">
        <v>155</v>
      </c>
      <c r="B50" s="494"/>
      <c r="C50" s="495" t="s">
        <v>481</v>
      </c>
      <c r="D50" s="1038">
        <v>94671</v>
      </c>
      <c r="E50" s="1038">
        <v>376333.87</v>
      </c>
      <c r="F50" s="1039" t="s">
        <v>1114</v>
      </c>
    </row>
    <row r="51" spans="1:6" ht="18.75" customHeight="1" thickBot="1">
      <c r="A51" s="1603" t="s">
        <v>162</v>
      </c>
      <c r="B51" s="1604"/>
      <c r="C51" s="1604"/>
      <c r="D51" s="1029">
        <f>D49+D50+D18</f>
        <v>6089971</v>
      </c>
      <c r="E51" s="1029">
        <f>E49+E50+E18</f>
        <v>6089649.69</v>
      </c>
      <c r="F51" s="1030">
        <f>E51/D51*100</f>
        <v>99.99472394860337</v>
      </c>
    </row>
    <row r="52" spans="3:5" ht="12.75">
      <c r="C52" s="45" t="s">
        <v>957</v>
      </c>
      <c r="D52" s="307">
        <f>D17-D51</f>
        <v>0</v>
      </c>
      <c r="E52" s="307">
        <f>E17-E51</f>
        <v>0</v>
      </c>
    </row>
  </sheetData>
  <sheetProtection/>
  <mergeCells count="5">
    <mergeCell ref="A17:C17"/>
    <mergeCell ref="A51:C51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1">
    <tabColor indexed="42"/>
  </sheetPr>
  <dimension ref="A1:F31"/>
  <sheetViews>
    <sheetView view="pageBreakPreview" zoomScaleSheetLayoutView="100" workbookViewId="0" topLeftCell="A12">
      <selection activeCell="F5" sqref="F5"/>
    </sheetView>
  </sheetViews>
  <sheetFormatPr defaultColWidth="9.00390625" defaultRowHeight="12.75"/>
  <cols>
    <col min="1" max="1" width="3.625" style="44" customWidth="1"/>
    <col min="2" max="2" width="4.375" style="44" customWidth="1"/>
    <col min="3" max="3" width="52.125" style="44" customWidth="1"/>
    <col min="4" max="5" width="10.75390625" style="44" customWidth="1"/>
    <col min="6" max="6" width="5.125" style="44" customWidth="1"/>
    <col min="7" max="16384" width="9.125" style="44" customWidth="1"/>
  </cols>
  <sheetData>
    <row r="1" spans="5:6" ht="12.75">
      <c r="E1" s="1493" t="s">
        <v>258</v>
      </c>
      <c r="F1" s="1493"/>
    </row>
    <row r="2" ht="28.5" customHeight="1"/>
    <row r="3" spans="1:6" ht="12.75">
      <c r="A3" s="1608" t="s">
        <v>163</v>
      </c>
      <c r="B3" s="1608"/>
      <c r="C3" s="1608"/>
      <c r="D3" s="1608"/>
      <c r="E3" s="1608"/>
      <c r="F3" s="1608"/>
    </row>
    <row r="4" spans="1:6" ht="20.25" customHeight="1">
      <c r="A4" s="457"/>
      <c r="B4" s="457"/>
      <c r="C4" s="457"/>
      <c r="D4" s="457"/>
      <c r="E4" s="457"/>
      <c r="F4" s="457"/>
    </row>
    <row r="5" spans="1:6" ht="15" customHeight="1" thickBot="1">
      <c r="A5" s="1605" t="s">
        <v>338</v>
      </c>
      <c r="B5" s="1605"/>
      <c r="C5" s="1605"/>
      <c r="F5" s="45" t="s">
        <v>833</v>
      </c>
    </row>
    <row r="6" spans="1:6" s="1050" customFormat="1" ht="22.5" customHeight="1">
      <c r="A6" s="569" t="s">
        <v>1106</v>
      </c>
      <c r="B6" s="570" t="s">
        <v>1024</v>
      </c>
      <c r="C6" s="570" t="s">
        <v>835</v>
      </c>
      <c r="D6" s="571" t="s">
        <v>836</v>
      </c>
      <c r="E6" s="571" t="s">
        <v>837</v>
      </c>
      <c r="F6" s="572" t="s">
        <v>61</v>
      </c>
    </row>
    <row r="7" spans="1:6" s="1051" customFormat="1" ht="9.75" customHeight="1" thickBot="1">
      <c r="A7" s="573">
        <v>1</v>
      </c>
      <c r="B7" s="574">
        <v>2</v>
      </c>
      <c r="C7" s="574">
        <v>3</v>
      </c>
      <c r="D7" s="575">
        <v>4</v>
      </c>
      <c r="E7" s="575">
        <v>5</v>
      </c>
      <c r="F7" s="576">
        <v>6</v>
      </c>
    </row>
    <row r="8" spans="1:6" s="306" customFormat="1" ht="29.25" customHeight="1">
      <c r="A8" s="488" t="s">
        <v>62</v>
      </c>
      <c r="B8" s="489"/>
      <c r="C8" s="490" t="s">
        <v>480</v>
      </c>
      <c r="D8" s="1023">
        <v>252602</v>
      </c>
      <c r="E8" s="1023">
        <v>240521.87</v>
      </c>
      <c r="F8" s="1024" t="s">
        <v>1114</v>
      </c>
    </row>
    <row r="9" spans="1:6" s="306" customFormat="1" ht="18" customHeight="1">
      <c r="A9" s="491" t="s">
        <v>67</v>
      </c>
      <c r="B9" s="492"/>
      <c r="C9" s="492" t="s">
        <v>1097</v>
      </c>
      <c r="D9" s="1025">
        <f>SUM(D10,D11,D12,D13)</f>
        <v>286000</v>
      </c>
      <c r="E9" s="1025">
        <f>SUM(E10,E11,E12,E13)</f>
        <v>392393.62</v>
      </c>
      <c r="F9" s="1026">
        <f aca="true" t="shared" si="0" ref="F9:F15">E9/D9*100</f>
        <v>137.20056643356645</v>
      </c>
    </row>
    <row r="10" spans="1:6" ht="18" customHeight="1">
      <c r="A10" s="459" t="s">
        <v>1109</v>
      </c>
      <c r="B10" s="460" t="s">
        <v>1354</v>
      </c>
      <c r="C10" s="461" t="s">
        <v>68</v>
      </c>
      <c r="D10" s="1027">
        <v>248000</v>
      </c>
      <c r="E10" s="1027">
        <v>351764.1</v>
      </c>
      <c r="F10" s="1028">
        <f t="shared" si="0"/>
        <v>141.84036290322578</v>
      </c>
    </row>
    <row r="11" spans="1:6" ht="18" customHeight="1">
      <c r="A11" s="459" t="s">
        <v>1110</v>
      </c>
      <c r="B11" s="460" t="s">
        <v>1355</v>
      </c>
      <c r="C11" s="461" t="s">
        <v>1032</v>
      </c>
      <c r="D11" s="1027">
        <v>12000</v>
      </c>
      <c r="E11" s="1027">
        <v>14629.52</v>
      </c>
      <c r="F11" s="1028">
        <f t="shared" si="0"/>
        <v>121.91266666666667</v>
      </c>
    </row>
    <row r="12" spans="1:6" ht="18" customHeight="1">
      <c r="A12" s="459" t="s">
        <v>1192</v>
      </c>
      <c r="B12" s="460" t="s">
        <v>164</v>
      </c>
      <c r="C12" s="461" t="s">
        <v>165</v>
      </c>
      <c r="D12" s="1027">
        <v>20000</v>
      </c>
      <c r="E12" s="1027">
        <v>26000</v>
      </c>
      <c r="F12" s="1028">
        <f t="shared" si="0"/>
        <v>130</v>
      </c>
    </row>
    <row r="13" spans="1:6" ht="38.25" customHeight="1" thickBot="1">
      <c r="A13" s="459" t="s">
        <v>1199</v>
      </c>
      <c r="B13" s="460" t="s">
        <v>421</v>
      </c>
      <c r="C13" s="463" t="s">
        <v>425</v>
      </c>
      <c r="D13" s="1027">
        <v>6000</v>
      </c>
      <c r="E13" s="1027">
        <v>0</v>
      </c>
      <c r="F13" s="1028">
        <f t="shared" si="0"/>
        <v>0</v>
      </c>
    </row>
    <row r="14" spans="1:6" s="306" customFormat="1" ht="18" customHeight="1" thickBot="1">
      <c r="A14" s="1603" t="s">
        <v>72</v>
      </c>
      <c r="B14" s="1604"/>
      <c r="C14" s="1604"/>
      <c r="D14" s="1029">
        <f>D9+D8</f>
        <v>538602</v>
      </c>
      <c r="E14" s="1029">
        <f>E9+E8</f>
        <v>632915.49</v>
      </c>
      <c r="F14" s="1030">
        <f t="shared" si="0"/>
        <v>117.51079461271961</v>
      </c>
    </row>
    <row r="15" spans="1:6" s="306" customFormat="1" ht="18" customHeight="1">
      <c r="A15" s="491" t="s">
        <v>73</v>
      </c>
      <c r="B15" s="492"/>
      <c r="C15" s="492" t="s">
        <v>74</v>
      </c>
      <c r="D15" s="1025">
        <f>SUM(D16:D28)</f>
        <v>538602</v>
      </c>
      <c r="E15" s="1025">
        <f>SUM(E16:E28)</f>
        <v>381659.41000000003</v>
      </c>
      <c r="F15" s="1026">
        <f t="shared" si="0"/>
        <v>70.8611200849607</v>
      </c>
    </row>
    <row r="16" spans="1:6" ht="18" customHeight="1">
      <c r="A16" s="459" t="s">
        <v>1109</v>
      </c>
      <c r="B16" s="462">
        <v>2960</v>
      </c>
      <c r="C16" s="463" t="s">
        <v>165</v>
      </c>
      <c r="D16" s="1027">
        <v>52000</v>
      </c>
      <c r="E16" s="1027">
        <v>73271.18</v>
      </c>
      <c r="F16" s="1028">
        <f aca="true" t="shared" si="1" ref="F16:F28">E16/D16*100</f>
        <v>140.90611538461536</v>
      </c>
    </row>
    <row r="17" spans="1:6" ht="18" customHeight="1">
      <c r="A17" s="459" t="s">
        <v>1110</v>
      </c>
      <c r="B17" s="462">
        <v>4110</v>
      </c>
      <c r="C17" s="461" t="s">
        <v>83</v>
      </c>
      <c r="D17" s="1027">
        <v>1700</v>
      </c>
      <c r="E17" s="1027">
        <v>911.42</v>
      </c>
      <c r="F17" s="1028">
        <f t="shared" si="1"/>
        <v>53.612941176470585</v>
      </c>
    </row>
    <row r="18" spans="1:6" ht="18" customHeight="1">
      <c r="A18" s="459" t="s">
        <v>1192</v>
      </c>
      <c r="B18" s="462">
        <v>4120</v>
      </c>
      <c r="C18" s="463" t="s">
        <v>84</v>
      </c>
      <c r="D18" s="1027">
        <v>250</v>
      </c>
      <c r="E18" s="1027">
        <v>147.02</v>
      </c>
      <c r="F18" s="1028">
        <f t="shared" si="1"/>
        <v>58.80800000000001</v>
      </c>
    </row>
    <row r="19" spans="1:6" ht="18" customHeight="1">
      <c r="A19" s="459" t="s">
        <v>1199</v>
      </c>
      <c r="B19" s="462">
        <v>4170</v>
      </c>
      <c r="C19" s="463" t="s">
        <v>85</v>
      </c>
      <c r="D19" s="1027">
        <v>10000</v>
      </c>
      <c r="E19" s="1027">
        <v>6000</v>
      </c>
      <c r="F19" s="1028">
        <f t="shared" si="1"/>
        <v>60</v>
      </c>
    </row>
    <row r="20" spans="1:6" ht="18" customHeight="1">
      <c r="A20" s="459" t="s">
        <v>1200</v>
      </c>
      <c r="B20" s="462">
        <v>4210</v>
      </c>
      <c r="C20" s="461" t="s">
        <v>86</v>
      </c>
      <c r="D20" s="1027">
        <v>25000</v>
      </c>
      <c r="E20" s="1027">
        <v>19992.87</v>
      </c>
      <c r="F20" s="1028">
        <f t="shared" si="1"/>
        <v>79.97148</v>
      </c>
    </row>
    <row r="21" spans="1:6" ht="18" customHeight="1">
      <c r="A21" s="459" t="s">
        <v>1201</v>
      </c>
      <c r="B21" s="462">
        <v>4240</v>
      </c>
      <c r="C21" s="461" t="s">
        <v>147</v>
      </c>
      <c r="D21" s="1027">
        <v>1000</v>
      </c>
      <c r="E21" s="1027">
        <v>169</v>
      </c>
      <c r="F21" s="1028">
        <f t="shared" si="1"/>
        <v>16.900000000000002</v>
      </c>
    </row>
    <row r="22" spans="1:6" ht="18" customHeight="1">
      <c r="A22" s="459" t="s">
        <v>1310</v>
      </c>
      <c r="B22" s="462">
        <v>4270</v>
      </c>
      <c r="C22" s="461" t="s">
        <v>88</v>
      </c>
      <c r="D22" s="1027">
        <v>4000</v>
      </c>
      <c r="E22" s="1027">
        <v>0</v>
      </c>
      <c r="F22" s="1028">
        <f t="shared" si="1"/>
        <v>0</v>
      </c>
    </row>
    <row r="23" spans="1:6" ht="18" customHeight="1">
      <c r="A23" s="459" t="s">
        <v>1311</v>
      </c>
      <c r="B23" s="462">
        <v>4300</v>
      </c>
      <c r="C23" s="461" t="s">
        <v>92</v>
      </c>
      <c r="D23" s="1027">
        <v>342652</v>
      </c>
      <c r="E23" s="1027">
        <v>218136.88</v>
      </c>
      <c r="F23" s="1028">
        <f t="shared" si="1"/>
        <v>63.66134737284476</v>
      </c>
    </row>
    <row r="24" spans="1:6" ht="18" customHeight="1">
      <c r="A24" s="459" t="s">
        <v>1202</v>
      </c>
      <c r="B24" s="462">
        <v>4430</v>
      </c>
      <c r="C24" s="461" t="s">
        <v>99</v>
      </c>
      <c r="D24" s="1027">
        <v>1000</v>
      </c>
      <c r="E24" s="1027">
        <v>0</v>
      </c>
      <c r="F24" s="1028">
        <f t="shared" si="1"/>
        <v>0</v>
      </c>
    </row>
    <row r="25" spans="1:6" ht="30" customHeight="1">
      <c r="A25" s="459" t="s">
        <v>1204</v>
      </c>
      <c r="B25" s="462">
        <v>4700</v>
      </c>
      <c r="C25" s="463" t="s">
        <v>104</v>
      </c>
      <c r="D25" s="1027">
        <v>5000</v>
      </c>
      <c r="E25" s="1027">
        <v>3375</v>
      </c>
      <c r="F25" s="1028">
        <f t="shared" si="1"/>
        <v>67.5</v>
      </c>
    </row>
    <row r="26" spans="1:6" ht="27" customHeight="1">
      <c r="A26" s="459" t="s">
        <v>1312</v>
      </c>
      <c r="B26" s="462">
        <v>4740</v>
      </c>
      <c r="C26" s="463" t="s">
        <v>105</v>
      </c>
      <c r="D26" s="1027">
        <v>10000</v>
      </c>
      <c r="E26" s="1027">
        <v>2721.62</v>
      </c>
      <c r="F26" s="1028">
        <f t="shared" si="1"/>
        <v>27.2162</v>
      </c>
    </row>
    <row r="27" spans="1:6" ht="18" customHeight="1">
      <c r="A27" s="459" t="s">
        <v>1205</v>
      </c>
      <c r="B27" s="462">
        <v>4750</v>
      </c>
      <c r="C27" s="463" t="s">
        <v>106</v>
      </c>
      <c r="D27" s="1027">
        <v>13000</v>
      </c>
      <c r="E27" s="1027">
        <v>10124.02</v>
      </c>
      <c r="F27" s="1028">
        <f t="shared" si="1"/>
        <v>77.87707692307693</v>
      </c>
    </row>
    <row r="28" spans="1:6" ht="18" customHeight="1">
      <c r="A28" s="46" t="s">
        <v>1206</v>
      </c>
      <c r="B28" s="48">
        <v>6120</v>
      </c>
      <c r="C28" s="47" t="s">
        <v>166</v>
      </c>
      <c r="D28" s="1034">
        <v>73000</v>
      </c>
      <c r="E28" s="1034">
        <v>46810.4</v>
      </c>
      <c r="F28" s="1035">
        <f t="shared" si="1"/>
        <v>64.12383561643836</v>
      </c>
    </row>
    <row r="29" spans="1:6" s="306" customFormat="1" ht="33" customHeight="1">
      <c r="A29" s="493" t="s">
        <v>111</v>
      </c>
      <c r="B29" s="494"/>
      <c r="C29" s="495" t="s">
        <v>481</v>
      </c>
      <c r="D29" s="1038">
        <f>SUM(D8+D9-D15)</f>
        <v>0</v>
      </c>
      <c r="E29" s="1038">
        <f>SUM(E8+E9-E15)</f>
        <v>251256.07999999996</v>
      </c>
      <c r="F29" s="1039" t="s">
        <v>1114</v>
      </c>
    </row>
    <row r="30" spans="1:6" ht="18" customHeight="1" thickBot="1">
      <c r="A30" s="1606" t="s">
        <v>112</v>
      </c>
      <c r="B30" s="1607"/>
      <c r="C30" s="1607"/>
      <c r="D30" s="1053">
        <f>D29+D15</f>
        <v>538602</v>
      </c>
      <c r="E30" s="1053">
        <f>E29+E15</f>
        <v>632915.49</v>
      </c>
      <c r="F30" s="1054">
        <f>E30/D30*100</f>
        <v>117.51079461271961</v>
      </c>
    </row>
    <row r="31" spans="3:5" ht="12.75">
      <c r="C31" s="44" t="s">
        <v>957</v>
      </c>
      <c r="D31" s="307">
        <f>D14-D30</f>
        <v>0</v>
      </c>
      <c r="E31" s="307">
        <f>E14-E30</f>
        <v>0</v>
      </c>
    </row>
  </sheetData>
  <sheetProtection/>
  <mergeCells count="5">
    <mergeCell ref="A14:C14"/>
    <mergeCell ref="A30:C30"/>
    <mergeCell ref="A3:F3"/>
    <mergeCell ref="E1:F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22">
    <tabColor indexed="42"/>
  </sheetPr>
  <dimension ref="A1:F28"/>
  <sheetViews>
    <sheetView view="pageBreakPreview" zoomScaleSheetLayoutView="100" workbookViewId="0" topLeftCell="A5">
      <selection activeCell="F5" sqref="F5"/>
    </sheetView>
  </sheetViews>
  <sheetFormatPr defaultColWidth="9.00390625" defaultRowHeight="12.75"/>
  <cols>
    <col min="1" max="1" width="3.625" style="44" customWidth="1"/>
    <col min="2" max="2" width="4.375" style="44" customWidth="1"/>
    <col min="3" max="3" width="49.125" style="44" customWidth="1"/>
    <col min="4" max="5" width="11.25390625" style="44" bestFit="1" customWidth="1"/>
    <col min="6" max="6" width="7.125" style="44" customWidth="1"/>
    <col min="7" max="16384" width="9.125" style="44" customWidth="1"/>
  </cols>
  <sheetData>
    <row r="1" spans="5:6" ht="12.75">
      <c r="E1" s="1493" t="s">
        <v>257</v>
      </c>
      <c r="F1" s="1493"/>
    </row>
    <row r="2" ht="26.25" customHeight="1"/>
    <row r="3" spans="1:6" ht="12.75">
      <c r="A3" s="1400" t="s">
        <v>167</v>
      </c>
      <c r="B3" s="1400"/>
      <c r="C3" s="1400"/>
      <c r="D3" s="1400"/>
      <c r="E3" s="1400"/>
      <c r="F3" s="1400"/>
    </row>
    <row r="4" spans="1:6" ht="21" customHeight="1">
      <c r="A4" s="14"/>
      <c r="B4" s="14"/>
      <c r="C4" s="14"/>
      <c r="D4" s="14"/>
      <c r="E4" s="14"/>
      <c r="F4" s="14"/>
    </row>
    <row r="5" spans="1:6" s="306" customFormat="1" ht="15" customHeight="1" thickBot="1">
      <c r="A5" s="1605" t="s">
        <v>339</v>
      </c>
      <c r="B5" s="1605"/>
      <c r="C5" s="1605"/>
      <c r="F5" s="19" t="s">
        <v>833</v>
      </c>
    </row>
    <row r="6" spans="1:6" s="14" customFormat="1" ht="21.75" customHeight="1">
      <c r="A6" s="569" t="s">
        <v>1106</v>
      </c>
      <c r="B6" s="570" t="s">
        <v>1024</v>
      </c>
      <c r="C6" s="570" t="s">
        <v>835</v>
      </c>
      <c r="D6" s="571" t="s">
        <v>836</v>
      </c>
      <c r="E6" s="571" t="s">
        <v>837</v>
      </c>
      <c r="F6" s="572" t="s">
        <v>61</v>
      </c>
    </row>
    <row r="7" spans="1:6" s="458" customFormat="1" ht="9.75" customHeight="1" thickBot="1">
      <c r="A7" s="573">
        <v>1</v>
      </c>
      <c r="B7" s="574">
        <v>2</v>
      </c>
      <c r="C7" s="574">
        <v>3</v>
      </c>
      <c r="D7" s="575">
        <v>4</v>
      </c>
      <c r="E7" s="575">
        <v>5</v>
      </c>
      <c r="F7" s="576">
        <v>6</v>
      </c>
    </row>
    <row r="8" spans="1:6" s="306" customFormat="1" ht="27" customHeight="1">
      <c r="A8" s="488" t="s">
        <v>62</v>
      </c>
      <c r="B8" s="489"/>
      <c r="C8" s="490" t="s">
        <v>480</v>
      </c>
      <c r="D8" s="1023">
        <v>1224397</v>
      </c>
      <c r="E8" s="1023">
        <v>1224397.29</v>
      </c>
      <c r="F8" s="1024" t="s">
        <v>1114</v>
      </c>
    </row>
    <row r="9" spans="1:6" s="306" customFormat="1" ht="24" customHeight="1">
      <c r="A9" s="491" t="s">
        <v>67</v>
      </c>
      <c r="B9" s="492"/>
      <c r="C9" s="492" t="s">
        <v>1097</v>
      </c>
      <c r="D9" s="1025">
        <f>SUM(D10,D11,D12)</f>
        <v>2776070</v>
      </c>
      <c r="E9" s="1025">
        <f>SUM(E10,E11,E12)</f>
        <v>2925559.6</v>
      </c>
      <c r="F9" s="1026">
        <f aca="true" t="shared" si="0" ref="F9:F14">E9/D9*100</f>
        <v>105.3849362588119</v>
      </c>
    </row>
    <row r="10" spans="1:6" ht="18" customHeight="1">
      <c r="A10" s="459" t="s">
        <v>1109</v>
      </c>
      <c r="B10" s="460" t="s">
        <v>1358</v>
      </c>
      <c r="C10" s="461" t="s">
        <v>1028</v>
      </c>
      <c r="D10" s="1027">
        <v>2550000</v>
      </c>
      <c r="E10" s="1027">
        <v>2666371.03</v>
      </c>
      <c r="F10" s="1028">
        <f t="shared" si="0"/>
        <v>104.56356980392157</v>
      </c>
    </row>
    <row r="11" spans="1:6" ht="18" customHeight="1">
      <c r="A11" s="459" t="s">
        <v>1110</v>
      </c>
      <c r="B11" s="460" t="s">
        <v>1355</v>
      </c>
      <c r="C11" s="461" t="s">
        <v>1032</v>
      </c>
      <c r="D11" s="1027">
        <v>95000</v>
      </c>
      <c r="E11" s="1027">
        <v>128118.41</v>
      </c>
      <c r="F11" s="1028">
        <f t="shared" si="0"/>
        <v>134.86148421052633</v>
      </c>
    </row>
    <row r="12" spans="1:6" ht="20.25" customHeight="1" thickBot="1">
      <c r="A12" s="459" t="s">
        <v>1192</v>
      </c>
      <c r="B12" s="460" t="s">
        <v>168</v>
      </c>
      <c r="C12" s="461" t="s">
        <v>169</v>
      </c>
      <c r="D12" s="1027">
        <v>131070</v>
      </c>
      <c r="E12" s="1027">
        <v>131070.16</v>
      </c>
      <c r="F12" s="1028">
        <f t="shared" si="0"/>
        <v>100.00012207217517</v>
      </c>
    </row>
    <row r="13" spans="1:6" s="306" customFormat="1" ht="23.25" customHeight="1" thickBot="1">
      <c r="A13" s="1603" t="s">
        <v>72</v>
      </c>
      <c r="B13" s="1604"/>
      <c r="C13" s="1604"/>
      <c r="D13" s="1029">
        <f>D9+D8</f>
        <v>4000467</v>
      </c>
      <c r="E13" s="1029">
        <f>E9+E8</f>
        <v>4149956.89</v>
      </c>
      <c r="F13" s="1030">
        <f t="shared" si="0"/>
        <v>103.7368109773184</v>
      </c>
    </row>
    <row r="14" spans="1:6" s="306" customFormat="1" ht="22.5" customHeight="1">
      <c r="A14" s="491" t="s">
        <v>73</v>
      </c>
      <c r="B14" s="492"/>
      <c r="C14" s="492" t="s">
        <v>74</v>
      </c>
      <c r="D14" s="1025">
        <f>SUM(D15,D16,D17,D18,D19,D20,D21)</f>
        <v>3238000</v>
      </c>
      <c r="E14" s="1025">
        <f>SUM(E15,E16,E17,E18,E19,E20,E21)</f>
        <v>2505471.06</v>
      </c>
      <c r="F14" s="1026">
        <f t="shared" si="0"/>
        <v>77.37711735639283</v>
      </c>
    </row>
    <row r="15" spans="1:6" ht="37.5" customHeight="1">
      <c r="A15" s="459" t="s">
        <v>1109</v>
      </c>
      <c r="B15" s="462">
        <v>2440</v>
      </c>
      <c r="C15" s="463" t="s">
        <v>174</v>
      </c>
      <c r="D15" s="1027">
        <v>20000</v>
      </c>
      <c r="E15" s="1027">
        <v>10400</v>
      </c>
      <c r="F15" s="1028">
        <f aca="true" t="shared" si="1" ref="F15:F21">E15/D15*100</f>
        <v>52</v>
      </c>
    </row>
    <row r="16" spans="1:6" ht="45" customHeight="1">
      <c r="A16" s="459" t="s">
        <v>1110</v>
      </c>
      <c r="B16" s="464">
        <v>2450</v>
      </c>
      <c r="C16" s="463" t="s">
        <v>175</v>
      </c>
      <c r="D16" s="1027">
        <v>40000</v>
      </c>
      <c r="E16" s="1027">
        <v>32862.43</v>
      </c>
      <c r="F16" s="1028">
        <f t="shared" si="1"/>
        <v>82.156075</v>
      </c>
    </row>
    <row r="17" spans="1:6" ht="18" customHeight="1">
      <c r="A17" s="459" t="s">
        <v>1192</v>
      </c>
      <c r="B17" s="462">
        <v>4210</v>
      </c>
      <c r="C17" s="461" t="s">
        <v>86</v>
      </c>
      <c r="D17" s="1027">
        <v>34000</v>
      </c>
      <c r="E17" s="1027">
        <v>19766.45</v>
      </c>
      <c r="F17" s="1028">
        <f t="shared" si="1"/>
        <v>58.13661764705883</v>
      </c>
    </row>
    <row r="18" spans="1:6" ht="18" customHeight="1">
      <c r="A18" s="459" t="s">
        <v>1199</v>
      </c>
      <c r="B18" s="462">
        <v>4240</v>
      </c>
      <c r="C18" s="461" t="s">
        <v>147</v>
      </c>
      <c r="D18" s="1027">
        <v>1000</v>
      </c>
      <c r="E18" s="1027">
        <v>0</v>
      </c>
      <c r="F18" s="1028">
        <f t="shared" si="1"/>
        <v>0</v>
      </c>
    </row>
    <row r="19" spans="1:6" ht="18" customHeight="1">
      <c r="A19" s="459" t="s">
        <v>1200</v>
      </c>
      <c r="B19" s="462">
        <v>4300</v>
      </c>
      <c r="C19" s="461" t="s">
        <v>92</v>
      </c>
      <c r="D19" s="1027">
        <v>325000</v>
      </c>
      <c r="E19" s="1027">
        <v>221135.36</v>
      </c>
      <c r="F19" s="1028">
        <f t="shared" si="1"/>
        <v>68.04164923076922</v>
      </c>
    </row>
    <row r="20" spans="1:6" ht="18" customHeight="1">
      <c r="A20" s="459" t="s">
        <v>1201</v>
      </c>
      <c r="B20" s="462">
        <v>4390</v>
      </c>
      <c r="C20" s="461" t="s">
        <v>151</v>
      </c>
      <c r="D20" s="1027">
        <v>120000</v>
      </c>
      <c r="E20" s="1027">
        <v>9772.2</v>
      </c>
      <c r="F20" s="1028">
        <f t="shared" si="1"/>
        <v>8.143500000000001</v>
      </c>
    </row>
    <row r="21" spans="1:6" ht="18" customHeight="1">
      <c r="A21" s="46" t="s">
        <v>1310</v>
      </c>
      <c r="B21" s="48">
        <v>6110</v>
      </c>
      <c r="C21" s="421" t="s">
        <v>176</v>
      </c>
      <c r="D21" s="1034">
        <v>2698000</v>
      </c>
      <c r="E21" s="1034">
        <v>2211534.62</v>
      </c>
      <c r="F21" s="1035">
        <f t="shared" si="1"/>
        <v>81.96940770941438</v>
      </c>
    </row>
    <row r="22" spans="1:6" s="306" customFormat="1" ht="28.5" customHeight="1">
      <c r="A22" s="493" t="s">
        <v>111</v>
      </c>
      <c r="B22" s="494"/>
      <c r="C22" s="495" t="s">
        <v>481</v>
      </c>
      <c r="D22" s="1038">
        <f>SUM(D8+D9-D14)</f>
        <v>762467</v>
      </c>
      <c r="E22" s="1038">
        <f>SUM(E8+E9-E14)</f>
        <v>1644485.83</v>
      </c>
      <c r="F22" s="1039" t="s">
        <v>1114</v>
      </c>
    </row>
    <row r="23" spans="1:6" ht="29.25" customHeight="1" hidden="1">
      <c r="A23" s="52" t="s">
        <v>1109</v>
      </c>
      <c r="B23" s="465"/>
      <c r="C23" s="467" t="s">
        <v>63</v>
      </c>
      <c r="D23" s="1055"/>
      <c r="E23" s="1055">
        <v>66440</v>
      </c>
      <c r="F23" s="1056"/>
    </row>
    <row r="24" spans="1:6" ht="29.25" customHeight="1" hidden="1">
      <c r="A24" s="468" t="s">
        <v>1110</v>
      </c>
      <c r="B24" s="469"/>
      <c r="C24" s="470" t="s">
        <v>64</v>
      </c>
      <c r="D24" s="1032"/>
      <c r="E24" s="1032">
        <v>2057626</v>
      </c>
      <c r="F24" s="1057"/>
    </row>
    <row r="25" spans="1:6" ht="29.25" customHeight="1" hidden="1">
      <c r="A25" s="459" t="s">
        <v>1192</v>
      </c>
      <c r="B25" s="279"/>
      <c r="C25" s="470" t="s">
        <v>65</v>
      </c>
      <c r="D25" s="1032"/>
      <c r="E25" s="1032"/>
      <c r="F25" s="1058"/>
    </row>
    <row r="26" spans="1:6" ht="29.25" customHeight="1" hidden="1">
      <c r="A26" s="471" t="s">
        <v>1192</v>
      </c>
      <c r="B26" s="472"/>
      <c r="C26" s="473" t="s">
        <v>66</v>
      </c>
      <c r="D26" s="1059"/>
      <c r="E26" s="1059">
        <v>97</v>
      </c>
      <c r="F26" s="1060"/>
    </row>
    <row r="27" spans="1:6" ht="25.5" customHeight="1" thickBot="1">
      <c r="A27" s="1606" t="s">
        <v>112</v>
      </c>
      <c r="B27" s="1607"/>
      <c r="C27" s="1607"/>
      <c r="D27" s="1053">
        <f>D22+D14</f>
        <v>4000467</v>
      </c>
      <c r="E27" s="1053">
        <f>E22+E14</f>
        <v>4149956.89</v>
      </c>
      <c r="F27" s="1054">
        <f>E27/D27*100</f>
        <v>103.7368109773184</v>
      </c>
    </row>
    <row r="28" spans="3:5" ht="12.75">
      <c r="C28" s="44" t="s">
        <v>957</v>
      </c>
      <c r="D28" s="307">
        <f>D13-D27</f>
        <v>0</v>
      </c>
      <c r="E28" s="307">
        <f>E13-E27</f>
        <v>0</v>
      </c>
    </row>
  </sheetData>
  <sheetProtection/>
  <mergeCells count="5">
    <mergeCell ref="A13:C13"/>
    <mergeCell ref="A27:C27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3">
    <tabColor indexed="42"/>
  </sheetPr>
  <dimension ref="A1:F21"/>
  <sheetViews>
    <sheetView view="pageBreakPreview" zoomScaleSheetLayoutView="100" workbookViewId="0" topLeftCell="A5">
      <selection activeCell="F5" sqref="F5"/>
    </sheetView>
  </sheetViews>
  <sheetFormatPr defaultColWidth="9.00390625" defaultRowHeight="12.75"/>
  <cols>
    <col min="1" max="1" width="3.625" style="474" customWidth="1"/>
    <col min="2" max="2" width="4.375" style="474" customWidth="1"/>
    <col min="3" max="3" width="51.875" style="474" customWidth="1"/>
    <col min="4" max="5" width="10.75390625" style="474" customWidth="1"/>
    <col min="6" max="6" width="5.25390625" style="474" customWidth="1"/>
    <col min="7" max="16384" width="9.125" style="474" customWidth="1"/>
  </cols>
  <sheetData>
    <row r="1" spans="5:6" ht="12.75">
      <c r="E1" s="1493" t="s">
        <v>256</v>
      </c>
      <c r="F1" s="1493"/>
    </row>
    <row r="2" ht="33.75" customHeight="1"/>
    <row r="3" spans="1:6" ht="12.75">
      <c r="A3" s="1400" t="s">
        <v>269</v>
      </c>
      <c r="B3" s="1400"/>
      <c r="C3" s="1400"/>
      <c r="D3" s="1400"/>
      <c r="E3" s="1400"/>
      <c r="F3" s="1400"/>
    </row>
    <row r="4" spans="1:6" ht="12.75">
      <c r="A4" s="14"/>
      <c r="B4" s="14"/>
      <c r="C4" s="14"/>
      <c r="D4" s="14"/>
      <c r="E4" s="14"/>
      <c r="F4" s="14"/>
    </row>
    <row r="5" spans="1:6" ht="27" customHeight="1" thickBot="1">
      <c r="A5" s="1605" t="s">
        <v>339</v>
      </c>
      <c r="B5" s="1605"/>
      <c r="C5" s="1605"/>
      <c r="F5" s="475" t="s">
        <v>833</v>
      </c>
    </row>
    <row r="6" spans="1:6" s="457" customFormat="1" ht="18.75" customHeight="1">
      <c r="A6" s="577" t="s">
        <v>1106</v>
      </c>
      <c r="B6" s="578" t="s">
        <v>1024</v>
      </c>
      <c r="C6" s="578" t="s">
        <v>835</v>
      </c>
      <c r="D6" s="579" t="s">
        <v>836</v>
      </c>
      <c r="E6" s="579" t="s">
        <v>837</v>
      </c>
      <c r="F6" s="580" t="s">
        <v>61</v>
      </c>
    </row>
    <row r="7" spans="1:6" s="476" customFormat="1" ht="9.75" customHeight="1" thickBot="1">
      <c r="A7" s="581">
        <v>1</v>
      </c>
      <c r="B7" s="582">
        <v>2</v>
      </c>
      <c r="C7" s="582">
        <v>3</v>
      </c>
      <c r="D7" s="583">
        <v>4</v>
      </c>
      <c r="E7" s="583">
        <v>5</v>
      </c>
      <c r="F7" s="584">
        <v>6</v>
      </c>
    </row>
    <row r="8" spans="1:6" s="477" customFormat="1" ht="29.25" customHeight="1">
      <c r="A8" s="496" t="s">
        <v>62</v>
      </c>
      <c r="B8" s="497"/>
      <c r="C8" s="498" t="s">
        <v>480</v>
      </c>
      <c r="D8" s="1061">
        <v>65129</v>
      </c>
      <c r="E8" s="1061">
        <v>65129.34</v>
      </c>
      <c r="F8" s="1062" t="s">
        <v>1114</v>
      </c>
    </row>
    <row r="9" spans="1:6" s="477" customFormat="1" ht="22.5" customHeight="1">
      <c r="A9" s="499" t="s">
        <v>67</v>
      </c>
      <c r="B9" s="500"/>
      <c r="C9" s="500" t="s">
        <v>1097</v>
      </c>
      <c r="D9" s="1063">
        <f>SUM(D10,D11)</f>
        <v>187300</v>
      </c>
      <c r="E9" s="1063">
        <f>SUM(E10,E11)</f>
        <v>187148.03999999998</v>
      </c>
      <c r="F9" s="1064">
        <f aca="true" t="shared" si="0" ref="F9:F17">E9/D9*100</f>
        <v>99.91886812600106</v>
      </c>
    </row>
    <row r="10" spans="1:6" ht="21" customHeight="1">
      <c r="A10" s="478" t="s">
        <v>1109</v>
      </c>
      <c r="B10" s="479" t="s">
        <v>1358</v>
      </c>
      <c r="C10" s="480" t="s">
        <v>1028</v>
      </c>
      <c r="D10" s="1065">
        <v>185000</v>
      </c>
      <c r="E10" s="1065">
        <v>184304.68</v>
      </c>
      <c r="F10" s="1066">
        <f t="shared" si="0"/>
        <v>99.62415135135134</v>
      </c>
    </row>
    <row r="11" spans="1:6" ht="21" customHeight="1" thickBot="1">
      <c r="A11" s="478" t="s">
        <v>1110</v>
      </c>
      <c r="B11" s="460" t="s">
        <v>1355</v>
      </c>
      <c r="C11" s="461" t="s">
        <v>1032</v>
      </c>
      <c r="D11" s="1027">
        <v>2300</v>
      </c>
      <c r="E11" s="1027">
        <v>2843.36</v>
      </c>
      <c r="F11" s="1052" t="s">
        <v>1081</v>
      </c>
    </row>
    <row r="12" spans="1:6" s="477" customFormat="1" ht="22.5" customHeight="1" thickBot="1">
      <c r="A12" s="1609" t="s">
        <v>72</v>
      </c>
      <c r="B12" s="1610"/>
      <c r="C12" s="1610"/>
      <c r="D12" s="1067">
        <f>D9+D8</f>
        <v>252429</v>
      </c>
      <c r="E12" s="1067">
        <f>E9+E8</f>
        <v>252277.37999999998</v>
      </c>
      <c r="F12" s="1068">
        <f t="shared" si="0"/>
        <v>99.93993558584789</v>
      </c>
    </row>
    <row r="13" spans="1:6" s="477" customFormat="1" ht="24.75" customHeight="1">
      <c r="A13" s="499" t="s">
        <v>73</v>
      </c>
      <c r="B13" s="500"/>
      <c r="C13" s="500" t="s">
        <v>74</v>
      </c>
      <c r="D13" s="1063">
        <f>SUM(D14,D15,D16,D17)</f>
        <v>251829</v>
      </c>
      <c r="E13" s="1063">
        <f>SUM(E14,E15,E16,E17)</f>
        <v>217563.07</v>
      </c>
      <c r="F13" s="1064">
        <f t="shared" si="0"/>
        <v>86.39317552783834</v>
      </c>
    </row>
    <row r="14" spans="1:6" ht="33" customHeight="1">
      <c r="A14" s="478" t="s">
        <v>1109</v>
      </c>
      <c r="B14" s="481">
        <v>2440</v>
      </c>
      <c r="C14" s="482" t="s">
        <v>174</v>
      </c>
      <c r="D14" s="1065">
        <v>52700</v>
      </c>
      <c r="E14" s="1065">
        <v>52700</v>
      </c>
      <c r="F14" s="1066">
        <f t="shared" si="0"/>
        <v>100</v>
      </c>
    </row>
    <row r="15" spans="1:6" ht="40.5" customHeight="1">
      <c r="A15" s="478" t="s">
        <v>1110</v>
      </c>
      <c r="B15" s="481">
        <v>2450</v>
      </c>
      <c r="C15" s="482" t="s">
        <v>175</v>
      </c>
      <c r="D15" s="1065">
        <v>47000</v>
      </c>
      <c r="E15" s="1065">
        <v>42847.66</v>
      </c>
      <c r="F15" s="1066">
        <f t="shared" si="0"/>
        <v>91.1652340425532</v>
      </c>
    </row>
    <row r="16" spans="1:6" ht="24" customHeight="1">
      <c r="A16" s="478" t="s">
        <v>1192</v>
      </c>
      <c r="B16" s="481">
        <v>4210</v>
      </c>
      <c r="C16" s="461" t="s">
        <v>86</v>
      </c>
      <c r="D16" s="1065">
        <v>40000</v>
      </c>
      <c r="E16" s="1065">
        <v>30227</v>
      </c>
      <c r="F16" s="1066">
        <f t="shared" si="0"/>
        <v>75.5675</v>
      </c>
    </row>
    <row r="17" spans="1:6" ht="23.25" customHeight="1">
      <c r="A17" s="483" t="s">
        <v>1199</v>
      </c>
      <c r="B17" s="484">
        <v>4300</v>
      </c>
      <c r="C17" s="485" t="s">
        <v>92</v>
      </c>
      <c r="D17" s="1069">
        <v>112129</v>
      </c>
      <c r="E17" s="1069">
        <v>91788.41</v>
      </c>
      <c r="F17" s="1070">
        <f t="shared" si="0"/>
        <v>81.85965272141908</v>
      </c>
    </row>
    <row r="18" spans="1:6" s="477" customFormat="1" ht="28.5" customHeight="1">
      <c r="A18" s="501" t="s">
        <v>111</v>
      </c>
      <c r="B18" s="502"/>
      <c r="C18" s="503" t="s">
        <v>481</v>
      </c>
      <c r="D18" s="1071">
        <f>SUM(D8+D9-D13)</f>
        <v>600</v>
      </c>
      <c r="E18" s="1071">
        <f>SUM(E8+E9-E13)</f>
        <v>34714.30999999997</v>
      </c>
      <c r="F18" s="1072" t="s">
        <v>1114</v>
      </c>
    </row>
    <row r="19" spans="1:6" ht="22.5" customHeight="1" thickBot="1">
      <c r="A19" s="1611" t="s">
        <v>112</v>
      </c>
      <c r="B19" s="1612"/>
      <c r="C19" s="1612"/>
      <c r="D19" s="1073">
        <f>D18+D13</f>
        <v>252429</v>
      </c>
      <c r="E19" s="1073">
        <f>E18+E13</f>
        <v>252277.37999999998</v>
      </c>
      <c r="F19" s="1074">
        <f>E19/D19*100</f>
        <v>99.93993558584789</v>
      </c>
    </row>
    <row r="21" spans="3:5" ht="12.75">
      <c r="C21" s="475" t="s">
        <v>957</v>
      </c>
      <c r="D21" s="486">
        <f>D12-D19</f>
        <v>0</v>
      </c>
      <c r="E21" s="486">
        <f>E12-E19</f>
        <v>0</v>
      </c>
    </row>
  </sheetData>
  <sheetProtection/>
  <mergeCells count="5">
    <mergeCell ref="A12:C12"/>
    <mergeCell ref="A19:C19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E33"/>
  <sheetViews>
    <sheetView tabSelected="1" view="pageBreakPreview" zoomScaleSheetLayoutView="100" workbookViewId="0" topLeftCell="A5">
      <selection activeCell="E25" sqref="E25"/>
    </sheetView>
  </sheetViews>
  <sheetFormatPr defaultColWidth="9.00390625" defaultRowHeight="15.75" customHeight="1"/>
  <cols>
    <col min="1" max="1" width="4.875" style="43" customWidth="1"/>
    <col min="2" max="2" width="53.75390625" style="44" customWidth="1"/>
    <col min="3" max="3" width="11.75390625" style="44" customWidth="1"/>
    <col min="4" max="4" width="11.125" style="44" customWidth="1"/>
    <col min="5" max="5" width="5.375" style="44" customWidth="1"/>
    <col min="6" max="16384" width="9.125" style="44" customWidth="1"/>
  </cols>
  <sheetData>
    <row r="1" spans="4:5" ht="15.75" customHeight="1">
      <c r="D1" s="1493" t="s">
        <v>255</v>
      </c>
      <c r="E1" s="1493"/>
    </row>
    <row r="3" spans="1:5" ht="15.75" customHeight="1">
      <c r="A3" s="1400" t="s">
        <v>956</v>
      </c>
      <c r="B3" s="1400"/>
      <c r="C3" s="1400"/>
      <c r="D3" s="1400"/>
      <c r="E3" s="1400"/>
    </row>
    <row r="4" ht="17.25" customHeight="1"/>
    <row r="5" spans="1:5" ht="12.75" customHeight="1" thickBot="1">
      <c r="A5" s="1605" t="s">
        <v>340</v>
      </c>
      <c r="B5" s="1605"/>
      <c r="E5" s="45" t="s">
        <v>833</v>
      </c>
    </row>
    <row r="6" spans="1:5" s="14" customFormat="1" ht="15.75" customHeight="1">
      <c r="A6" s="442" t="s">
        <v>1106</v>
      </c>
      <c r="B6" s="443" t="s">
        <v>835</v>
      </c>
      <c r="C6" s="443" t="s">
        <v>836</v>
      </c>
      <c r="D6" s="443" t="s">
        <v>837</v>
      </c>
      <c r="E6" s="585" t="s">
        <v>838</v>
      </c>
    </row>
    <row r="7" spans="1:5" s="306" customFormat="1" ht="10.5" customHeight="1" thickBot="1">
      <c r="A7" s="586">
        <v>1</v>
      </c>
      <c r="B7" s="587">
        <v>2</v>
      </c>
      <c r="C7" s="587">
        <v>3</v>
      </c>
      <c r="D7" s="587">
        <v>4</v>
      </c>
      <c r="E7" s="588">
        <v>5</v>
      </c>
    </row>
    <row r="8" spans="1:5" s="306" customFormat="1" ht="19.5" customHeight="1" thickBot="1">
      <c r="A8" s="687" t="s">
        <v>62</v>
      </c>
      <c r="B8" s="688" t="s">
        <v>1120</v>
      </c>
      <c r="C8" s="1081">
        <v>89538</v>
      </c>
      <c r="D8" s="1081">
        <v>89538</v>
      </c>
      <c r="E8" s="1082">
        <f>D8/C8*100</f>
        <v>100</v>
      </c>
    </row>
    <row r="9" spans="1:5" ht="19.5" customHeight="1">
      <c r="A9" s="410" t="s">
        <v>67</v>
      </c>
      <c r="B9" s="516" t="s">
        <v>1097</v>
      </c>
      <c r="C9" s="1078">
        <f>SUM(C10:C11)</f>
        <v>2217742</v>
      </c>
      <c r="D9" s="1078">
        <f>SUM(D10:D11)</f>
        <v>1733884.8</v>
      </c>
      <c r="E9" s="1042">
        <f>D9/C9*100</f>
        <v>78.18243961651085</v>
      </c>
    </row>
    <row r="10" spans="1:5" ht="19.5" customHeight="1">
      <c r="A10" s="468" t="s">
        <v>1109</v>
      </c>
      <c r="B10" s="470" t="s">
        <v>1115</v>
      </c>
      <c r="C10" s="1075">
        <v>1890742</v>
      </c>
      <c r="D10" s="1075">
        <v>1313980.8</v>
      </c>
      <c r="E10" s="1028">
        <f>D10/C10*100</f>
        <v>69.49551022825959</v>
      </c>
    </row>
    <row r="11" spans="1:5" ht="19.5" customHeight="1" thickBot="1">
      <c r="A11" s="681" t="s">
        <v>1110</v>
      </c>
      <c r="B11" s="512" t="s">
        <v>636</v>
      </c>
      <c r="C11" s="1076">
        <v>327000</v>
      </c>
      <c r="D11" s="1076">
        <v>419904</v>
      </c>
      <c r="E11" s="1077">
        <f>D11/C11*100</f>
        <v>128.4110091743119</v>
      </c>
    </row>
    <row r="12" spans="1:5" s="306" customFormat="1" ht="19.5" customHeight="1" thickBot="1">
      <c r="A12" s="1588" t="s">
        <v>72</v>
      </c>
      <c r="B12" s="1589"/>
      <c r="C12" s="1079">
        <f>SUM(C8,C9)</f>
        <v>2307280</v>
      </c>
      <c r="D12" s="1048">
        <f>SUM(D8,D9)</f>
        <v>1823422.8</v>
      </c>
      <c r="E12" s="1080">
        <f aca="true" t="shared" si="0" ref="E12:E23">D12/C12*100</f>
        <v>79.02910786727229</v>
      </c>
    </row>
    <row r="13" spans="1:5" s="306" customFormat="1" ht="19.5" customHeight="1">
      <c r="A13" s="410" t="s">
        <v>73</v>
      </c>
      <c r="B13" s="516" t="s">
        <v>476</v>
      </c>
      <c r="C13" s="1078">
        <f>SUM(C14,C15,C16,C17,C18,C19,C20,C21,C22,C23)</f>
        <v>2214742</v>
      </c>
      <c r="D13" s="1078">
        <f>SUM(D14,D15,D16,D17,D18,D19,D20,D21,D22,D23)</f>
        <v>1801385.8</v>
      </c>
      <c r="E13" s="1042">
        <f t="shared" si="0"/>
        <v>81.33614660308062</v>
      </c>
    </row>
    <row r="14" spans="1:5" ht="19.5" customHeight="1">
      <c r="A14" s="468" t="s">
        <v>1109</v>
      </c>
      <c r="B14" s="469" t="s">
        <v>76</v>
      </c>
      <c r="C14" s="1075">
        <v>880600</v>
      </c>
      <c r="D14" s="1075">
        <v>906811</v>
      </c>
      <c r="E14" s="1028">
        <f t="shared" si="0"/>
        <v>102.97649330002272</v>
      </c>
    </row>
    <row r="15" spans="1:5" ht="19.5" customHeight="1">
      <c r="A15" s="468" t="s">
        <v>1110</v>
      </c>
      <c r="B15" s="469" t="s">
        <v>560</v>
      </c>
      <c r="C15" s="1075">
        <v>179027</v>
      </c>
      <c r="D15" s="1075">
        <v>152628</v>
      </c>
      <c r="E15" s="1028">
        <f t="shared" si="0"/>
        <v>85.25417953716479</v>
      </c>
    </row>
    <row r="16" spans="1:5" ht="19.5" customHeight="1">
      <c r="A16" s="468" t="s">
        <v>1192</v>
      </c>
      <c r="B16" s="469" t="s">
        <v>100</v>
      </c>
      <c r="C16" s="1075">
        <v>18000</v>
      </c>
      <c r="D16" s="1075">
        <v>18000</v>
      </c>
      <c r="E16" s="1028">
        <f t="shared" si="0"/>
        <v>100</v>
      </c>
    </row>
    <row r="17" spans="1:5" ht="19.5" customHeight="1">
      <c r="A17" s="468" t="s">
        <v>1199</v>
      </c>
      <c r="B17" s="469" t="s">
        <v>86</v>
      </c>
      <c r="C17" s="1075">
        <v>108492</v>
      </c>
      <c r="D17" s="1075">
        <v>113621</v>
      </c>
      <c r="E17" s="1028">
        <f t="shared" si="0"/>
        <v>104.72753751428677</v>
      </c>
    </row>
    <row r="18" spans="1:5" ht="19.5" customHeight="1">
      <c r="A18" s="468" t="s">
        <v>1200</v>
      </c>
      <c r="B18" s="469" t="s">
        <v>87</v>
      </c>
      <c r="C18" s="1075">
        <v>190000</v>
      </c>
      <c r="D18" s="1075">
        <v>224228</v>
      </c>
      <c r="E18" s="1028">
        <f t="shared" si="0"/>
        <v>118.01473684210526</v>
      </c>
    </row>
    <row r="19" spans="1:5" ht="19.5" customHeight="1">
      <c r="A19" s="468" t="s">
        <v>1201</v>
      </c>
      <c r="B19" s="469" t="s">
        <v>1117</v>
      </c>
      <c r="C19" s="1075">
        <v>5000</v>
      </c>
      <c r="D19" s="1075">
        <v>5457</v>
      </c>
      <c r="E19" s="1028">
        <f t="shared" si="0"/>
        <v>109.13999999999999</v>
      </c>
    </row>
    <row r="20" spans="1:5" ht="19.5" customHeight="1">
      <c r="A20" s="468" t="s">
        <v>1310</v>
      </c>
      <c r="B20" s="469" t="s">
        <v>637</v>
      </c>
      <c r="C20" s="1075">
        <f>81600+95500</f>
        <v>177100</v>
      </c>
      <c r="D20" s="1075">
        <f>157184+143141</f>
        <v>300325</v>
      </c>
      <c r="E20" s="1028">
        <f t="shared" si="0"/>
        <v>169.5793337097685</v>
      </c>
    </row>
    <row r="21" spans="1:5" ht="19.5" customHeight="1">
      <c r="A21" s="468" t="s">
        <v>1311</v>
      </c>
      <c r="B21" s="469" t="s">
        <v>98</v>
      </c>
      <c r="C21" s="1075">
        <v>7200</v>
      </c>
      <c r="D21" s="1075">
        <v>707</v>
      </c>
      <c r="E21" s="1028">
        <f t="shared" si="0"/>
        <v>9.819444444444445</v>
      </c>
    </row>
    <row r="22" spans="1:5" ht="19.5" customHeight="1">
      <c r="A22" s="468" t="s">
        <v>1202</v>
      </c>
      <c r="B22" s="469" t="s">
        <v>99</v>
      </c>
      <c r="C22" s="1075">
        <v>49323</v>
      </c>
      <c r="D22" s="1075">
        <v>53370</v>
      </c>
      <c r="E22" s="1028">
        <f t="shared" si="0"/>
        <v>108.20509701356364</v>
      </c>
    </row>
    <row r="23" spans="1:5" ht="19.5" customHeight="1" thickBot="1">
      <c r="A23" s="468" t="s">
        <v>1204</v>
      </c>
      <c r="B23" s="469" t="s">
        <v>1118</v>
      </c>
      <c r="C23" s="1075">
        <v>600000</v>
      </c>
      <c r="D23" s="1075">
        <v>26238.8</v>
      </c>
      <c r="E23" s="1028">
        <f t="shared" si="0"/>
        <v>4.373133333333333</v>
      </c>
    </row>
    <row r="24" spans="1:5" s="306" customFormat="1" ht="19.5" customHeight="1" thickBot="1">
      <c r="A24" s="686" t="s">
        <v>111</v>
      </c>
      <c r="B24" s="515" t="s">
        <v>1119</v>
      </c>
      <c r="C24" s="1083">
        <v>92538</v>
      </c>
      <c r="D24" s="1083">
        <v>22037</v>
      </c>
      <c r="E24" s="1084" t="s">
        <v>1114</v>
      </c>
    </row>
    <row r="25" spans="1:5" s="306" customFormat="1" ht="20.25" customHeight="1" thickBot="1">
      <c r="A25" s="1603" t="s">
        <v>112</v>
      </c>
      <c r="B25" s="1613"/>
      <c r="C25" s="1085">
        <f>SUM(C13,C24)</f>
        <v>2307280</v>
      </c>
      <c r="D25" s="1085">
        <f>SUM(D13,D24)</f>
        <v>1823422.8</v>
      </c>
      <c r="E25" s="1086">
        <f>D25/C25*100</f>
        <v>79.02910786727229</v>
      </c>
    </row>
    <row r="26" spans="2:4" ht="15.75" customHeight="1">
      <c r="B26" s="45" t="s">
        <v>957</v>
      </c>
      <c r="C26" s="513">
        <f>C12-C25</f>
        <v>0</v>
      </c>
      <c r="D26" s="513">
        <f>D12-D25</f>
        <v>0</v>
      </c>
    </row>
    <row r="27" spans="3:4" ht="15.75" customHeight="1">
      <c r="C27" s="45"/>
      <c r="D27" s="45"/>
    </row>
    <row r="28" spans="3:4" ht="15.75" customHeight="1">
      <c r="C28" s="45"/>
      <c r="D28" s="45"/>
    </row>
    <row r="29" spans="3:4" ht="15.75" customHeight="1">
      <c r="C29" s="45"/>
      <c r="D29" s="45"/>
    </row>
    <row r="30" spans="3:4" ht="15.75" customHeight="1">
      <c r="C30" s="45"/>
      <c r="D30" s="45"/>
    </row>
    <row r="31" spans="3:4" ht="15.75" customHeight="1">
      <c r="C31" s="45"/>
      <c r="D31" s="45"/>
    </row>
    <row r="32" spans="3:4" ht="15.75" customHeight="1">
      <c r="C32" s="45"/>
      <c r="D32" s="45"/>
    </row>
    <row r="33" spans="3:4" ht="15.75" customHeight="1">
      <c r="C33" s="45"/>
      <c r="D33" s="45"/>
    </row>
  </sheetData>
  <sheetProtection/>
  <mergeCells count="5">
    <mergeCell ref="A3:E3"/>
    <mergeCell ref="A12:B12"/>
    <mergeCell ref="A25:B25"/>
    <mergeCell ref="D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E35"/>
  <sheetViews>
    <sheetView view="pageBreakPreview" zoomScaleSheetLayoutView="100" workbookViewId="0" topLeftCell="A9">
      <selection activeCell="E32" sqref="E32"/>
    </sheetView>
  </sheetViews>
  <sheetFormatPr defaultColWidth="9.00390625" defaultRowHeight="12.75"/>
  <cols>
    <col min="1" max="1" width="4.875" style="2" customWidth="1"/>
    <col min="2" max="2" width="51.625" style="3" customWidth="1"/>
    <col min="3" max="3" width="12.625" style="11" customWidth="1"/>
    <col min="4" max="4" width="11.625" style="11" customWidth="1"/>
    <col min="5" max="5" width="6.375" style="12" customWidth="1"/>
    <col min="6" max="16384" width="9.125" style="3" customWidth="1"/>
  </cols>
  <sheetData>
    <row r="1" spans="1:5" s="44" customFormat="1" ht="12.75">
      <c r="A1" s="43"/>
      <c r="C1" s="675"/>
      <c r="D1" s="1493" t="s">
        <v>254</v>
      </c>
      <c r="E1" s="1493"/>
    </row>
    <row r="2" spans="1:5" s="44" customFormat="1" ht="12.75">
      <c r="A2" s="43"/>
      <c r="C2" s="675"/>
      <c r="D2" s="675"/>
      <c r="E2" s="676"/>
    </row>
    <row r="3" spans="1:5" s="44" customFormat="1" ht="12.75">
      <c r="A3" s="1400" t="s">
        <v>1184</v>
      </c>
      <c r="B3" s="1400"/>
      <c r="C3" s="1400"/>
      <c r="D3" s="1400"/>
      <c r="E3" s="1400"/>
    </row>
    <row r="4" spans="1:5" s="44" customFormat="1" ht="12.75">
      <c r="A4" s="43"/>
      <c r="C4" s="675"/>
      <c r="D4" s="675"/>
      <c r="E4" s="676"/>
    </row>
    <row r="5" spans="1:5" s="44" customFormat="1" ht="13.5" thickBot="1">
      <c r="A5" s="1605" t="s">
        <v>26</v>
      </c>
      <c r="B5" s="1605"/>
      <c r="C5" s="675"/>
      <c r="D5" s="675"/>
      <c r="E5" s="676" t="s">
        <v>833</v>
      </c>
    </row>
    <row r="6" spans="1:5" s="677" customFormat="1" ht="18" customHeight="1">
      <c r="A6" s="589" t="s">
        <v>1106</v>
      </c>
      <c r="B6" s="590" t="s">
        <v>835</v>
      </c>
      <c r="C6" s="591" t="s">
        <v>836</v>
      </c>
      <c r="D6" s="591" t="s">
        <v>837</v>
      </c>
      <c r="E6" s="585" t="s">
        <v>838</v>
      </c>
    </row>
    <row r="7" spans="1:5" s="677" customFormat="1" ht="10.5" customHeight="1" thickBot="1">
      <c r="A7" s="592">
        <v>1</v>
      </c>
      <c r="B7" s="593">
        <v>2</v>
      </c>
      <c r="C7" s="594">
        <v>3</v>
      </c>
      <c r="D7" s="594">
        <v>4</v>
      </c>
      <c r="E7" s="595">
        <v>5</v>
      </c>
    </row>
    <row r="8" spans="1:5" s="677" customFormat="1" ht="18" customHeight="1">
      <c r="A8" s="410" t="s">
        <v>62</v>
      </c>
      <c r="B8" s="683" t="s">
        <v>1120</v>
      </c>
      <c r="C8" s="1078">
        <v>14289</v>
      </c>
      <c r="D8" s="1078">
        <v>129319</v>
      </c>
      <c r="E8" s="1024" t="s">
        <v>1114</v>
      </c>
    </row>
    <row r="9" spans="1:5" s="422" customFormat="1" ht="18" customHeight="1">
      <c r="A9" s="619" t="s">
        <v>67</v>
      </c>
      <c r="B9" s="684" t="s">
        <v>1097</v>
      </c>
      <c r="C9" s="1089">
        <f>SUM(C10,C14)</f>
        <v>1138459</v>
      </c>
      <c r="D9" s="1089">
        <f>SUM(D10,D14)</f>
        <v>1131586</v>
      </c>
      <c r="E9" s="1090">
        <f aca="true" t="shared" si="0" ref="E9:E28">D9/C9*100</f>
        <v>99.3962891944286</v>
      </c>
    </row>
    <row r="10" spans="1:5" s="279" customFormat="1" ht="18" customHeight="1">
      <c r="A10" s="468" t="s">
        <v>1109</v>
      </c>
      <c r="B10" s="470" t="s">
        <v>479</v>
      </c>
      <c r="C10" s="1075">
        <f>SUM(C11,C12,C13)</f>
        <v>63459</v>
      </c>
      <c r="D10" s="1075">
        <f>SUM(D11,D12,D13)</f>
        <v>56586</v>
      </c>
      <c r="E10" s="1052">
        <f t="shared" si="0"/>
        <v>89.16938495721647</v>
      </c>
    </row>
    <row r="11" spans="1:5" s="680" customFormat="1" ht="18" customHeight="1">
      <c r="A11" s="678" t="s">
        <v>930</v>
      </c>
      <c r="B11" s="679" t="s">
        <v>522</v>
      </c>
      <c r="C11" s="1087">
        <v>20000</v>
      </c>
      <c r="D11" s="1087">
        <v>21780</v>
      </c>
      <c r="E11" s="1052">
        <f t="shared" si="0"/>
        <v>108.89999999999999</v>
      </c>
    </row>
    <row r="12" spans="1:5" s="680" customFormat="1" ht="18" customHeight="1">
      <c r="A12" s="678" t="s">
        <v>932</v>
      </c>
      <c r="B12" s="679" t="s">
        <v>661</v>
      </c>
      <c r="C12" s="1087">
        <v>23459</v>
      </c>
      <c r="D12" s="1087">
        <v>23459</v>
      </c>
      <c r="E12" s="1052">
        <f t="shared" si="0"/>
        <v>100</v>
      </c>
    </row>
    <row r="13" spans="1:5" s="680" customFormat="1" ht="18" customHeight="1">
      <c r="A13" s="678" t="s">
        <v>931</v>
      </c>
      <c r="B13" s="679" t="s">
        <v>559</v>
      </c>
      <c r="C13" s="1087">
        <v>20000</v>
      </c>
      <c r="D13" s="1087">
        <v>11347</v>
      </c>
      <c r="E13" s="1052">
        <f t="shared" si="0"/>
        <v>56.735</v>
      </c>
    </row>
    <row r="14" spans="1:5" s="279" customFormat="1" ht="18" customHeight="1" thickBot="1">
      <c r="A14" s="681" t="s">
        <v>1110</v>
      </c>
      <c r="B14" s="512" t="s">
        <v>950</v>
      </c>
      <c r="C14" s="1076">
        <v>1075000</v>
      </c>
      <c r="D14" s="1076">
        <v>1075000</v>
      </c>
      <c r="E14" s="1052">
        <f t="shared" si="0"/>
        <v>100</v>
      </c>
    </row>
    <row r="15" spans="1:5" s="422" customFormat="1" ht="18" customHeight="1" thickBot="1">
      <c r="A15" s="1614" t="s">
        <v>72</v>
      </c>
      <c r="B15" s="1615"/>
      <c r="C15" s="1085">
        <f>SUM(C8,C9)</f>
        <v>1152748</v>
      </c>
      <c r="D15" s="1085">
        <f>SUM(D8,D9)</f>
        <v>1260905</v>
      </c>
      <c r="E15" s="1091">
        <f t="shared" si="0"/>
        <v>109.38253633925194</v>
      </c>
    </row>
    <row r="16" spans="1:5" s="422" customFormat="1" ht="18" customHeight="1">
      <c r="A16" s="410" t="s">
        <v>73</v>
      </c>
      <c r="B16" s="516" t="s">
        <v>476</v>
      </c>
      <c r="C16" s="1078">
        <f>SUM(C17,C18,C19,C20,C21,C24,C25,C26,C27,C28,C29,C30)</f>
        <v>1138459</v>
      </c>
      <c r="D16" s="1078">
        <f>SUM(D17,D18,D19,D20,D21,D24,D25,D26,D27,D28,D29,D30)</f>
        <v>1207083</v>
      </c>
      <c r="E16" s="833">
        <f t="shared" si="0"/>
        <v>106.02779722414246</v>
      </c>
    </row>
    <row r="17" spans="1:5" s="279" customFormat="1" ht="18" customHeight="1">
      <c r="A17" s="468" t="s">
        <v>1109</v>
      </c>
      <c r="B17" s="470" t="s">
        <v>951</v>
      </c>
      <c r="C17" s="1075">
        <v>123159</v>
      </c>
      <c r="D17" s="1075">
        <v>157666</v>
      </c>
      <c r="E17" s="1052">
        <f t="shared" si="0"/>
        <v>128.01825282764557</v>
      </c>
    </row>
    <row r="18" spans="1:5" s="44" customFormat="1" ht="18" customHeight="1">
      <c r="A18" s="468" t="s">
        <v>1110</v>
      </c>
      <c r="B18" s="469" t="s">
        <v>555</v>
      </c>
      <c r="C18" s="1075">
        <v>50000</v>
      </c>
      <c r="D18" s="1075">
        <v>49012</v>
      </c>
      <c r="E18" s="1052">
        <f t="shared" si="0"/>
        <v>98.024</v>
      </c>
    </row>
    <row r="19" spans="1:5" s="44" customFormat="1" ht="18" customHeight="1">
      <c r="A19" s="468" t="s">
        <v>1192</v>
      </c>
      <c r="B19" s="469" t="s">
        <v>556</v>
      </c>
      <c r="C19" s="1075">
        <v>70000</v>
      </c>
      <c r="D19" s="1075">
        <v>67950</v>
      </c>
      <c r="E19" s="1052">
        <f t="shared" si="0"/>
        <v>97.07142857142857</v>
      </c>
    </row>
    <row r="20" spans="1:5" s="44" customFormat="1" ht="18" customHeight="1">
      <c r="A20" s="468" t="s">
        <v>1199</v>
      </c>
      <c r="B20" s="469" t="s">
        <v>952</v>
      </c>
      <c r="C20" s="1075">
        <v>30000</v>
      </c>
      <c r="D20" s="1075">
        <v>76230</v>
      </c>
      <c r="E20" s="1052">
        <f t="shared" si="0"/>
        <v>254.1</v>
      </c>
    </row>
    <row r="21" spans="1:5" s="44" customFormat="1" ht="18" customHeight="1">
      <c r="A21" s="468" t="s">
        <v>1200</v>
      </c>
      <c r="B21" s="469" t="s">
        <v>953</v>
      </c>
      <c r="C21" s="1075">
        <f>SUM(C22:C23)</f>
        <v>669000</v>
      </c>
      <c r="D21" s="1075">
        <f>SUM(D22:D23)</f>
        <v>668191</v>
      </c>
      <c r="E21" s="1052">
        <f t="shared" si="0"/>
        <v>99.87907324364723</v>
      </c>
    </row>
    <row r="22" spans="1:5" s="58" customFormat="1" ht="18" customHeight="1">
      <c r="A22" s="678" t="s">
        <v>509</v>
      </c>
      <c r="B22" s="679" t="s">
        <v>557</v>
      </c>
      <c r="C22" s="1087">
        <v>658000</v>
      </c>
      <c r="D22" s="1087">
        <v>657991</v>
      </c>
      <c r="E22" s="1088">
        <f t="shared" si="0"/>
        <v>99.99863221884499</v>
      </c>
    </row>
    <row r="23" spans="1:5" s="58" customFormat="1" ht="18" customHeight="1">
      <c r="A23" s="678" t="s">
        <v>511</v>
      </c>
      <c r="B23" s="679" t="s">
        <v>558</v>
      </c>
      <c r="C23" s="1087">
        <v>11000</v>
      </c>
      <c r="D23" s="1087">
        <v>10200</v>
      </c>
      <c r="E23" s="1088">
        <f t="shared" si="0"/>
        <v>92.72727272727272</v>
      </c>
    </row>
    <row r="24" spans="1:5" s="44" customFormat="1" ht="18" customHeight="1">
      <c r="A24" s="468" t="s">
        <v>1201</v>
      </c>
      <c r="B24" s="469" t="s">
        <v>560</v>
      </c>
      <c r="C24" s="1075">
        <v>120000</v>
      </c>
      <c r="D24" s="1075">
        <v>115331</v>
      </c>
      <c r="E24" s="1052">
        <f t="shared" si="0"/>
        <v>96.10916666666667</v>
      </c>
    </row>
    <row r="25" spans="1:5" s="44" customFormat="1" ht="18" customHeight="1">
      <c r="A25" s="468" t="s">
        <v>1310</v>
      </c>
      <c r="B25" s="469" t="s">
        <v>954</v>
      </c>
      <c r="C25" s="1075">
        <v>2000</v>
      </c>
      <c r="D25" s="1075">
        <v>1399</v>
      </c>
      <c r="E25" s="1052">
        <f t="shared" si="0"/>
        <v>69.95</v>
      </c>
    </row>
    <row r="26" spans="1:5" s="44" customFormat="1" ht="18" customHeight="1">
      <c r="A26" s="468" t="s">
        <v>1311</v>
      </c>
      <c r="B26" s="469" t="s">
        <v>955</v>
      </c>
      <c r="C26" s="1075">
        <v>51000</v>
      </c>
      <c r="D26" s="1075">
        <v>48083</v>
      </c>
      <c r="E26" s="1052">
        <f t="shared" si="0"/>
        <v>94.28039215686275</v>
      </c>
    </row>
    <row r="27" spans="1:5" s="44" customFormat="1" ht="18" customHeight="1">
      <c r="A27" s="468" t="s">
        <v>1202</v>
      </c>
      <c r="B27" s="469" t="s">
        <v>99</v>
      </c>
      <c r="C27" s="1075">
        <v>4300</v>
      </c>
      <c r="D27" s="1075">
        <v>4221</v>
      </c>
      <c r="E27" s="1052">
        <f t="shared" si="0"/>
        <v>98.16279069767442</v>
      </c>
    </row>
    <row r="28" spans="1:5" s="44" customFormat="1" ht="18" customHeight="1">
      <c r="A28" s="468" t="s">
        <v>1204</v>
      </c>
      <c r="B28" s="469" t="s">
        <v>100</v>
      </c>
      <c r="C28" s="1075">
        <v>19000</v>
      </c>
      <c r="D28" s="1075">
        <v>19000</v>
      </c>
      <c r="E28" s="1052">
        <f t="shared" si="0"/>
        <v>100</v>
      </c>
    </row>
    <row r="29" spans="1:5" s="44" customFormat="1" ht="18" customHeight="1">
      <c r="A29" s="468"/>
      <c r="B29" s="470"/>
      <c r="C29" s="826"/>
      <c r="D29" s="1075"/>
      <c r="E29" s="1052"/>
    </row>
    <row r="30" spans="1:5" s="44" customFormat="1" ht="2.25" customHeight="1" thickBot="1">
      <c r="A30" s="428"/>
      <c r="B30" s="682"/>
      <c r="C30" s="774"/>
      <c r="D30" s="774"/>
      <c r="E30" s="775"/>
    </row>
    <row r="31" spans="1:5" s="422" customFormat="1" ht="18" customHeight="1" thickBot="1">
      <c r="A31" s="493" t="s">
        <v>111</v>
      </c>
      <c r="B31" s="685" t="s">
        <v>1119</v>
      </c>
      <c r="C31" s="1092">
        <f>C8+C9-C16</f>
        <v>14289</v>
      </c>
      <c r="D31" s="1092">
        <f>D8+D9-D16</f>
        <v>53822</v>
      </c>
      <c r="E31" s="1039" t="s">
        <v>1114</v>
      </c>
    </row>
    <row r="32" spans="1:5" s="306" customFormat="1" ht="18" customHeight="1" thickBot="1">
      <c r="A32" s="1614" t="s">
        <v>112</v>
      </c>
      <c r="B32" s="1615"/>
      <c r="C32" s="1085">
        <f>C16+C31</f>
        <v>1152748</v>
      </c>
      <c r="D32" s="1085">
        <f>D16+D31</f>
        <v>1260905</v>
      </c>
      <c r="E32" s="1091">
        <f>D32/C32*100</f>
        <v>109.38253633925194</v>
      </c>
    </row>
    <row r="33" spans="1:5" s="44" customFormat="1" ht="12.75">
      <c r="A33" s="43"/>
      <c r="B33" s="45" t="s">
        <v>957</v>
      </c>
      <c r="C33" s="675">
        <f>C15-C32</f>
        <v>0</v>
      </c>
      <c r="D33" s="675">
        <f>D15-D32</f>
        <v>0</v>
      </c>
      <c r="E33" s="676"/>
    </row>
    <row r="34" spans="1:5" s="44" customFormat="1" ht="12.75">
      <c r="A34" s="43"/>
      <c r="C34" s="675"/>
      <c r="D34" s="675"/>
      <c r="E34" s="676"/>
    </row>
    <row r="35" spans="1:5" s="44" customFormat="1" ht="12.75">
      <c r="A35" s="43"/>
      <c r="C35" s="675"/>
      <c r="D35" s="675"/>
      <c r="E35" s="676"/>
    </row>
  </sheetData>
  <sheetProtection/>
  <mergeCells count="5">
    <mergeCell ref="A3:E3"/>
    <mergeCell ref="A15:B15"/>
    <mergeCell ref="A32:B32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E42"/>
  <sheetViews>
    <sheetView view="pageBreakPreview" zoomScaleSheetLayoutView="100" workbookViewId="0" topLeftCell="A14">
      <selection activeCell="E34" sqref="E34"/>
    </sheetView>
  </sheetViews>
  <sheetFormatPr defaultColWidth="9.00390625" defaultRowHeight="15.75" customHeight="1"/>
  <cols>
    <col min="1" max="1" width="4.875" style="43" customWidth="1"/>
    <col min="2" max="2" width="54.25390625" style="44" customWidth="1"/>
    <col min="3" max="3" width="11.75390625" style="44" customWidth="1"/>
    <col min="4" max="4" width="10.875" style="44" customWidth="1"/>
    <col min="5" max="5" width="5.375" style="44" customWidth="1"/>
    <col min="6" max="16384" width="9.125" style="44" customWidth="1"/>
  </cols>
  <sheetData>
    <row r="1" spans="4:5" ht="15.75" customHeight="1">
      <c r="D1" s="1493" t="s">
        <v>253</v>
      </c>
      <c r="E1" s="1493"/>
    </row>
    <row r="3" spans="1:5" ht="15.75" customHeight="1">
      <c r="A3" s="1400" t="s">
        <v>477</v>
      </c>
      <c r="B3" s="1400"/>
      <c r="C3" s="1400"/>
      <c r="D3" s="1400"/>
      <c r="E3" s="1400"/>
    </row>
    <row r="4" ht="11.25" customHeight="1"/>
    <row r="5" spans="1:5" ht="15.75" customHeight="1" thickBot="1">
      <c r="A5" s="1605" t="s">
        <v>264</v>
      </c>
      <c r="B5" s="1605"/>
      <c r="E5" s="45" t="s">
        <v>833</v>
      </c>
    </row>
    <row r="6" spans="1:5" s="14" customFormat="1" ht="18" customHeight="1">
      <c r="A6" s="442" t="s">
        <v>1106</v>
      </c>
      <c r="B6" s="443" t="s">
        <v>835</v>
      </c>
      <c r="C6" s="443" t="s">
        <v>836</v>
      </c>
      <c r="D6" s="443" t="s">
        <v>837</v>
      </c>
      <c r="E6" s="585" t="s">
        <v>838</v>
      </c>
    </row>
    <row r="7" spans="1:5" s="306" customFormat="1" ht="10.5" customHeight="1" thickBot="1">
      <c r="A7" s="586">
        <v>1</v>
      </c>
      <c r="B7" s="587">
        <v>2</v>
      </c>
      <c r="C7" s="587">
        <v>3</v>
      </c>
      <c r="D7" s="587">
        <v>4</v>
      </c>
      <c r="E7" s="588">
        <v>5</v>
      </c>
    </row>
    <row r="8" spans="1:5" s="306" customFormat="1" ht="19.5" customHeight="1" thickBot="1">
      <c r="A8" s="514" t="s">
        <v>62</v>
      </c>
      <c r="B8" s="683" t="s">
        <v>1120</v>
      </c>
      <c r="C8" s="1121">
        <v>190126</v>
      </c>
      <c r="D8" s="1121">
        <v>190449.79</v>
      </c>
      <c r="E8" s="1122">
        <f aca="true" t="shared" si="0" ref="E8:E32">D8/C8*100</f>
        <v>100.17030285179302</v>
      </c>
    </row>
    <row r="9" spans="1:5" ht="19.5" customHeight="1">
      <c r="A9" s="410" t="s">
        <v>67</v>
      </c>
      <c r="B9" s="516" t="s">
        <v>1097</v>
      </c>
      <c r="C9" s="1078">
        <f>SUM(C10:C14)</f>
        <v>498000</v>
      </c>
      <c r="D9" s="1078">
        <f>SUM(D10:D14)</f>
        <v>495650.78</v>
      </c>
      <c r="E9" s="1042">
        <f t="shared" si="0"/>
        <v>99.52826907630524</v>
      </c>
    </row>
    <row r="10" spans="1:5" ht="19.5" customHeight="1">
      <c r="A10" s="468" t="s">
        <v>1109</v>
      </c>
      <c r="B10" s="470" t="s">
        <v>478</v>
      </c>
      <c r="C10" s="1075">
        <v>381000</v>
      </c>
      <c r="D10" s="1075">
        <v>381000</v>
      </c>
      <c r="E10" s="1028">
        <f t="shared" si="0"/>
        <v>100</v>
      </c>
    </row>
    <row r="11" spans="1:5" ht="19.5" customHeight="1">
      <c r="A11" s="468" t="s">
        <v>1110</v>
      </c>
      <c r="B11" s="469" t="s">
        <v>479</v>
      </c>
      <c r="C11" s="1075">
        <v>83000</v>
      </c>
      <c r="D11" s="1075">
        <v>75383.83</v>
      </c>
      <c r="E11" s="1028">
        <f t="shared" si="0"/>
        <v>90.82389156626506</v>
      </c>
    </row>
    <row r="12" spans="1:5" ht="19.5" customHeight="1">
      <c r="A12" s="468" t="s">
        <v>1192</v>
      </c>
      <c r="B12" s="470" t="s">
        <v>561</v>
      </c>
      <c r="C12" s="1075">
        <v>9000</v>
      </c>
      <c r="D12" s="1075">
        <v>12181.95</v>
      </c>
      <c r="E12" s="1028">
        <f t="shared" si="0"/>
        <v>135.355</v>
      </c>
    </row>
    <row r="13" spans="1:5" ht="19.5" customHeight="1">
      <c r="A13" s="468" t="s">
        <v>1199</v>
      </c>
      <c r="B13" s="469" t="s">
        <v>831</v>
      </c>
      <c r="C13" s="1075">
        <v>0</v>
      </c>
      <c r="D13" s="1075">
        <v>2085</v>
      </c>
      <c r="E13" s="1052" t="s">
        <v>1081</v>
      </c>
    </row>
    <row r="14" spans="1:5" ht="20.25" customHeight="1" thickBot="1">
      <c r="A14" s="428" t="s">
        <v>1200</v>
      </c>
      <c r="B14" s="512" t="s">
        <v>262</v>
      </c>
      <c r="C14" s="1076">
        <v>25000</v>
      </c>
      <c r="D14" s="1076">
        <v>25000</v>
      </c>
      <c r="E14" s="1077">
        <f t="shared" si="0"/>
        <v>100</v>
      </c>
    </row>
    <row r="15" spans="1:5" s="306" customFormat="1" ht="19.5" customHeight="1" thickBot="1">
      <c r="A15" s="1616" t="s">
        <v>72</v>
      </c>
      <c r="B15" s="1617"/>
      <c r="C15" s="1123">
        <f>SUM(C8,C9)</f>
        <v>688126</v>
      </c>
      <c r="D15" s="1123">
        <f>SUM(D8,D9)</f>
        <v>686100.5700000001</v>
      </c>
      <c r="E15" s="1124">
        <f t="shared" si="0"/>
        <v>99.70566000994005</v>
      </c>
    </row>
    <row r="16" spans="1:5" s="306" customFormat="1" ht="19.5" customHeight="1">
      <c r="A16" s="410" t="s">
        <v>73</v>
      </c>
      <c r="B16" s="516" t="s">
        <v>476</v>
      </c>
      <c r="C16" s="1078">
        <f>SUM(C17:C32)</f>
        <v>498000</v>
      </c>
      <c r="D16" s="1078">
        <f>SUM(D17:D32)</f>
        <v>466687.1599999999</v>
      </c>
      <c r="E16" s="1042">
        <f t="shared" si="0"/>
        <v>93.71228112449798</v>
      </c>
    </row>
    <row r="17" spans="1:5" ht="19.5" customHeight="1">
      <c r="A17" s="468" t="s">
        <v>1109</v>
      </c>
      <c r="B17" s="469" t="s">
        <v>76</v>
      </c>
      <c r="C17" s="1075">
        <v>293393</v>
      </c>
      <c r="D17" s="1075">
        <v>286264.41</v>
      </c>
      <c r="E17" s="1028">
        <f t="shared" si="0"/>
        <v>97.57029308811049</v>
      </c>
    </row>
    <row r="18" spans="1:5" ht="19.5" customHeight="1">
      <c r="A18" s="468" t="s">
        <v>1110</v>
      </c>
      <c r="B18" s="469" t="s">
        <v>85</v>
      </c>
      <c r="C18" s="1075">
        <v>3000</v>
      </c>
      <c r="D18" s="1075">
        <v>3560</v>
      </c>
      <c r="E18" s="1028">
        <f t="shared" si="0"/>
        <v>118.66666666666667</v>
      </c>
    </row>
    <row r="19" spans="1:5" ht="19.5" customHeight="1">
      <c r="A19" s="468" t="s">
        <v>1192</v>
      </c>
      <c r="B19" s="469" t="s">
        <v>1238</v>
      </c>
      <c r="C19" s="1075">
        <v>800</v>
      </c>
      <c r="D19" s="1075">
        <v>894.79</v>
      </c>
      <c r="E19" s="1028">
        <f t="shared" si="0"/>
        <v>111.84874999999998</v>
      </c>
    </row>
    <row r="20" spans="1:5" ht="19.5" customHeight="1">
      <c r="A20" s="468" t="s">
        <v>1199</v>
      </c>
      <c r="B20" s="469" t="s">
        <v>482</v>
      </c>
      <c r="C20" s="1075">
        <v>60676</v>
      </c>
      <c r="D20" s="1075">
        <v>50984.97</v>
      </c>
      <c r="E20" s="1028">
        <f t="shared" si="0"/>
        <v>84.02823192036391</v>
      </c>
    </row>
    <row r="21" spans="1:5" ht="19.5" customHeight="1">
      <c r="A21" s="468" t="s">
        <v>1200</v>
      </c>
      <c r="B21" s="469" t="s">
        <v>86</v>
      </c>
      <c r="C21" s="1075">
        <v>30181</v>
      </c>
      <c r="D21" s="1075">
        <v>24195.33</v>
      </c>
      <c r="E21" s="1028">
        <f t="shared" si="0"/>
        <v>80.16742321327989</v>
      </c>
    </row>
    <row r="22" spans="1:5" ht="19.5" customHeight="1">
      <c r="A22" s="468" t="s">
        <v>1201</v>
      </c>
      <c r="B22" s="469" t="s">
        <v>483</v>
      </c>
      <c r="C22" s="1075">
        <v>13000</v>
      </c>
      <c r="D22" s="1075">
        <v>22358.19</v>
      </c>
      <c r="E22" s="1028">
        <f t="shared" si="0"/>
        <v>171.9860769230769</v>
      </c>
    </row>
    <row r="23" spans="1:5" ht="19.5" customHeight="1">
      <c r="A23" s="468" t="s">
        <v>1310</v>
      </c>
      <c r="B23" s="469" t="s">
        <v>88</v>
      </c>
      <c r="C23" s="1075">
        <v>25000</v>
      </c>
      <c r="D23" s="1075">
        <v>2228.73</v>
      </c>
      <c r="E23" s="1028">
        <f t="shared" si="0"/>
        <v>8.91492</v>
      </c>
    </row>
    <row r="24" spans="1:5" ht="19.5" customHeight="1">
      <c r="A24" s="468" t="s">
        <v>1311</v>
      </c>
      <c r="B24" s="469" t="s">
        <v>87</v>
      </c>
      <c r="C24" s="1075">
        <v>30500</v>
      </c>
      <c r="D24" s="1075">
        <v>23902.71</v>
      </c>
      <c r="E24" s="1028">
        <f t="shared" si="0"/>
        <v>78.36954098360656</v>
      </c>
    </row>
    <row r="25" spans="1:5" ht="19.5" customHeight="1">
      <c r="A25" s="468" t="s">
        <v>1202</v>
      </c>
      <c r="B25" s="469" t="s">
        <v>92</v>
      </c>
      <c r="C25" s="1075">
        <v>20793</v>
      </c>
      <c r="D25" s="1075">
        <v>15800.1</v>
      </c>
      <c r="E25" s="1028">
        <f t="shared" si="0"/>
        <v>75.98759197806955</v>
      </c>
    </row>
    <row r="26" spans="1:5" ht="19.5" customHeight="1">
      <c r="A26" s="468" t="s">
        <v>1204</v>
      </c>
      <c r="B26" s="469" t="s">
        <v>484</v>
      </c>
      <c r="C26" s="1075">
        <v>1800</v>
      </c>
      <c r="D26" s="1075">
        <v>1393.5</v>
      </c>
      <c r="E26" s="1028">
        <f t="shared" si="0"/>
        <v>77.41666666666667</v>
      </c>
    </row>
    <row r="27" spans="1:5" ht="19.5" customHeight="1">
      <c r="A27" s="468" t="s">
        <v>1312</v>
      </c>
      <c r="B27" s="469" t="s">
        <v>485</v>
      </c>
      <c r="C27" s="1075">
        <v>5500</v>
      </c>
      <c r="D27" s="1075">
        <v>2864.43</v>
      </c>
      <c r="E27" s="1028">
        <f t="shared" si="0"/>
        <v>52.080545454545444</v>
      </c>
    </row>
    <row r="28" spans="1:5" ht="19.5" customHeight="1">
      <c r="A28" s="468" t="s">
        <v>1205</v>
      </c>
      <c r="B28" s="469" t="s">
        <v>486</v>
      </c>
      <c r="C28" s="1075">
        <v>1349</v>
      </c>
      <c r="D28" s="1075">
        <v>0</v>
      </c>
      <c r="E28" s="1028">
        <f t="shared" si="0"/>
        <v>0</v>
      </c>
    </row>
    <row r="29" spans="1:5" ht="19.5" customHeight="1">
      <c r="A29" s="468" t="s">
        <v>1206</v>
      </c>
      <c r="B29" s="469" t="s">
        <v>487</v>
      </c>
      <c r="C29" s="1075">
        <v>600</v>
      </c>
      <c r="D29" s="1075">
        <v>539.34</v>
      </c>
      <c r="E29" s="1028">
        <f t="shared" si="0"/>
        <v>89.89</v>
      </c>
    </row>
    <row r="30" spans="1:5" ht="19.5" customHeight="1">
      <c r="A30" s="468" t="s">
        <v>1313</v>
      </c>
      <c r="B30" s="469" t="s">
        <v>488</v>
      </c>
      <c r="C30" s="1075">
        <v>51</v>
      </c>
      <c r="D30" s="1075">
        <v>51</v>
      </c>
      <c r="E30" s="1028">
        <f t="shared" si="0"/>
        <v>100</v>
      </c>
    </row>
    <row r="31" spans="1:5" ht="19.5" customHeight="1">
      <c r="A31" s="468" t="s">
        <v>1207</v>
      </c>
      <c r="B31" s="469" t="s">
        <v>489</v>
      </c>
      <c r="C31" s="1075">
        <v>200</v>
      </c>
      <c r="D31" s="1075">
        <v>1039.72</v>
      </c>
      <c r="E31" s="1028">
        <f t="shared" si="0"/>
        <v>519.86</v>
      </c>
    </row>
    <row r="32" spans="1:5" ht="19.5" customHeight="1">
      <c r="A32" s="471" t="s">
        <v>1208</v>
      </c>
      <c r="B32" s="472" t="s">
        <v>263</v>
      </c>
      <c r="C32" s="1125">
        <v>11157</v>
      </c>
      <c r="D32" s="1125">
        <v>30609.94</v>
      </c>
      <c r="E32" s="1035">
        <f t="shared" si="0"/>
        <v>274.3563681993367</v>
      </c>
    </row>
    <row r="33" spans="1:5" s="306" customFormat="1" ht="19.5" customHeight="1" thickBot="1">
      <c r="A33" s="517" t="s">
        <v>111</v>
      </c>
      <c r="B33" s="685" t="s">
        <v>1119</v>
      </c>
      <c r="C33" s="1126">
        <f>C8+C9-C16</f>
        <v>190126</v>
      </c>
      <c r="D33" s="1126">
        <f>D8+D9-D16</f>
        <v>219413.41000000015</v>
      </c>
      <c r="E33" s="1039" t="s">
        <v>1114</v>
      </c>
    </row>
    <row r="34" spans="1:5" s="306" customFormat="1" ht="20.25" customHeight="1" thickBot="1">
      <c r="A34" s="1603" t="s">
        <v>112</v>
      </c>
      <c r="B34" s="1604"/>
      <c r="C34" s="1127">
        <f>SUM(C16,C33)</f>
        <v>688126</v>
      </c>
      <c r="D34" s="1127">
        <f>SUM(D16,D33)</f>
        <v>686100.5700000001</v>
      </c>
      <c r="E34" s="1086">
        <f>D34/C34*100</f>
        <v>99.70566000994005</v>
      </c>
    </row>
    <row r="35" spans="2:4" ht="15.75" customHeight="1">
      <c r="B35" s="45" t="s">
        <v>957</v>
      </c>
      <c r="C35" s="513"/>
      <c r="D35" s="513">
        <f>D15-D34</f>
        <v>0</v>
      </c>
    </row>
    <row r="36" spans="3:4" ht="15.75" customHeight="1">
      <c r="C36" s="45"/>
      <c r="D36" s="45"/>
    </row>
    <row r="37" spans="3:4" ht="15.75" customHeight="1">
      <c r="C37" s="45"/>
      <c r="D37" s="45"/>
    </row>
    <row r="38" spans="3:4" ht="15.75" customHeight="1">
      <c r="C38" s="45"/>
      <c r="D38" s="45"/>
    </row>
    <row r="39" spans="3:4" ht="15.75" customHeight="1">
      <c r="C39" s="45"/>
      <c r="D39" s="45"/>
    </row>
    <row r="40" spans="3:4" ht="15.75" customHeight="1">
      <c r="C40" s="45"/>
      <c r="D40" s="45"/>
    </row>
    <row r="41" spans="3:4" ht="15.75" customHeight="1">
      <c r="C41" s="45"/>
      <c r="D41" s="45"/>
    </row>
    <row r="42" spans="3:4" ht="15.75" customHeight="1">
      <c r="C42" s="45"/>
      <c r="D42" s="45"/>
    </row>
  </sheetData>
  <sheetProtection/>
  <mergeCells count="5">
    <mergeCell ref="A3:E3"/>
    <mergeCell ref="A15:B15"/>
    <mergeCell ref="A34:B34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E79"/>
  <sheetViews>
    <sheetView view="pageBreakPreview" zoomScaleSheetLayoutView="100" workbookViewId="0" topLeftCell="A1">
      <pane ySplit="6" topLeftCell="BM62" activePane="bottomLeft" state="frozen"/>
      <selection pane="topLeft" activeCell="A1" sqref="A1"/>
      <selection pane="bottomLeft" activeCell="E80" sqref="E80"/>
    </sheetView>
  </sheetViews>
  <sheetFormatPr defaultColWidth="9.00390625" defaultRowHeight="12.75"/>
  <cols>
    <col min="1" max="1" width="6.375" style="518" customWidth="1"/>
    <col min="2" max="2" width="40.625" style="519" customWidth="1"/>
    <col min="3" max="3" width="16.00390625" style="520" customWidth="1"/>
    <col min="4" max="4" width="15.125" style="520" customWidth="1"/>
    <col min="5" max="5" width="7.375" style="519" customWidth="1"/>
    <col min="6" max="16384" width="9.125" style="519" customWidth="1"/>
  </cols>
  <sheetData>
    <row r="1" spans="4:5" ht="12.75">
      <c r="D1" s="1619" t="s">
        <v>252</v>
      </c>
      <c r="E1" s="1619"/>
    </row>
    <row r="2" ht="7.5" customHeight="1"/>
    <row r="3" spans="1:5" ht="24" customHeight="1">
      <c r="A3" s="1618" t="s">
        <v>1122</v>
      </c>
      <c r="B3" s="1618"/>
      <c r="C3" s="1618"/>
      <c r="D3" s="1618"/>
      <c r="E3" s="1618"/>
    </row>
    <row r="4" spans="4:5" ht="13.5" thickBot="1">
      <c r="D4" s="522"/>
      <c r="E4" s="522" t="s">
        <v>833</v>
      </c>
    </row>
    <row r="5" spans="1:5" s="518" customFormat="1" ht="15.75" customHeight="1">
      <c r="A5" s="596" t="s">
        <v>1106</v>
      </c>
      <c r="B5" s="597" t="s">
        <v>835</v>
      </c>
      <c r="C5" s="598" t="s">
        <v>836</v>
      </c>
      <c r="D5" s="599" t="s">
        <v>837</v>
      </c>
      <c r="E5" s="600" t="s">
        <v>838</v>
      </c>
    </row>
    <row r="6" spans="1:5" s="523" customFormat="1" ht="9.75" customHeight="1" thickBot="1">
      <c r="A6" s="601">
        <v>1</v>
      </c>
      <c r="B6" s="602">
        <v>2</v>
      </c>
      <c r="C6" s="603">
        <v>3</v>
      </c>
      <c r="D6" s="604">
        <v>4</v>
      </c>
      <c r="E6" s="605">
        <v>5</v>
      </c>
    </row>
    <row r="7" spans="1:5" s="524" customFormat="1" ht="18.75" customHeight="1">
      <c r="A7" s="532" t="s">
        <v>1109</v>
      </c>
      <c r="B7" s="533" t="s">
        <v>450</v>
      </c>
      <c r="C7" s="1282">
        <v>157464</v>
      </c>
      <c r="D7" s="1283">
        <v>150785.71</v>
      </c>
      <c r="E7" s="1284">
        <f aca="true" t="shared" si="0" ref="E7:E45">D7/C7*100</f>
        <v>95.75884646649392</v>
      </c>
    </row>
    <row r="8" spans="1:5" s="524" customFormat="1" ht="18.75" customHeight="1">
      <c r="A8" s="534" t="s">
        <v>1110</v>
      </c>
      <c r="B8" s="535" t="s">
        <v>451</v>
      </c>
      <c r="C8" s="1285">
        <f>SUM(C9:C18)</f>
        <v>1652000</v>
      </c>
      <c r="D8" s="1285">
        <f>SUM(D9:D18)</f>
        <v>1793640.7100000004</v>
      </c>
      <c r="E8" s="1277">
        <f t="shared" si="0"/>
        <v>108.57389285714288</v>
      </c>
    </row>
    <row r="9" spans="1:5" ht="15.75" customHeight="1">
      <c r="A9" s="525" t="s">
        <v>933</v>
      </c>
      <c r="B9" s="526" t="s">
        <v>638</v>
      </c>
      <c r="C9" s="1269">
        <v>580000</v>
      </c>
      <c r="D9" s="1269">
        <v>675566.99</v>
      </c>
      <c r="E9" s="1270">
        <f t="shared" si="0"/>
        <v>116.47706724137932</v>
      </c>
    </row>
    <row r="10" spans="1:5" ht="15.75" customHeight="1">
      <c r="A10" s="525" t="s">
        <v>934</v>
      </c>
      <c r="B10" s="526" t="s">
        <v>639</v>
      </c>
      <c r="C10" s="1269">
        <v>43000</v>
      </c>
      <c r="D10" s="1269">
        <v>55165.13</v>
      </c>
      <c r="E10" s="1270">
        <f t="shared" si="0"/>
        <v>128.291</v>
      </c>
    </row>
    <row r="11" spans="1:5" ht="15.75" customHeight="1">
      <c r="A11" s="525" t="s">
        <v>938</v>
      </c>
      <c r="B11" s="526" t="s">
        <v>640</v>
      </c>
      <c r="C11" s="1269">
        <v>330000</v>
      </c>
      <c r="D11" s="1269">
        <v>413829.25</v>
      </c>
      <c r="E11" s="1270">
        <f t="shared" si="0"/>
        <v>125.40280303030302</v>
      </c>
    </row>
    <row r="12" spans="1:5" ht="15.75" customHeight="1">
      <c r="A12" s="525" t="s">
        <v>945</v>
      </c>
      <c r="B12" s="526" t="s">
        <v>641</v>
      </c>
      <c r="C12" s="1269">
        <v>62000</v>
      </c>
      <c r="D12" s="1269">
        <v>40487.56</v>
      </c>
      <c r="E12" s="1270">
        <f t="shared" si="0"/>
        <v>65.30251612903226</v>
      </c>
    </row>
    <row r="13" spans="1:5" ht="15.75" customHeight="1">
      <c r="A13" s="525" t="s">
        <v>958</v>
      </c>
      <c r="B13" s="526" t="s">
        <v>642</v>
      </c>
      <c r="C13" s="1269">
        <v>80000</v>
      </c>
      <c r="D13" s="1269">
        <v>77254.21</v>
      </c>
      <c r="E13" s="1270">
        <f t="shared" si="0"/>
        <v>96.56776250000001</v>
      </c>
    </row>
    <row r="14" spans="1:5" ht="15.75" customHeight="1">
      <c r="A14" s="525" t="s">
        <v>456</v>
      </c>
      <c r="B14" s="526" t="s">
        <v>643</v>
      </c>
      <c r="C14" s="1269">
        <v>108000</v>
      </c>
      <c r="D14" s="1269">
        <v>216612.89</v>
      </c>
      <c r="E14" s="1270">
        <f t="shared" si="0"/>
        <v>200.56749074074074</v>
      </c>
    </row>
    <row r="15" spans="1:5" ht="15.75" customHeight="1">
      <c r="A15" s="525" t="s">
        <v>644</v>
      </c>
      <c r="B15" s="526" t="s">
        <v>457</v>
      </c>
      <c r="C15" s="1269">
        <v>300000</v>
      </c>
      <c r="D15" s="1269">
        <v>96292.87</v>
      </c>
      <c r="E15" s="1270">
        <f t="shared" si="0"/>
        <v>32.09762333333333</v>
      </c>
    </row>
    <row r="16" spans="1:5" ht="15.75" customHeight="1">
      <c r="A16" s="525" t="s">
        <v>645</v>
      </c>
      <c r="B16" s="526" t="s">
        <v>646</v>
      </c>
      <c r="C16" s="1269">
        <v>7000</v>
      </c>
      <c r="D16" s="1269">
        <v>1618.86</v>
      </c>
      <c r="E16" s="1270">
        <f t="shared" si="0"/>
        <v>23.126571428571427</v>
      </c>
    </row>
    <row r="17" spans="1:5" ht="15.75" customHeight="1">
      <c r="A17" s="525" t="s">
        <v>647</v>
      </c>
      <c r="B17" s="526" t="s">
        <v>648</v>
      </c>
      <c r="C17" s="1269">
        <v>27000</v>
      </c>
      <c r="D17" s="1269">
        <v>25548.57</v>
      </c>
      <c r="E17" s="1270">
        <f t="shared" si="0"/>
        <v>94.62433333333334</v>
      </c>
    </row>
    <row r="18" spans="1:5" ht="15.75" customHeight="1">
      <c r="A18" s="525" t="s">
        <v>649</v>
      </c>
      <c r="B18" s="526" t="s">
        <v>351</v>
      </c>
      <c r="C18" s="1269">
        <f>SUM(C19:C22)</f>
        <v>115000</v>
      </c>
      <c r="D18" s="1269">
        <v>191264.38</v>
      </c>
      <c r="E18" s="1270">
        <f t="shared" si="0"/>
        <v>166.31685217391305</v>
      </c>
    </row>
    <row r="19" spans="1:5" ht="15" customHeight="1">
      <c r="A19" s="525" t="s">
        <v>650</v>
      </c>
      <c r="B19" s="527" t="s">
        <v>651</v>
      </c>
      <c r="C19" s="1286">
        <v>15000</v>
      </c>
      <c r="D19" s="1286">
        <v>49674.05</v>
      </c>
      <c r="E19" s="1287">
        <f t="shared" si="0"/>
        <v>331.16033333333337</v>
      </c>
    </row>
    <row r="20" spans="1:5" ht="15" customHeight="1">
      <c r="A20" s="525" t="s">
        <v>652</v>
      </c>
      <c r="B20" s="527" t="s">
        <v>653</v>
      </c>
      <c r="C20" s="1286">
        <v>40000</v>
      </c>
      <c r="D20" s="1286">
        <v>64216.97</v>
      </c>
      <c r="E20" s="1287">
        <f t="shared" si="0"/>
        <v>160.542425</v>
      </c>
    </row>
    <row r="21" spans="1:5" ht="15" customHeight="1">
      <c r="A21" s="525" t="s">
        <v>654</v>
      </c>
      <c r="B21" s="527" t="s">
        <v>655</v>
      </c>
      <c r="C21" s="1286">
        <v>30000</v>
      </c>
      <c r="D21" s="1286">
        <v>31199.31</v>
      </c>
      <c r="E21" s="1287">
        <f t="shared" si="0"/>
        <v>103.99770000000001</v>
      </c>
    </row>
    <row r="22" spans="1:5" ht="15" customHeight="1">
      <c r="A22" s="528" t="s">
        <v>656</v>
      </c>
      <c r="B22" s="529" t="s">
        <v>657</v>
      </c>
      <c r="C22" s="1288">
        <v>30000</v>
      </c>
      <c r="D22" s="1288">
        <v>46174.05</v>
      </c>
      <c r="E22" s="1289">
        <f t="shared" si="0"/>
        <v>153.91350000000003</v>
      </c>
    </row>
    <row r="23" spans="1:5" s="524" customFormat="1" ht="18.75" customHeight="1">
      <c r="A23" s="536" t="s">
        <v>1192</v>
      </c>
      <c r="B23" s="537" t="s">
        <v>458</v>
      </c>
      <c r="C23" s="1267">
        <f>SUM(C24:C26)</f>
        <v>695000</v>
      </c>
      <c r="D23" s="1267">
        <f>SUM(D24:D26)</f>
        <v>614485.95</v>
      </c>
      <c r="E23" s="1268">
        <f t="shared" si="0"/>
        <v>88.41524460431654</v>
      </c>
    </row>
    <row r="24" spans="1:5" ht="15.75" customHeight="1">
      <c r="A24" s="525" t="s">
        <v>459</v>
      </c>
      <c r="B24" s="526" t="s">
        <v>460</v>
      </c>
      <c r="C24" s="1269">
        <v>343000</v>
      </c>
      <c r="D24" s="1269">
        <v>367612.85</v>
      </c>
      <c r="E24" s="1270">
        <f t="shared" si="0"/>
        <v>107.17575801749271</v>
      </c>
    </row>
    <row r="25" spans="1:5" ht="15.75" customHeight="1">
      <c r="A25" s="525" t="s">
        <v>461</v>
      </c>
      <c r="B25" s="526" t="s">
        <v>462</v>
      </c>
      <c r="C25" s="1269">
        <v>10000</v>
      </c>
      <c r="D25" s="1269">
        <v>10623.94</v>
      </c>
      <c r="E25" s="1270">
        <f t="shared" si="0"/>
        <v>106.2394</v>
      </c>
    </row>
    <row r="26" spans="1:5" ht="15.75" customHeight="1">
      <c r="A26" s="528" t="s">
        <v>463</v>
      </c>
      <c r="B26" s="530" t="s">
        <v>658</v>
      </c>
      <c r="C26" s="1271">
        <v>342000</v>
      </c>
      <c r="D26" s="1271">
        <v>236249.16</v>
      </c>
      <c r="E26" s="1272">
        <f t="shared" si="0"/>
        <v>69.07870175438596</v>
      </c>
    </row>
    <row r="27" spans="1:5" s="524" customFormat="1" ht="18.75" customHeight="1">
      <c r="A27" s="534" t="s">
        <v>1199</v>
      </c>
      <c r="B27" s="535" t="s">
        <v>465</v>
      </c>
      <c r="C27" s="1285">
        <f>SUM(C28,C29,C30,C31,C32,C33,C34,C35,C43,C44,C45)</f>
        <v>3979802</v>
      </c>
      <c r="D27" s="1285">
        <f>SUM(D28,D29,D30,D31,D32,D33,D34,D35,D43,D44,D45)</f>
        <v>4404468.25</v>
      </c>
      <c r="E27" s="1277">
        <f t="shared" si="0"/>
        <v>110.67053712722392</v>
      </c>
    </row>
    <row r="28" spans="1:5" ht="15.75" customHeight="1">
      <c r="A28" s="525" t="s">
        <v>466</v>
      </c>
      <c r="B28" s="526" t="s">
        <v>467</v>
      </c>
      <c r="C28" s="1269">
        <v>625000</v>
      </c>
      <c r="D28" s="1269">
        <v>659711.29</v>
      </c>
      <c r="E28" s="1270">
        <f t="shared" si="0"/>
        <v>105.5538064</v>
      </c>
    </row>
    <row r="29" spans="1:5" ht="15.75" customHeight="1">
      <c r="A29" s="525" t="s">
        <v>468</v>
      </c>
      <c r="B29" s="526" t="s">
        <v>659</v>
      </c>
      <c r="C29" s="1269">
        <v>200000</v>
      </c>
      <c r="D29" s="1269">
        <v>227561.55</v>
      </c>
      <c r="E29" s="1270">
        <f t="shared" si="0"/>
        <v>113.78077499999999</v>
      </c>
    </row>
    <row r="30" spans="1:5" ht="15.75" customHeight="1">
      <c r="A30" s="525" t="s">
        <v>470</v>
      </c>
      <c r="B30" s="526" t="s">
        <v>469</v>
      </c>
      <c r="C30" s="1269">
        <v>162000</v>
      </c>
      <c r="D30" s="1269">
        <v>140279.63</v>
      </c>
      <c r="E30" s="1270">
        <f t="shared" si="0"/>
        <v>86.59236419753087</v>
      </c>
    </row>
    <row r="31" spans="1:5" ht="15.75" customHeight="1">
      <c r="A31" s="525" t="s">
        <v>492</v>
      </c>
      <c r="B31" s="526" t="s">
        <v>372</v>
      </c>
      <c r="C31" s="1269">
        <v>255000</v>
      </c>
      <c r="D31" s="1269">
        <v>263994.39</v>
      </c>
      <c r="E31" s="1270">
        <f t="shared" si="0"/>
        <v>103.5272117647059</v>
      </c>
    </row>
    <row r="32" spans="1:5" ht="15.75" customHeight="1">
      <c r="A32" s="525" t="s">
        <v>494</v>
      </c>
      <c r="B32" s="526" t="s">
        <v>660</v>
      </c>
      <c r="C32" s="1269">
        <v>64000</v>
      </c>
      <c r="D32" s="1269">
        <v>82767.56</v>
      </c>
      <c r="E32" s="1270">
        <f t="shared" si="0"/>
        <v>129.32431250000002</v>
      </c>
    </row>
    <row r="33" spans="1:5" ht="24.75" customHeight="1">
      <c r="A33" s="525" t="s">
        <v>501</v>
      </c>
      <c r="B33" s="526" t="s">
        <v>662</v>
      </c>
      <c r="C33" s="1269">
        <v>205000</v>
      </c>
      <c r="D33" s="1269">
        <v>193917.98</v>
      </c>
      <c r="E33" s="1270">
        <f t="shared" si="0"/>
        <v>94.59413658536586</v>
      </c>
    </row>
    <row r="34" spans="1:5" ht="15.75" customHeight="1">
      <c r="A34" s="525" t="s">
        <v>502</v>
      </c>
      <c r="B34" s="526" t="s">
        <v>1182</v>
      </c>
      <c r="C34" s="1269">
        <v>9930</v>
      </c>
      <c r="D34" s="1269">
        <v>7320</v>
      </c>
      <c r="E34" s="1270">
        <f t="shared" si="0"/>
        <v>73.71601208459214</v>
      </c>
    </row>
    <row r="35" spans="1:5" ht="15.75" customHeight="1">
      <c r="A35" s="525" t="s">
        <v>504</v>
      </c>
      <c r="B35" s="526" t="s">
        <v>507</v>
      </c>
      <c r="C35" s="1269">
        <f>SUM(C36:C42)</f>
        <v>157600</v>
      </c>
      <c r="D35" s="1269">
        <v>282220.2</v>
      </c>
      <c r="E35" s="1270">
        <f t="shared" si="0"/>
        <v>179.07373096446702</v>
      </c>
    </row>
    <row r="36" spans="1:5" ht="15" customHeight="1">
      <c r="A36" s="525" t="s">
        <v>663</v>
      </c>
      <c r="B36" s="527" t="s">
        <v>664</v>
      </c>
      <c r="C36" s="1286">
        <v>40000</v>
      </c>
      <c r="D36" s="1286">
        <v>54086.09</v>
      </c>
      <c r="E36" s="1287">
        <f t="shared" si="0"/>
        <v>135.21522499999998</v>
      </c>
    </row>
    <row r="37" spans="1:5" ht="15" customHeight="1">
      <c r="A37" s="525" t="s">
        <v>665</v>
      </c>
      <c r="B37" s="527" t="s">
        <v>666</v>
      </c>
      <c r="C37" s="1286">
        <v>28000</v>
      </c>
      <c r="D37" s="1286">
        <v>29699.54</v>
      </c>
      <c r="E37" s="1287">
        <f t="shared" si="0"/>
        <v>106.06978571428571</v>
      </c>
    </row>
    <row r="38" spans="1:5" ht="15" customHeight="1">
      <c r="A38" s="525" t="s">
        <v>667</v>
      </c>
      <c r="B38" s="527" t="s">
        <v>668</v>
      </c>
      <c r="C38" s="1286">
        <v>35000</v>
      </c>
      <c r="D38" s="1286">
        <v>69038.35</v>
      </c>
      <c r="E38" s="1287">
        <f t="shared" si="0"/>
        <v>197.2524285714286</v>
      </c>
    </row>
    <row r="39" spans="1:5" ht="15" customHeight="1">
      <c r="A39" s="525" t="s">
        <v>669</v>
      </c>
      <c r="B39" s="527" t="s">
        <v>670</v>
      </c>
      <c r="C39" s="1286">
        <v>15000</v>
      </c>
      <c r="D39" s="1286">
        <v>46167.36</v>
      </c>
      <c r="E39" s="1287">
        <f t="shared" si="0"/>
        <v>307.7824</v>
      </c>
    </row>
    <row r="40" spans="1:5" ht="15" customHeight="1">
      <c r="A40" s="525" t="s">
        <v>671</v>
      </c>
      <c r="B40" s="527" t="s">
        <v>672</v>
      </c>
      <c r="C40" s="1286">
        <v>9600</v>
      </c>
      <c r="D40" s="1286">
        <v>16585.5</v>
      </c>
      <c r="E40" s="1287">
        <f t="shared" si="0"/>
        <v>172.765625</v>
      </c>
    </row>
    <row r="41" spans="1:5" ht="15" customHeight="1">
      <c r="A41" s="525" t="s">
        <v>673</v>
      </c>
      <c r="B41" s="527" t="s">
        <v>674</v>
      </c>
      <c r="C41" s="1286">
        <v>17000</v>
      </c>
      <c r="D41" s="1286">
        <v>40243.36</v>
      </c>
      <c r="E41" s="1287">
        <f t="shared" si="0"/>
        <v>236.72564705882354</v>
      </c>
    </row>
    <row r="42" spans="1:5" ht="15" customHeight="1">
      <c r="A42" s="525" t="s">
        <v>675</v>
      </c>
      <c r="B42" s="527" t="s">
        <v>676</v>
      </c>
      <c r="C42" s="1286">
        <v>13000</v>
      </c>
      <c r="D42" s="1286">
        <v>26400</v>
      </c>
      <c r="E42" s="1287">
        <f t="shared" si="0"/>
        <v>203.07692307692307</v>
      </c>
    </row>
    <row r="43" spans="1:5" ht="15.75" customHeight="1">
      <c r="A43" s="525" t="s">
        <v>506</v>
      </c>
      <c r="B43" s="526" t="s">
        <v>700</v>
      </c>
      <c r="C43" s="1269">
        <v>1901272</v>
      </c>
      <c r="D43" s="1269">
        <v>2248466.97</v>
      </c>
      <c r="E43" s="1270">
        <f t="shared" si="0"/>
        <v>118.26119408480218</v>
      </c>
    </row>
    <row r="44" spans="1:5" ht="15.75" customHeight="1">
      <c r="A44" s="525" t="s">
        <v>701</v>
      </c>
      <c r="B44" s="526" t="s">
        <v>134</v>
      </c>
      <c r="C44" s="1269">
        <v>0</v>
      </c>
      <c r="D44" s="1269">
        <v>100618.68</v>
      </c>
      <c r="E44" s="1369" t="s">
        <v>1081</v>
      </c>
    </row>
    <row r="45" spans="1:5" ht="15.75" customHeight="1" thickBot="1">
      <c r="A45" s="1371" t="s">
        <v>133</v>
      </c>
      <c r="B45" s="531" t="s">
        <v>702</v>
      </c>
      <c r="C45" s="1290">
        <v>400000</v>
      </c>
      <c r="D45" s="1290">
        <v>197610</v>
      </c>
      <c r="E45" s="1291">
        <f t="shared" si="0"/>
        <v>49.402499999999996</v>
      </c>
    </row>
    <row r="46" spans="1:5" s="524" customFormat="1" ht="18.75" customHeight="1">
      <c r="A46" s="534" t="s">
        <v>1200</v>
      </c>
      <c r="B46" s="535" t="s">
        <v>508</v>
      </c>
      <c r="C46" s="1285">
        <f>SUM(C47:C48)</f>
        <v>4808350</v>
      </c>
      <c r="D46" s="1285">
        <f>SUM(D47:D48)</f>
        <v>5449093.77</v>
      </c>
      <c r="E46" s="1277">
        <f aca="true" t="shared" si="1" ref="E46:E77">D46/C46*100</f>
        <v>113.32564746742644</v>
      </c>
    </row>
    <row r="47" spans="1:5" ht="15.75" customHeight="1">
      <c r="A47" s="525" t="s">
        <v>509</v>
      </c>
      <c r="B47" s="526" t="s">
        <v>510</v>
      </c>
      <c r="C47" s="1269">
        <v>4791600</v>
      </c>
      <c r="D47" s="1269">
        <v>5401669.27</v>
      </c>
      <c r="E47" s="1270">
        <f t="shared" si="1"/>
        <v>112.73205755906169</v>
      </c>
    </row>
    <row r="48" spans="1:5" ht="15.75" customHeight="1">
      <c r="A48" s="528" t="s">
        <v>511</v>
      </c>
      <c r="B48" s="530" t="s">
        <v>703</v>
      </c>
      <c r="C48" s="1271">
        <v>16750</v>
      </c>
      <c r="D48" s="1271">
        <v>47424.5</v>
      </c>
      <c r="E48" s="1272">
        <f t="shared" si="1"/>
        <v>283.13134328358205</v>
      </c>
    </row>
    <row r="49" spans="1:5" ht="18.75" customHeight="1">
      <c r="A49" s="538" t="s">
        <v>1201</v>
      </c>
      <c r="B49" s="539" t="s">
        <v>512</v>
      </c>
      <c r="C49" s="1274">
        <v>871000</v>
      </c>
      <c r="D49" s="1274">
        <v>905943.91</v>
      </c>
      <c r="E49" s="1275">
        <f t="shared" si="1"/>
        <v>104.01192996555683</v>
      </c>
    </row>
    <row r="50" spans="1:5" ht="18.75" customHeight="1">
      <c r="A50" s="534" t="s">
        <v>1310</v>
      </c>
      <c r="B50" s="535" t="s">
        <v>513</v>
      </c>
      <c r="C50" s="1285">
        <f>SUM(C51:C52)</f>
        <v>190000</v>
      </c>
      <c r="D50" s="1285">
        <v>194490.76</v>
      </c>
      <c r="E50" s="1277">
        <f t="shared" si="1"/>
        <v>102.36355789473686</v>
      </c>
    </row>
    <row r="51" spans="1:5" ht="15.75" customHeight="1">
      <c r="A51" s="525" t="s">
        <v>704</v>
      </c>
      <c r="B51" s="526" t="s">
        <v>265</v>
      </c>
      <c r="C51" s="1269">
        <v>160000</v>
      </c>
      <c r="D51" s="1269">
        <v>161712.2</v>
      </c>
      <c r="E51" s="1270">
        <f t="shared" si="1"/>
        <v>101.070125</v>
      </c>
    </row>
    <row r="52" spans="1:5" ht="15.75" customHeight="1">
      <c r="A52" s="528" t="s">
        <v>705</v>
      </c>
      <c r="B52" s="530" t="s">
        <v>708</v>
      </c>
      <c r="C52" s="1271">
        <v>30000</v>
      </c>
      <c r="D52" s="1271">
        <v>32778.56</v>
      </c>
      <c r="E52" s="1272">
        <f t="shared" si="1"/>
        <v>109.26186666666666</v>
      </c>
    </row>
    <row r="53" spans="1:5" s="524" customFormat="1" ht="18.75" customHeight="1">
      <c r="A53" s="536" t="s">
        <v>1311</v>
      </c>
      <c r="B53" s="537" t="s">
        <v>514</v>
      </c>
      <c r="C53" s="1267">
        <f>SUM(C54:C56)</f>
        <v>135082</v>
      </c>
      <c r="D53" s="1267">
        <f>SUM(D54:D56)</f>
        <v>145685</v>
      </c>
      <c r="E53" s="1268">
        <f t="shared" si="1"/>
        <v>107.84930634725573</v>
      </c>
    </row>
    <row r="54" spans="1:5" ht="15.75" customHeight="1">
      <c r="A54" s="525" t="s">
        <v>515</v>
      </c>
      <c r="B54" s="526" t="s">
        <v>516</v>
      </c>
      <c r="C54" s="1269">
        <v>2582</v>
      </c>
      <c r="D54" s="1269">
        <v>1601</v>
      </c>
      <c r="E54" s="1270">
        <f t="shared" si="1"/>
        <v>62.00619674670798</v>
      </c>
    </row>
    <row r="55" spans="1:5" ht="26.25" customHeight="1">
      <c r="A55" s="525" t="s">
        <v>709</v>
      </c>
      <c r="B55" s="526" t="s">
        <v>813</v>
      </c>
      <c r="C55" s="1269">
        <v>130000</v>
      </c>
      <c r="D55" s="1269">
        <v>143182</v>
      </c>
      <c r="E55" s="1270">
        <f t="shared" si="1"/>
        <v>110.13999999999999</v>
      </c>
    </row>
    <row r="56" spans="1:5" ht="15.75" customHeight="1">
      <c r="A56" s="528" t="s">
        <v>710</v>
      </c>
      <c r="B56" s="530" t="s">
        <v>711</v>
      </c>
      <c r="C56" s="1271">
        <v>2500</v>
      </c>
      <c r="D56" s="1271">
        <v>902</v>
      </c>
      <c r="E56" s="1272">
        <f t="shared" si="1"/>
        <v>36.08</v>
      </c>
    </row>
    <row r="57" spans="1:5" s="524" customFormat="1" ht="18.75" customHeight="1">
      <c r="A57" s="538" t="s">
        <v>1202</v>
      </c>
      <c r="B57" s="539" t="s">
        <v>519</v>
      </c>
      <c r="C57" s="1274">
        <v>17000</v>
      </c>
      <c r="D57" s="1274">
        <v>9436.13</v>
      </c>
      <c r="E57" s="1275">
        <f t="shared" si="1"/>
        <v>55.506647058823525</v>
      </c>
    </row>
    <row r="58" spans="1:5" s="524" customFormat="1" ht="18.75" customHeight="1">
      <c r="A58" s="536" t="s">
        <v>1204</v>
      </c>
      <c r="B58" s="537" t="s">
        <v>607</v>
      </c>
      <c r="C58" s="1267">
        <f>SUM(C59:C60)</f>
        <v>25500</v>
      </c>
      <c r="D58" s="1267">
        <v>19106.15</v>
      </c>
      <c r="E58" s="1268">
        <f t="shared" si="1"/>
        <v>74.92607843137256</v>
      </c>
    </row>
    <row r="59" spans="1:5" s="524" customFormat="1" ht="15.75" customHeight="1">
      <c r="A59" s="525" t="s">
        <v>712</v>
      </c>
      <c r="B59" s="526" t="s">
        <v>713</v>
      </c>
      <c r="C59" s="1269">
        <v>24000</v>
      </c>
      <c r="D59" s="1269">
        <v>19106.15</v>
      </c>
      <c r="E59" s="1270">
        <f t="shared" si="1"/>
        <v>79.60895833333333</v>
      </c>
    </row>
    <row r="60" spans="1:5" s="524" customFormat="1" ht="15.75" customHeight="1">
      <c r="A60" s="528" t="s">
        <v>714</v>
      </c>
      <c r="B60" s="530" t="s">
        <v>715</v>
      </c>
      <c r="C60" s="1271">
        <v>1500</v>
      </c>
      <c r="D60" s="1271">
        <v>0</v>
      </c>
      <c r="E60" s="1272">
        <f t="shared" si="1"/>
        <v>0</v>
      </c>
    </row>
    <row r="61" spans="1:5" s="524" customFormat="1" ht="18.75" customHeight="1">
      <c r="A61" s="536" t="s">
        <v>1312</v>
      </c>
      <c r="B61" s="537" t="s">
        <v>716</v>
      </c>
      <c r="C61" s="1267">
        <f>SUM(C62:C62)</f>
        <v>84000</v>
      </c>
      <c r="D61" s="1267">
        <f>SUM(D62:D62)</f>
        <v>84256</v>
      </c>
      <c r="E61" s="1268">
        <f t="shared" si="1"/>
        <v>100.3047619047619</v>
      </c>
    </row>
    <row r="62" spans="1:5" s="524" customFormat="1" ht="15.75" customHeight="1">
      <c r="A62" s="528" t="s">
        <v>1179</v>
      </c>
      <c r="B62" s="530" t="s">
        <v>717</v>
      </c>
      <c r="C62" s="1271">
        <v>84000</v>
      </c>
      <c r="D62" s="1271">
        <v>84256</v>
      </c>
      <c r="E62" s="1272">
        <f t="shared" si="1"/>
        <v>100.3047619047619</v>
      </c>
    </row>
    <row r="63" spans="1:5" s="524" customFormat="1" ht="18.75" customHeight="1">
      <c r="A63" s="538" t="s">
        <v>1205</v>
      </c>
      <c r="B63" s="539" t="s">
        <v>609</v>
      </c>
      <c r="C63" s="1274">
        <f>SUM(C7+C8+C23+C27+C46+C49+C50+C53+C57+C58+C61)</f>
        <v>12615198</v>
      </c>
      <c r="D63" s="1274">
        <f>SUM(D7+D8+D23+D27+D46+D49+D50+D53+D57+D58+D61)</f>
        <v>13771392.340000002</v>
      </c>
      <c r="E63" s="1275">
        <f t="shared" si="1"/>
        <v>109.16509071042724</v>
      </c>
    </row>
    <row r="64" spans="1:5" s="524" customFormat="1" ht="18.75" customHeight="1">
      <c r="A64" s="536" t="s">
        <v>1206</v>
      </c>
      <c r="B64" s="537" t="s">
        <v>610</v>
      </c>
      <c r="C64" s="1267">
        <f>SUM(C65,C66,C67)</f>
        <v>10151498</v>
      </c>
      <c r="D64" s="1267">
        <f>SUM(D65,D66,D67)</f>
        <v>11769655.36</v>
      </c>
      <c r="E64" s="1268">
        <f t="shared" si="1"/>
        <v>115.94008450772486</v>
      </c>
    </row>
    <row r="65" spans="1:5" ht="15.75" customHeight="1">
      <c r="A65" s="525" t="s">
        <v>1176</v>
      </c>
      <c r="B65" s="526" t="s">
        <v>266</v>
      </c>
      <c r="C65" s="1269">
        <v>7831406.82</v>
      </c>
      <c r="D65" s="1269">
        <v>9371337.36</v>
      </c>
      <c r="E65" s="1270">
        <f t="shared" si="1"/>
        <v>119.66352374987459</v>
      </c>
    </row>
    <row r="66" spans="1:5" ht="15.75" customHeight="1">
      <c r="A66" s="525"/>
      <c r="B66" s="526" t="s">
        <v>135</v>
      </c>
      <c r="C66" s="1269">
        <v>1348391.18</v>
      </c>
      <c r="D66" s="1269">
        <v>1619274.71</v>
      </c>
      <c r="E66" s="1270">
        <f t="shared" si="1"/>
        <v>120.08938756184982</v>
      </c>
    </row>
    <row r="67" spans="1:5" ht="15.75" customHeight="1">
      <c r="A67" s="528" t="s">
        <v>1177</v>
      </c>
      <c r="B67" s="530" t="s">
        <v>718</v>
      </c>
      <c r="C67" s="1271">
        <v>971700</v>
      </c>
      <c r="D67" s="1271">
        <v>779043.29</v>
      </c>
      <c r="E67" s="1272">
        <f t="shared" si="1"/>
        <v>80.17323145003601</v>
      </c>
    </row>
    <row r="68" spans="1:5" s="524" customFormat="1" ht="18.75" customHeight="1">
      <c r="A68" s="538" t="s">
        <v>1313</v>
      </c>
      <c r="B68" s="539" t="s">
        <v>616</v>
      </c>
      <c r="C68" s="1274">
        <v>6000</v>
      </c>
      <c r="D68" s="1274">
        <v>7293.44</v>
      </c>
      <c r="E68" s="1275">
        <f t="shared" si="1"/>
        <v>121.55733333333332</v>
      </c>
    </row>
    <row r="69" spans="1:5" s="524" customFormat="1" ht="18.75" customHeight="1">
      <c r="A69" s="536" t="s">
        <v>1207</v>
      </c>
      <c r="B69" s="537" t="s">
        <v>617</v>
      </c>
      <c r="C69" s="1267">
        <f>SUM(C70:C71)</f>
        <v>2502700</v>
      </c>
      <c r="D69" s="1267">
        <f>SUM(D70:D71)</f>
        <v>2467376.16</v>
      </c>
      <c r="E69" s="1268">
        <f t="shared" si="1"/>
        <v>98.58857074359693</v>
      </c>
    </row>
    <row r="70" spans="1:5" ht="15.75" customHeight="1">
      <c r="A70" s="525" t="s">
        <v>1180</v>
      </c>
      <c r="B70" s="526" t="s">
        <v>1183</v>
      </c>
      <c r="C70" s="1269">
        <v>2372700</v>
      </c>
      <c r="D70" s="1269">
        <v>2387151.49</v>
      </c>
      <c r="E70" s="1270">
        <f t="shared" si="1"/>
        <v>100.60907362919882</v>
      </c>
    </row>
    <row r="71" spans="1:5" ht="15.75" customHeight="1">
      <c r="A71" s="528" t="s">
        <v>1181</v>
      </c>
      <c r="B71" s="530" t="s">
        <v>929</v>
      </c>
      <c r="C71" s="1271">
        <v>130000</v>
      </c>
      <c r="D71" s="1271">
        <v>80224.67</v>
      </c>
      <c r="E71" s="1272">
        <f t="shared" si="1"/>
        <v>61.711284615384606</v>
      </c>
    </row>
    <row r="72" spans="1:5" s="524" customFormat="1" ht="18.75" customHeight="1">
      <c r="A72" s="540" t="s">
        <v>1208</v>
      </c>
      <c r="B72" s="539" t="s">
        <v>719</v>
      </c>
      <c r="C72" s="1274">
        <v>320900</v>
      </c>
      <c r="D72" s="1274">
        <v>369099.16</v>
      </c>
      <c r="E72" s="1275">
        <f t="shared" si="1"/>
        <v>115.01999376752883</v>
      </c>
    </row>
    <row r="73" spans="1:5" s="524" customFormat="1" ht="18.75" customHeight="1">
      <c r="A73" s="540" t="s">
        <v>1209</v>
      </c>
      <c r="B73" s="541" t="s">
        <v>720</v>
      </c>
      <c r="C73" s="1274">
        <v>150000</v>
      </c>
      <c r="D73" s="1274">
        <v>56706.8</v>
      </c>
      <c r="E73" s="1275">
        <f t="shared" si="1"/>
        <v>37.80453333333333</v>
      </c>
    </row>
    <row r="74" spans="1:5" s="524" customFormat="1" ht="18.75" customHeight="1">
      <c r="A74" s="540" t="s">
        <v>1210</v>
      </c>
      <c r="B74" s="541" t="s">
        <v>721</v>
      </c>
      <c r="C74" s="1292">
        <v>0</v>
      </c>
      <c r="D74" s="1274">
        <v>0</v>
      </c>
      <c r="E74" s="1293" t="s">
        <v>1081</v>
      </c>
    </row>
    <row r="75" spans="1:5" s="524" customFormat="1" ht="18.75" customHeight="1">
      <c r="A75" s="540" t="s">
        <v>1213</v>
      </c>
      <c r="B75" s="541" t="s">
        <v>722</v>
      </c>
      <c r="C75" s="1292">
        <v>0</v>
      </c>
      <c r="D75" s="1274">
        <v>0</v>
      </c>
      <c r="E75" s="1293" t="s">
        <v>1081</v>
      </c>
    </row>
    <row r="76" spans="1:5" ht="18.75" customHeight="1">
      <c r="A76" s="540" t="s">
        <v>1214</v>
      </c>
      <c r="B76" s="541" t="s">
        <v>725</v>
      </c>
      <c r="C76" s="1292">
        <f>SUM(C63+C72+C73+C75)</f>
        <v>13086098</v>
      </c>
      <c r="D76" s="1274">
        <f>SUM(D63+D72+D73+D75)</f>
        <v>14197198.300000003</v>
      </c>
      <c r="E76" s="1275">
        <f t="shared" si="1"/>
        <v>108.49069218341481</v>
      </c>
    </row>
    <row r="77" spans="1:5" ht="18.75" customHeight="1">
      <c r="A77" s="540" t="s">
        <v>1215</v>
      </c>
      <c r="B77" s="541" t="s">
        <v>620</v>
      </c>
      <c r="C77" s="1274">
        <f>SUM(C64+C68+C69+C74)</f>
        <v>12660198</v>
      </c>
      <c r="D77" s="1274">
        <f>SUM(D64+D68+D69+D74)</f>
        <v>14244324.959999999</v>
      </c>
      <c r="E77" s="1275">
        <f t="shared" si="1"/>
        <v>112.51265548927434</v>
      </c>
    </row>
    <row r="78" spans="1:5" ht="18.75" customHeight="1">
      <c r="A78" s="540" t="s">
        <v>1216</v>
      </c>
      <c r="B78" s="541" t="s">
        <v>726</v>
      </c>
      <c r="C78" s="1294"/>
      <c r="D78" s="1274">
        <v>58816.97</v>
      </c>
      <c r="E78" s="1275">
        <f>D78/C77*100</f>
        <v>0.4645817545665558</v>
      </c>
    </row>
    <row r="79" spans="1:5" ht="18.75" customHeight="1" thickBot="1">
      <c r="A79" s="542" t="s">
        <v>1056</v>
      </c>
      <c r="B79" s="543" t="s">
        <v>727</v>
      </c>
      <c r="C79" s="1295">
        <f>SUM(C77-C76+C78)</f>
        <v>-425900</v>
      </c>
      <c r="D79" s="1295">
        <f>SUM(D77-D76+D78)</f>
        <v>105943.62999999642</v>
      </c>
      <c r="E79" s="1370" t="s">
        <v>1081</v>
      </c>
    </row>
  </sheetData>
  <sheetProtection/>
  <mergeCells count="2">
    <mergeCell ref="A3:E3"/>
    <mergeCell ref="D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139"/>
  <sheetViews>
    <sheetView view="pageBreakPreview" zoomScaleSheetLayoutView="100" workbookViewId="0" topLeftCell="A6">
      <selection activeCell="C25" sqref="C25"/>
    </sheetView>
  </sheetViews>
  <sheetFormatPr defaultColWidth="9.00390625" defaultRowHeight="12.75"/>
  <cols>
    <col min="1" max="1" width="3.625" style="82" customWidth="1"/>
    <col min="2" max="2" width="34.375" style="78" customWidth="1"/>
    <col min="3" max="3" width="13.625" style="78" customWidth="1"/>
    <col min="4" max="4" width="13.875" style="78" customWidth="1"/>
    <col min="5" max="5" width="9.125" style="315" customWidth="1"/>
    <col min="6" max="6" width="8.125" style="78" customWidth="1"/>
    <col min="7" max="7" width="9.125" style="78" customWidth="1"/>
    <col min="8" max="8" width="28.375" style="78" customWidth="1"/>
    <col min="9" max="16384" width="9.125" style="78" customWidth="1"/>
  </cols>
  <sheetData>
    <row r="1" spans="4:6" ht="12.75">
      <c r="D1" s="81"/>
      <c r="E1" s="1432" t="s">
        <v>947</v>
      </c>
      <c r="F1" s="1432"/>
    </row>
    <row r="2" spans="4:5" ht="11.25" customHeight="1">
      <c r="D2" s="157"/>
      <c r="E2" s="157"/>
    </row>
    <row r="3" spans="1:6" ht="13.5" customHeight="1">
      <c r="A3" s="1411" t="s">
        <v>552</v>
      </c>
      <c r="B3" s="1411"/>
      <c r="C3" s="1411"/>
      <c r="D3" s="1411"/>
      <c r="E3" s="1411"/>
      <c r="F3" s="1411"/>
    </row>
    <row r="4" spans="1:5" ht="2.25" customHeight="1">
      <c r="A4" s="1408"/>
      <c r="B4" s="1408"/>
      <c r="C4" s="1408"/>
      <c r="D4" s="1408"/>
      <c r="E4" s="1408"/>
    </row>
    <row r="5" spans="1:6" ht="13.5" thickBot="1">
      <c r="A5" s="80"/>
      <c r="B5" s="80"/>
      <c r="C5" s="80"/>
      <c r="D5" s="80"/>
      <c r="E5" s="162"/>
      <c r="F5" s="162" t="s">
        <v>833</v>
      </c>
    </row>
    <row r="6" spans="1:6" ht="15" customHeight="1">
      <c r="A6" s="1412" t="s">
        <v>1106</v>
      </c>
      <c r="B6" s="1414" t="s">
        <v>1019</v>
      </c>
      <c r="C6" s="1409" t="s">
        <v>1165</v>
      </c>
      <c r="D6" s="1410"/>
      <c r="E6" s="1416" t="s">
        <v>1011</v>
      </c>
      <c r="F6" s="1418" t="s">
        <v>1012</v>
      </c>
    </row>
    <row r="7" spans="1:6" ht="12.75">
      <c r="A7" s="1413"/>
      <c r="B7" s="1415"/>
      <c r="C7" s="1309" t="s">
        <v>836</v>
      </c>
      <c r="D7" s="555" t="s">
        <v>837</v>
      </c>
      <c r="E7" s="1417"/>
      <c r="F7" s="1419"/>
    </row>
    <row r="8" spans="1:6" s="411" customFormat="1" ht="12" customHeight="1" thickBot="1">
      <c r="A8" s="1310">
        <v>1</v>
      </c>
      <c r="B8" s="561">
        <v>2</v>
      </c>
      <c r="C8" s="561">
        <v>3</v>
      </c>
      <c r="D8" s="561">
        <v>4</v>
      </c>
      <c r="E8" s="560">
        <v>5</v>
      </c>
      <c r="F8" s="562">
        <v>6</v>
      </c>
    </row>
    <row r="9" spans="1:6" ht="18" customHeight="1">
      <c r="A9" s="400" t="s">
        <v>1107</v>
      </c>
      <c r="B9" s="401" t="s">
        <v>1108</v>
      </c>
      <c r="C9" s="843">
        <f>SUM(C10,C15)</f>
        <v>199875894.56</v>
      </c>
      <c r="D9" s="843">
        <f>SUM(D10,D15)</f>
        <v>198402842.07</v>
      </c>
      <c r="E9" s="860">
        <f>D9*100/C9</f>
        <v>99.26301643665299</v>
      </c>
      <c r="F9" s="861">
        <f>D9/D$9*100</f>
        <v>100</v>
      </c>
    </row>
    <row r="10" spans="1:6" ht="18" customHeight="1">
      <c r="A10" s="164" t="s">
        <v>1109</v>
      </c>
      <c r="B10" s="165" t="s">
        <v>927</v>
      </c>
      <c r="C10" s="844">
        <f>SUM(C11,C12,C13,C14)</f>
        <v>167082615.56</v>
      </c>
      <c r="D10" s="844">
        <f>SUM(D11,D12,D13,D14)</f>
        <v>170906229.57999998</v>
      </c>
      <c r="E10" s="862">
        <f aca="true" t="shared" si="0" ref="E10:E17">D10*100/C10</f>
        <v>102.2884571247491</v>
      </c>
      <c r="F10" s="863">
        <f aca="true" t="shared" si="1" ref="F10:F17">D10/D$9*100</f>
        <v>86.1410188467468</v>
      </c>
    </row>
    <row r="11" spans="1:6" ht="27.75" customHeight="1">
      <c r="A11" s="159" t="s">
        <v>930</v>
      </c>
      <c r="B11" s="161" t="s">
        <v>95</v>
      </c>
      <c r="C11" s="845">
        <f>SUM(6D!E10,6D!E48,6D!E49,6D!E63,6D!E79,6D!E81,6D!E84,6D!E135,6D!E138,6D!E146,6D!E147,6D!E148,6D!E158,6D!E159,6D!E165,6D!E168,6D!E170,6D!E173,6D!E174,6D!E179,6D!E183,6D!E186,6D!E187,6D!E197,6D!E231,6D!E247,6D!E251,6D!E254,6D!E256,6D!E259)+6D!E266+6D!E285+6D!E294+6D!E299+6D!E304+6D!E309+6D!E325+6D!E124+6D!E276+6D!E128+6D!E280+6D!E282+6D!E287+6D!E290+6D!E306+6D!E321+6D!E323+6D!E270+6D!E267+6D!E331</f>
        <v>95131686.56</v>
      </c>
      <c r="D11" s="845">
        <f>SUM(6D!F10,6D!F48,6D!F49,6D!F63,6D!F79,6D!F81,6D!F84,6D!F135,6D!F138,6D!F146,6D!F147,6D!F148,6D!F158,6D!F159,6D!F165,6D!F168,6D!F170,6D!F173,6D!F174,6D!F179,6D!F183,6D!F186,6D!F187,6D!F197,6D!F231,6D!F247,6D!F251,6D!F254,6D!F256,6D!F259)+6D!F266+6D!F285+6D!F294+6D!F299+6D!F304+6D!F309+6D!F325+6D!F124+6D!F276+6D!F128+6D!F280+6D!F282+6D!F287+6D!F290+6D!F306+6D!F321+6D!F323+6D!F270+6D!F267+6D!F331</f>
        <v>97868969.31</v>
      </c>
      <c r="E11" s="864">
        <f t="shared" si="0"/>
        <v>102.87736173821914</v>
      </c>
      <c r="F11" s="865">
        <f t="shared" si="1"/>
        <v>49.32841096876531</v>
      </c>
    </row>
    <row r="12" spans="1:6" ht="24.75" customHeight="1">
      <c r="A12" s="159" t="s">
        <v>931</v>
      </c>
      <c r="B12" s="160" t="s">
        <v>225</v>
      </c>
      <c r="C12" s="845">
        <f>SUM(6D!E73,6D!E75,6D!E89,6D!E191,6D!E193,6D!E221,6D!E302,6D!E315,6D!E317,6D!E326,6D!E328)</f>
        <v>2404271</v>
      </c>
      <c r="D12" s="845">
        <f>SUM(6D!F73,6D!F75,6D!F89,6D!F191,6D!F193,6D!F221,6D!F302,6D!F315,6D!F317,6D!F326,6D!F328)</f>
        <v>2141050.09</v>
      </c>
      <c r="E12" s="864">
        <f t="shared" si="0"/>
        <v>89.05194505943797</v>
      </c>
      <c r="F12" s="865">
        <f t="shared" si="1"/>
        <v>1.079142852824961</v>
      </c>
    </row>
    <row r="13" spans="1:6" ht="18" customHeight="1">
      <c r="A13" s="159" t="s">
        <v>932</v>
      </c>
      <c r="B13" s="160" t="s">
        <v>928</v>
      </c>
      <c r="C13" s="845">
        <f>SUM(6D!E34,6D!E90,6D!E144)</f>
        <v>49950</v>
      </c>
      <c r="D13" s="845">
        <f>SUM(6D!F34,6D!F90,6D!F144)</f>
        <v>33998.22</v>
      </c>
      <c r="E13" s="864">
        <f>D13*100/C13</f>
        <v>68.0645045045045</v>
      </c>
      <c r="F13" s="865">
        <f>D13/D$9*100</f>
        <v>0.01713595412509506</v>
      </c>
    </row>
    <row r="14" spans="1:6" ht="18" customHeight="1">
      <c r="A14" s="159" t="s">
        <v>939</v>
      </c>
      <c r="B14" s="160" t="s">
        <v>929</v>
      </c>
      <c r="C14" s="845">
        <f>C43-C15-C11-C12-C13</f>
        <v>69496708</v>
      </c>
      <c r="D14" s="845">
        <f>D43-D15-D11-D12-D13</f>
        <v>70862211.95999998</v>
      </c>
      <c r="E14" s="864">
        <f>D14*100/C14</f>
        <v>101.96484696800312</v>
      </c>
      <c r="F14" s="865">
        <f>D14/D$9*100</f>
        <v>35.716329071031424</v>
      </c>
    </row>
    <row r="15" spans="1:6" ht="18" customHeight="1">
      <c r="A15" s="164" t="s">
        <v>1110</v>
      </c>
      <c r="B15" s="1329" t="s">
        <v>926</v>
      </c>
      <c r="C15" s="844">
        <f>SUM(C16:C19)</f>
        <v>32793279</v>
      </c>
      <c r="D15" s="844">
        <f>SUM(D16:D19)</f>
        <v>27496612.490000002</v>
      </c>
      <c r="E15" s="1330">
        <f t="shared" si="0"/>
        <v>83.84831687615014</v>
      </c>
      <c r="F15" s="863">
        <f t="shared" si="1"/>
        <v>13.858981153253197</v>
      </c>
    </row>
    <row r="16" spans="1:6" ht="24.75" customHeight="1">
      <c r="A16" s="159" t="s">
        <v>933</v>
      </c>
      <c r="B16" s="160" t="s">
        <v>1236</v>
      </c>
      <c r="C16" s="845">
        <f>SUM(6D!E14,6D!E22,6D!E32,6D!E44,6D!E45,6D!E68,6D!E132,6D!E200,6D!E213)</f>
        <v>13994722</v>
      </c>
      <c r="D16" s="845">
        <f>SUM(6D!F14,6D!F22,6D!F32,6D!F44,6D!F45,6D!F68,6D!F132,6D!F200,6D!F213)</f>
        <v>9452531.110000001</v>
      </c>
      <c r="E16" s="1331">
        <f>D16*100/C16</f>
        <v>67.54354327295677</v>
      </c>
      <c r="F16" s="865">
        <f>D16/D$9*100</f>
        <v>4.764312351264093</v>
      </c>
    </row>
    <row r="17" spans="1:6" ht="27" customHeight="1">
      <c r="A17" s="159" t="s">
        <v>934</v>
      </c>
      <c r="B17" s="160" t="s">
        <v>729</v>
      </c>
      <c r="C17" s="845">
        <f>SUM(6D!E38,6D!E149,6D!E223,6D!E242,6D!E244,6D!E248,6D!E271,6D!E291,6D!E332,6D!E283)</f>
        <v>3414416</v>
      </c>
      <c r="D17" s="845">
        <f>SUM(6D!F38,6D!F149,6D!F223,6D!F242,6D!F244,6D!F248,6D!F271,6D!F291,6D!F332,6D!F283)</f>
        <v>3414402.58</v>
      </c>
      <c r="E17" s="1331">
        <f t="shared" si="0"/>
        <v>99.99960696060468</v>
      </c>
      <c r="F17" s="865">
        <f t="shared" si="1"/>
        <v>1.7209443898970656</v>
      </c>
    </row>
    <row r="18" spans="1:6" ht="18" customHeight="1">
      <c r="A18" s="159" t="s">
        <v>938</v>
      </c>
      <c r="B18" s="160" t="s">
        <v>1153</v>
      </c>
      <c r="C18" s="846">
        <f>6D!E221</f>
        <v>1500000</v>
      </c>
      <c r="D18" s="846">
        <f>6D!F221</f>
        <v>1500000</v>
      </c>
      <c r="E18" s="1331">
        <f>D18*100/C18</f>
        <v>100</v>
      </c>
      <c r="F18" s="865">
        <f>D18/D$9*100</f>
        <v>0.7560375568968783</v>
      </c>
    </row>
    <row r="19" spans="1:6" ht="24.75" customHeight="1">
      <c r="A19" s="159" t="s">
        <v>945</v>
      </c>
      <c r="B19" s="160" t="s">
        <v>1154</v>
      </c>
      <c r="C19" s="846">
        <f>SUM(6D!E26,6D!E28,6D!E52,6D!E205,6D!E222,6D!E235,6D!E241)</f>
        <v>13884141</v>
      </c>
      <c r="D19" s="846">
        <f>SUM(6D!F26,6D!F28,6D!F52,6D!F205,6D!F222,6D!F235,6D!F241)</f>
        <v>13129678.8</v>
      </c>
      <c r="E19" s="1331">
        <f>D19*100/C19</f>
        <v>94.56601456294631</v>
      </c>
      <c r="F19" s="865">
        <f>D19/D$9*100</f>
        <v>6.61768685519516</v>
      </c>
    </row>
    <row r="20" spans="1:6" ht="18" customHeight="1">
      <c r="A20" s="402" t="s">
        <v>1111</v>
      </c>
      <c r="B20" s="403" t="s">
        <v>1112</v>
      </c>
      <c r="C20" s="972">
        <f>SUM(C21,C26)</f>
        <v>217822799.56</v>
      </c>
      <c r="D20" s="972">
        <f>SUM(D21,D26)</f>
        <v>210154386.72</v>
      </c>
      <c r="E20" s="1304">
        <f aca="true" t="shared" si="2" ref="E20:E26">D20*100/C20</f>
        <v>96.47951782114171</v>
      </c>
      <c r="F20" s="1305">
        <f>D20/D$20*100</f>
        <v>100</v>
      </c>
    </row>
    <row r="21" spans="1:6" ht="18" customHeight="1">
      <c r="A21" s="164" t="s">
        <v>1109</v>
      </c>
      <c r="B21" s="172" t="s">
        <v>1125</v>
      </c>
      <c r="C21" s="844">
        <f>SUM(9W!D673)</f>
        <v>143761966.56</v>
      </c>
      <c r="D21" s="844">
        <f>SUM(9W!E673)</f>
        <v>140976355.25</v>
      </c>
      <c r="E21" s="1302">
        <f t="shared" si="2"/>
        <v>98.06234473786402</v>
      </c>
      <c r="F21" s="863">
        <f aca="true" t="shared" si="3" ref="F21:F29">D21/D$20*100</f>
        <v>67.08228053208825</v>
      </c>
    </row>
    <row r="22" spans="1:7" ht="24.75" customHeight="1">
      <c r="A22" s="159" t="s">
        <v>930</v>
      </c>
      <c r="B22" s="161" t="s">
        <v>142</v>
      </c>
      <c r="C22" s="845">
        <f>SUM(9W!D675)</f>
        <v>58717366</v>
      </c>
      <c r="D22" s="845">
        <f>SUM(9W!E675)</f>
        <v>58468482.16</v>
      </c>
      <c r="E22" s="1303">
        <f t="shared" si="2"/>
        <v>99.57613248523444</v>
      </c>
      <c r="F22" s="865">
        <f t="shared" si="3"/>
        <v>27.821680561872213</v>
      </c>
      <c r="G22" s="78" t="s">
        <v>143</v>
      </c>
    </row>
    <row r="23" spans="1:7" ht="18" customHeight="1">
      <c r="A23" s="159" t="s">
        <v>931</v>
      </c>
      <c r="B23" s="383" t="s">
        <v>940</v>
      </c>
      <c r="C23" s="845">
        <f>SUM(9W!D678)</f>
        <v>17808027</v>
      </c>
      <c r="D23" s="845">
        <f>SUM(9W!E678)</f>
        <v>17676876.900000002</v>
      </c>
      <c r="E23" s="1303">
        <f t="shared" si="2"/>
        <v>99.26353379855053</v>
      </c>
      <c r="F23" s="865">
        <f t="shared" si="3"/>
        <v>8.411376595984102</v>
      </c>
      <c r="G23" s="78" t="s">
        <v>611</v>
      </c>
    </row>
    <row r="24" spans="1:6" ht="18" customHeight="1">
      <c r="A24" s="159" t="s">
        <v>932</v>
      </c>
      <c r="B24" s="383" t="s">
        <v>941</v>
      </c>
      <c r="C24" s="845">
        <f>SUM(9W!D679)</f>
        <v>1931161</v>
      </c>
      <c r="D24" s="845">
        <f>SUM(9W!E679)</f>
        <v>1918459.91</v>
      </c>
      <c r="E24" s="1303">
        <f t="shared" si="2"/>
        <v>99.34230807270859</v>
      </c>
      <c r="F24" s="865">
        <f t="shared" si="3"/>
        <v>0.9128812107815134</v>
      </c>
    </row>
    <row r="25" spans="1:6" ht="18" customHeight="1">
      <c r="A25" s="159" t="s">
        <v>939</v>
      </c>
      <c r="B25" s="383" t="s">
        <v>981</v>
      </c>
      <c r="C25" s="845">
        <f>C21-C22-C23-C24</f>
        <v>65305412.56</v>
      </c>
      <c r="D25" s="845">
        <f>D21-D22-D23-D24</f>
        <v>62912536.28</v>
      </c>
      <c r="E25" s="1303">
        <f t="shared" si="2"/>
        <v>96.33586836649792</v>
      </c>
      <c r="F25" s="865">
        <f t="shared" si="3"/>
        <v>29.936342163450412</v>
      </c>
    </row>
    <row r="26" spans="1:6" ht="18" customHeight="1">
      <c r="A26" s="164" t="s">
        <v>1110</v>
      </c>
      <c r="B26" s="172" t="s">
        <v>730</v>
      </c>
      <c r="C26" s="844">
        <f>SUM(9W!D680)</f>
        <v>74060833</v>
      </c>
      <c r="D26" s="844">
        <f>SUM(9W!E680)</f>
        <v>69178031.47</v>
      </c>
      <c r="E26" s="1302">
        <f t="shared" si="2"/>
        <v>93.40703941312677</v>
      </c>
      <c r="F26" s="863">
        <f t="shared" si="3"/>
        <v>32.91771946791175</v>
      </c>
    </row>
    <row r="27" spans="1:6" ht="18" customHeight="1">
      <c r="A27" s="164" t="s">
        <v>933</v>
      </c>
      <c r="B27" s="161" t="s">
        <v>612</v>
      </c>
      <c r="C27" s="984">
        <f>SUM('17Inwestycje WIM'!D85)</f>
        <v>67340831</v>
      </c>
      <c r="D27" s="984">
        <f>SUM('17Inwestycje WIM'!E85)</f>
        <v>63237132.570000015</v>
      </c>
      <c r="E27" s="1303">
        <f>D27*100/C27</f>
        <v>93.90607693867042</v>
      </c>
      <c r="F27" s="865">
        <f t="shared" si="3"/>
        <v>30.090798273106834</v>
      </c>
    </row>
    <row r="28" spans="1:6" ht="18" customHeight="1">
      <c r="A28" s="164" t="s">
        <v>934</v>
      </c>
      <c r="B28" s="383" t="s">
        <v>940</v>
      </c>
      <c r="C28" s="984">
        <f>SUM(9W!D682)</f>
        <v>2141476</v>
      </c>
      <c r="D28" s="984">
        <f>SUM(9W!E682)</f>
        <v>1477337.65</v>
      </c>
      <c r="E28" s="1303">
        <f>D28*100/C28</f>
        <v>68.98688801555562</v>
      </c>
      <c r="F28" s="865">
        <f t="shared" si="3"/>
        <v>0.7029773078057782</v>
      </c>
    </row>
    <row r="29" spans="1:6" ht="18" customHeight="1">
      <c r="A29" s="384" t="s">
        <v>938</v>
      </c>
      <c r="B29" s="385" t="s">
        <v>981</v>
      </c>
      <c r="C29" s="1306">
        <f>C26-C27-C28</f>
        <v>4578526</v>
      </c>
      <c r="D29" s="1306">
        <f>D26-D27-D28</f>
        <v>4463561.249999983</v>
      </c>
      <c r="E29" s="1307">
        <f>D29*100/C29</f>
        <v>97.489044509084</v>
      </c>
      <c r="F29" s="1308">
        <f t="shared" si="3"/>
        <v>2.123943886999145</v>
      </c>
    </row>
    <row r="30" spans="1:6" ht="18" customHeight="1">
      <c r="A30" s="404" t="s">
        <v>1113</v>
      </c>
      <c r="B30" s="405" t="s">
        <v>985</v>
      </c>
      <c r="C30" s="801">
        <f>C9-C20</f>
        <v>-17946905</v>
      </c>
      <c r="D30" s="801">
        <f>D9-D20</f>
        <v>-11751544.650000006</v>
      </c>
      <c r="E30" s="1311" t="s">
        <v>1114</v>
      </c>
      <c r="F30" s="1313" t="s">
        <v>1114</v>
      </c>
    </row>
    <row r="31" spans="1:6" ht="18.75" customHeight="1">
      <c r="A31" s="404" t="s">
        <v>1123</v>
      </c>
      <c r="B31" s="405" t="s">
        <v>1314</v>
      </c>
      <c r="C31" s="801">
        <f>C32-C37</f>
        <v>17946905</v>
      </c>
      <c r="D31" s="801">
        <f>D32-D37</f>
        <v>17741288.189999998</v>
      </c>
      <c r="E31" s="1311" t="s">
        <v>1114</v>
      </c>
      <c r="F31" s="1312" t="s">
        <v>1114</v>
      </c>
    </row>
    <row r="32" spans="1:6" ht="18" customHeight="1">
      <c r="A32" s="163" t="s">
        <v>1109</v>
      </c>
      <c r="B32" s="167" t="s">
        <v>1097</v>
      </c>
      <c r="C32" s="914">
        <f>SUM(C33,C34,C35,C36)</f>
        <v>37155234</v>
      </c>
      <c r="D32" s="914">
        <f>SUM(D33,D34,D35,D36)</f>
        <v>37056834.48</v>
      </c>
      <c r="E32" s="1314">
        <f aca="true" t="shared" si="4" ref="E32:E40">D32/C32*100</f>
        <v>99.73516646403033</v>
      </c>
      <c r="F32" s="1315">
        <f>D32/D$32*100</f>
        <v>100</v>
      </c>
    </row>
    <row r="33" spans="1:6" ht="18" customHeight="1">
      <c r="A33" s="163"/>
      <c r="B33" s="166" t="s">
        <v>935</v>
      </c>
      <c r="C33" s="844">
        <f>SUM(5PiR!D9)</f>
        <v>11163980</v>
      </c>
      <c r="D33" s="844">
        <f>SUM(5PiR!E9)</f>
        <v>11065580.42</v>
      </c>
      <c r="E33" s="1302">
        <f>D33/C33*100</f>
        <v>99.1185976685734</v>
      </c>
      <c r="F33" s="863">
        <f>D33/D$32*100</f>
        <v>29.861105448637883</v>
      </c>
    </row>
    <row r="34" spans="1:6" ht="18" customHeight="1">
      <c r="A34" s="163"/>
      <c r="B34" s="166" t="s">
        <v>581</v>
      </c>
      <c r="C34" s="844">
        <f>SUM(5PiR!D10)</f>
        <v>5230</v>
      </c>
      <c r="D34" s="844">
        <f>SUM(5PiR!E10)</f>
        <v>5230.23</v>
      </c>
      <c r="E34" s="1302">
        <f>D34/C34*100</f>
        <v>100.00439770554492</v>
      </c>
      <c r="F34" s="863">
        <f>D34/D$32*100</f>
        <v>0.014114076589091319</v>
      </c>
    </row>
    <row r="35" spans="1:6" ht="18" customHeight="1">
      <c r="A35" s="163"/>
      <c r="B35" s="166" t="s">
        <v>986</v>
      </c>
      <c r="C35" s="844">
        <f>SUM(5PiR!D11)</f>
        <v>420239</v>
      </c>
      <c r="D35" s="844">
        <f>SUM(5PiR!E11)</f>
        <v>420239</v>
      </c>
      <c r="E35" s="1302">
        <f t="shared" si="4"/>
        <v>100</v>
      </c>
      <c r="F35" s="863">
        <f>D35/D$32*100</f>
        <v>1.1340391209799852</v>
      </c>
    </row>
    <row r="36" spans="1:6" ht="18" customHeight="1">
      <c r="A36" s="163"/>
      <c r="B36" s="166" t="s">
        <v>1203</v>
      </c>
      <c r="C36" s="844">
        <f>SUM(5PiR!D12)</f>
        <v>25565785</v>
      </c>
      <c r="D36" s="844">
        <f>SUM(5PiR!E12)</f>
        <v>25565784.83</v>
      </c>
      <c r="E36" s="1302">
        <f t="shared" si="4"/>
        <v>99.99999933504877</v>
      </c>
      <c r="F36" s="863">
        <f>D36/D$32*100</f>
        <v>68.99074135379306</v>
      </c>
    </row>
    <row r="37" spans="1:6" ht="18" customHeight="1">
      <c r="A37" s="163" t="s">
        <v>1110</v>
      </c>
      <c r="B37" s="167" t="s">
        <v>774</v>
      </c>
      <c r="C37" s="1316">
        <f>SUM(C38,C39,C40)</f>
        <v>19208329</v>
      </c>
      <c r="D37" s="1316">
        <f>SUM(D38,D39,D40)</f>
        <v>19315546.29</v>
      </c>
      <c r="E37" s="1314">
        <f t="shared" si="4"/>
        <v>100.55818124522959</v>
      </c>
      <c r="F37" s="1317">
        <f>D37/D$37*100</f>
        <v>100</v>
      </c>
    </row>
    <row r="38" spans="1:6" ht="18" customHeight="1">
      <c r="A38" s="163"/>
      <c r="B38" s="166" t="s">
        <v>936</v>
      </c>
      <c r="C38" s="1318">
        <f>SUM(5PiR!D16)</f>
        <v>2832133</v>
      </c>
      <c r="D38" s="1318">
        <f>SUM(5PiR!E16)</f>
        <v>2832132.58</v>
      </c>
      <c r="E38" s="1302">
        <f t="shared" si="4"/>
        <v>99.99998517018798</v>
      </c>
      <c r="F38" s="863">
        <f>D38/D$37*100</f>
        <v>14.662451361607335</v>
      </c>
    </row>
    <row r="39" spans="1:6" ht="18" customHeight="1">
      <c r="A39" s="163"/>
      <c r="B39" s="166" t="s">
        <v>937</v>
      </c>
      <c r="C39" s="1318">
        <f>SUM(5PiR!D14)</f>
        <v>11376196</v>
      </c>
      <c r="D39" s="1318">
        <f>SUM(5PiR!E14)</f>
        <v>11483413.71</v>
      </c>
      <c r="E39" s="1302">
        <f t="shared" si="4"/>
        <v>100.94247418029718</v>
      </c>
      <c r="F39" s="863">
        <f>D39/D$37*100</f>
        <v>59.451664154822105</v>
      </c>
    </row>
    <row r="40" spans="1:6" ht="18" customHeight="1">
      <c r="A40" s="163"/>
      <c r="B40" s="166" t="s">
        <v>994</v>
      </c>
      <c r="C40" s="1318">
        <f>SUM(5PiR!D15)</f>
        <v>5000000</v>
      </c>
      <c r="D40" s="1318">
        <f>SUM(5PiR!E15)</f>
        <v>5000000</v>
      </c>
      <c r="E40" s="1302">
        <f t="shared" si="4"/>
        <v>100</v>
      </c>
      <c r="F40" s="863">
        <f>D40/D$37*100</f>
        <v>25.885884483570564</v>
      </c>
    </row>
    <row r="41" spans="1:6" ht="0.75" customHeight="1" thickBot="1">
      <c r="A41" s="168"/>
      <c r="B41" s="169"/>
      <c r="C41" s="753"/>
      <c r="D41" s="753"/>
      <c r="E41" s="754"/>
      <c r="F41" s="755"/>
    </row>
    <row r="42" spans="1:5" ht="14.25" customHeight="1">
      <c r="A42" s="80"/>
      <c r="B42" s="170"/>
      <c r="C42" s="171"/>
      <c r="D42" s="171"/>
      <c r="E42" s="162"/>
    </row>
    <row r="43" spans="2:4" ht="15.75" customHeight="1">
      <c r="B43" s="386" t="s">
        <v>943</v>
      </c>
      <c r="C43" s="387">
        <v>199875894.56</v>
      </c>
      <c r="D43" s="387">
        <v>198402842.07</v>
      </c>
    </row>
    <row r="44" spans="2:4" ht="15.75" customHeight="1">
      <c r="B44" s="386" t="s">
        <v>944</v>
      </c>
      <c r="C44" s="388">
        <f>C9</f>
        <v>199875894.56</v>
      </c>
      <c r="D44" s="388">
        <f>D9</f>
        <v>198402842.07</v>
      </c>
    </row>
    <row r="45" spans="2:4" ht="15.75" customHeight="1" thickBot="1">
      <c r="B45" s="386" t="s">
        <v>799</v>
      </c>
      <c r="C45" s="389">
        <f>C43-C44</f>
        <v>0</v>
      </c>
      <c r="D45" s="389">
        <f>D43-D44</f>
        <v>0</v>
      </c>
    </row>
    <row r="46" spans="2:4" ht="15.75" customHeight="1" thickTop="1">
      <c r="B46" s="386"/>
      <c r="C46" s="390"/>
      <c r="D46" s="390"/>
    </row>
    <row r="47" spans="2:4" ht="15.75" customHeight="1">
      <c r="B47" s="386" t="s">
        <v>942</v>
      </c>
      <c r="C47" s="390">
        <v>217822799.56</v>
      </c>
      <c r="D47" s="390">
        <v>210154386.72</v>
      </c>
    </row>
    <row r="48" spans="2:4" ht="15.75" customHeight="1">
      <c r="B48" s="386" t="s">
        <v>944</v>
      </c>
      <c r="C48" s="391">
        <f>SUM(C20)</f>
        <v>217822799.56</v>
      </c>
      <c r="D48" s="391">
        <f>SUM(D20)</f>
        <v>210154386.72</v>
      </c>
    </row>
    <row r="49" spans="2:4" ht="13.5" thickBot="1">
      <c r="B49" s="386" t="s">
        <v>799</v>
      </c>
      <c r="C49" s="392">
        <f>C47-C48</f>
        <v>0</v>
      </c>
      <c r="D49" s="392">
        <f>D47-D48</f>
        <v>0</v>
      </c>
    </row>
    <row r="50" spans="2:4" ht="13.5" thickTop="1">
      <c r="B50" s="77"/>
      <c r="C50" s="390"/>
      <c r="D50" s="390"/>
    </row>
    <row r="51" spans="2:4" ht="12.75">
      <c r="B51" s="77"/>
      <c r="C51" s="390"/>
      <c r="D51" s="390"/>
    </row>
    <row r="52" spans="2:4" ht="12.75">
      <c r="B52" s="77"/>
      <c r="C52" s="390"/>
      <c r="D52" s="390"/>
    </row>
    <row r="53" spans="2:4" ht="12.75">
      <c r="B53" s="77"/>
      <c r="C53" s="390"/>
      <c r="D53" s="390"/>
    </row>
    <row r="54" spans="2:4" ht="12.75">
      <c r="B54" s="77"/>
      <c r="C54" s="390"/>
      <c r="D54" s="390"/>
    </row>
    <row r="55" ht="12.75">
      <c r="B55" s="77"/>
    </row>
    <row r="56" ht="12.75">
      <c r="B56" s="77"/>
    </row>
    <row r="57" ht="12.75">
      <c r="B57" s="77"/>
    </row>
    <row r="58" ht="12.75">
      <c r="B58" s="77"/>
    </row>
    <row r="59" ht="12.75">
      <c r="B59" s="77"/>
    </row>
    <row r="60" ht="12.75">
      <c r="B60" s="77"/>
    </row>
    <row r="61" ht="12.75">
      <c r="B61" s="77"/>
    </row>
    <row r="62" ht="12.75">
      <c r="B62" s="77"/>
    </row>
    <row r="63" ht="12.75">
      <c r="B63" s="77"/>
    </row>
    <row r="64" ht="12.75">
      <c r="B64" s="77"/>
    </row>
    <row r="65" ht="12.75">
      <c r="B65" s="77"/>
    </row>
    <row r="66" ht="12.75">
      <c r="B66" s="77"/>
    </row>
    <row r="67" ht="12.75">
      <c r="B67" s="77"/>
    </row>
    <row r="68" ht="12.75">
      <c r="B68" s="77"/>
    </row>
    <row r="69" ht="12.75">
      <c r="B69" s="77"/>
    </row>
    <row r="70" ht="12.75">
      <c r="B70" s="77"/>
    </row>
    <row r="71" ht="12.75">
      <c r="B71" s="77"/>
    </row>
    <row r="72" ht="12.75">
      <c r="B72" s="77"/>
    </row>
    <row r="73" ht="12.75">
      <c r="B73" s="77"/>
    </row>
    <row r="74" ht="12.75">
      <c r="B74" s="77"/>
    </row>
    <row r="75" ht="12.75">
      <c r="B75" s="77"/>
    </row>
    <row r="76" ht="12.75">
      <c r="B76" s="77"/>
    </row>
    <row r="77" ht="12.75">
      <c r="B77" s="77"/>
    </row>
    <row r="78" ht="12.75">
      <c r="B78" s="77"/>
    </row>
    <row r="79" ht="12.75">
      <c r="B79" s="77"/>
    </row>
    <row r="80" ht="12.75">
      <c r="B80" s="77"/>
    </row>
    <row r="81" ht="12.75">
      <c r="B81" s="77"/>
    </row>
    <row r="82" ht="12.75">
      <c r="B82" s="77"/>
    </row>
    <row r="83" ht="12.75">
      <c r="B83" s="77"/>
    </row>
    <row r="84" ht="12.75">
      <c r="B84" s="77"/>
    </row>
    <row r="85" ht="12.75">
      <c r="B85" s="77"/>
    </row>
    <row r="86" ht="12.75">
      <c r="B86" s="77"/>
    </row>
    <row r="87" ht="12.75">
      <c r="B87" s="77"/>
    </row>
    <row r="88" ht="12.75">
      <c r="B88" s="77"/>
    </row>
    <row r="89" ht="12.75">
      <c r="B89" s="77"/>
    </row>
    <row r="90" ht="12.75">
      <c r="B90" s="77"/>
    </row>
    <row r="91" ht="12.75">
      <c r="B91" s="77"/>
    </row>
    <row r="92" ht="12.75">
      <c r="B92" s="77"/>
    </row>
    <row r="93" ht="12.75">
      <c r="B93" s="77"/>
    </row>
    <row r="94" ht="12.75">
      <c r="B94" s="77"/>
    </row>
    <row r="95" ht="12.75">
      <c r="B95" s="77"/>
    </row>
    <row r="96" ht="12.75">
      <c r="B96" s="77"/>
    </row>
    <row r="97" ht="12.75">
      <c r="B97" s="77"/>
    </row>
    <row r="98" ht="12.75">
      <c r="B98" s="77"/>
    </row>
    <row r="99" ht="12.75">
      <c r="B99" s="77"/>
    </row>
    <row r="100" ht="12.75">
      <c r="B100" s="77"/>
    </row>
    <row r="101" ht="12.75">
      <c r="B101" s="77"/>
    </row>
    <row r="102" ht="12.75">
      <c r="B102" s="77"/>
    </row>
    <row r="103" ht="12.75">
      <c r="B103" s="77"/>
    </row>
    <row r="104" ht="12.75">
      <c r="B104" s="77"/>
    </row>
    <row r="105" ht="12.75">
      <c r="B105" s="77"/>
    </row>
    <row r="106" ht="12.75">
      <c r="B106" s="77"/>
    </row>
    <row r="107" ht="12.75">
      <c r="B107" s="77"/>
    </row>
    <row r="108" ht="12.75">
      <c r="B108" s="77"/>
    </row>
    <row r="109" ht="12.75">
      <c r="B109" s="77"/>
    </row>
    <row r="110" ht="12.75">
      <c r="B110" s="77"/>
    </row>
    <row r="111" ht="12.75">
      <c r="B111" s="77"/>
    </row>
    <row r="112" ht="12.75">
      <c r="B112" s="77"/>
    </row>
    <row r="113" ht="12.75">
      <c r="B113" s="77"/>
    </row>
    <row r="114" ht="12.75">
      <c r="B114" s="77"/>
    </row>
    <row r="115" ht="12.75">
      <c r="B115" s="77"/>
    </row>
    <row r="116" ht="12.75">
      <c r="B116" s="77"/>
    </row>
    <row r="117" ht="12.75">
      <c r="B117" s="77"/>
    </row>
    <row r="118" ht="12.75">
      <c r="B118" s="77"/>
    </row>
    <row r="119" ht="12.75">
      <c r="B119" s="77"/>
    </row>
    <row r="120" ht="12.75">
      <c r="B120" s="77"/>
    </row>
    <row r="121" ht="12.75">
      <c r="B121" s="77"/>
    </row>
    <row r="122" ht="12.75">
      <c r="B122" s="77"/>
    </row>
    <row r="123" ht="12.75">
      <c r="B123" s="77"/>
    </row>
    <row r="124" ht="12.75">
      <c r="B124" s="77"/>
    </row>
    <row r="125" ht="12.75">
      <c r="B125" s="77"/>
    </row>
    <row r="126" ht="12.75">
      <c r="B126" s="77"/>
    </row>
    <row r="127" ht="12.75">
      <c r="B127" s="77"/>
    </row>
    <row r="128" ht="12.75">
      <c r="B128" s="77"/>
    </row>
    <row r="129" ht="12.75">
      <c r="B129" s="77"/>
    </row>
    <row r="130" ht="12.75">
      <c r="B130" s="77"/>
    </row>
    <row r="131" ht="12.75">
      <c r="B131" s="77"/>
    </row>
    <row r="132" ht="12.75">
      <c r="B132" s="77"/>
    </row>
    <row r="133" ht="12.75">
      <c r="B133" s="77"/>
    </row>
    <row r="134" ht="12.75">
      <c r="B134" s="77"/>
    </row>
    <row r="135" ht="12.75">
      <c r="B135" s="77"/>
    </row>
    <row r="136" ht="12.75">
      <c r="B136" s="77"/>
    </row>
    <row r="137" ht="12.75">
      <c r="B137" s="77"/>
    </row>
    <row r="138" ht="12.75">
      <c r="B138" s="77"/>
    </row>
    <row r="139" ht="12.75">
      <c r="B139" s="77"/>
    </row>
  </sheetData>
  <sheetProtection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E51"/>
  <sheetViews>
    <sheetView view="pageBreakPreview" zoomScaleNormal="120" zoomScaleSheetLayoutView="100" workbookViewId="0" topLeftCell="A1">
      <pane ySplit="7" topLeftCell="BM8" activePane="bottomLeft" state="frozen"/>
      <selection pane="topLeft" activeCell="A1" sqref="A1"/>
      <selection pane="bottomLeft" activeCell="K45" sqref="K45"/>
    </sheetView>
  </sheetViews>
  <sheetFormatPr defaultColWidth="9.00390625" defaultRowHeight="12.75"/>
  <cols>
    <col min="1" max="1" width="5.125" style="518" customWidth="1"/>
    <col min="2" max="2" width="38.375" style="519" customWidth="1"/>
    <col min="3" max="3" width="19.25390625" style="520" customWidth="1"/>
    <col min="4" max="4" width="17.25390625" style="520" customWidth="1"/>
    <col min="5" max="5" width="6.00390625" style="519" customWidth="1"/>
    <col min="6" max="16384" width="9.125" style="519" customWidth="1"/>
  </cols>
  <sheetData>
    <row r="1" spans="4:5" ht="12.75">
      <c r="D1" s="1619" t="s">
        <v>251</v>
      </c>
      <c r="E1" s="1619"/>
    </row>
    <row r="2" ht="39.75" customHeight="1"/>
    <row r="3" spans="1:5" ht="26.25" customHeight="1">
      <c r="A3" s="1618" t="s">
        <v>622</v>
      </c>
      <c r="B3" s="1618"/>
      <c r="C3" s="1618"/>
      <c r="D3" s="1618"/>
      <c r="E3" s="1618"/>
    </row>
    <row r="4" spans="1:5" ht="9" customHeight="1">
      <c r="A4" s="521"/>
      <c r="B4" s="521"/>
      <c r="C4" s="521"/>
      <c r="D4" s="521"/>
      <c r="E4" s="521"/>
    </row>
    <row r="5" spans="4:5" ht="13.5" thickBot="1">
      <c r="D5" s="522"/>
      <c r="E5" s="522" t="s">
        <v>833</v>
      </c>
    </row>
    <row r="6" spans="1:5" s="518" customFormat="1" ht="15" customHeight="1">
      <c r="A6" s="608" t="s">
        <v>1106</v>
      </c>
      <c r="B6" s="609" t="s">
        <v>835</v>
      </c>
      <c r="C6" s="599" t="s">
        <v>836</v>
      </c>
      <c r="D6" s="599" t="s">
        <v>837</v>
      </c>
      <c r="E6" s="600" t="s">
        <v>838</v>
      </c>
    </row>
    <row r="7" spans="1:5" s="610" customFormat="1" ht="12" customHeight="1" thickBot="1">
      <c r="A7" s="606">
        <v>1</v>
      </c>
      <c r="B7" s="607">
        <v>2</v>
      </c>
      <c r="C7" s="604">
        <v>3</v>
      </c>
      <c r="D7" s="604">
        <v>4</v>
      </c>
      <c r="E7" s="605">
        <v>5</v>
      </c>
    </row>
    <row r="8" spans="1:5" s="524" customFormat="1" ht="18.75" customHeight="1">
      <c r="A8" s="611" t="s">
        <v>1109</v>
      </c>
      <c r="B8" s="612" t="s">
        <v>450</v>
      </c>
      <c r="C8" s="1265">
        <v>21100</v>
      </c>
      <c r="D8" s="1265">
        <v>27171.2</v>
      </c>
      <c r="E8" s="1266">
        <f aca="true" t="shared" si="0" ref="E8:E45">D8/C8*100</f>
        <v>128.7734597156398</v>
      </c>
    </row>
    <row r="9" spans="1:5" s="524" customFormat="1" ht="18.75" customHeight="1">
      <c r="A9" s="536" t="s">
        <v>1110</v>
      </c>
      <c r="B9" s="537" t="s">
        <v>451</v>
      </c>
      <c r="C9" s="1267">
        <f>SUM(C10:C15)</f>
        <v>98450</v>
      </c>
      <c r="D9" s="1267">
        <f>SUM(D10:D15)</f>
        <v>121617.58000000002</v>
      </c>
      <c r="E9" s="1268">
        <f t="shared" si="0"/>
        <v>123.53233113255462</v>
      </c>
    </row>
    <row r="10" spans="1:5" ht="15" customHeight="1">
      <c r="A10" s="525" t="s">
        <v>933</v>
      </c>
      <c r="B10" s="526" t="s">
        <v>452</v>
      </c>
      <c r="C10" s="1269">
        <v>28000</v>
      </c>
      <c r="D10" s="1269">
        <v>33313</v>
      </c>
      <c r="E10" s="1270">
        <f t="shared" si="0"/>
        <v>118.97500000000001</v>
      </c>
    </row>
    <row r="11" spans="1:5" ht="15" customHeight="1">
      <c r="A11" s="525" t="s">
        <v>934</v>
      </c>
      <c r="B11" s="526" t="s">
        <v>453</v>
      </c>
      <c r="C11" s="1269">
        <v>3000</v>
      </c>
      <c r="D11" s="1269">
        <v>3225.4</v>
      </c>
      <c r="E11" s="1270">
        <f t="shared" si="0"/>
        <v>107.51333333333332</v>
      </c>
    </row>
    <row r="12" spans="1:5" ht="15" customHeight="1">
      <c r="A12" s="525" t="s">
        <v>938</v>
      </c>
      <c r="B12" s="526" t="s">
        <v>454</v>
      </c>
      <c r="C12" s="1269">
        <v>14000</v>
      </c>
      <c r="D12" s="1269">
        <v>22774.48</v>
      </c>
      <c r="E12" s="1270">
        <f t="shared" si="0"/>
        <v>162.67485714285715</v>
      </c>
    </row>
    <row r="13" spans="1:5" ht="15" customHeight="1">
      <c r="A13" s="525" t="s">
        <v>945</v>
      </c>
      <c r="B13" s="526" t="s">
        <v>455</v>
      </c>
      <c r="C13" s="1269">
        <v>10000</v>
      </c>
      <c r="D13" s="1269">
        <v>6574.42</v>
      </c>
      <c r="E13" s="1270">
        <f t="shared" si="0"/>
        <v>65.74419999999999</v>
      </c>
    </row>
    <row r="14" spans="1:5" ht="15" customHeight="1">
      <c r="A14" s="525" t="s">
        <v>958</v>
      </c>
      <c r="B14" s="526" t="s">
        <v>929</v>
      </c>
      <c r="C14" s="1269">
        <v>7000</v>
      </c>
      <c r="D14" s="1269">
        <v>9443.05</v>
      </c>
      <c r="E14" s="1270">
        <f t="shared" si="0"/>
        <v>134.9007142857143</v>
      </c>
    </row>
    <row r="15" spans="1:5" ht="15" customHeight="1">
      <c r="A15" s="528" t="s">
        <v>456</v>
      </c>
      <c r="B15" s="530" t="s">
        <v>457</v>
      </c>
      <c r="C15" s="1271">
        <v>36450</v>
      </c>
      <c r="D15" s="1271">
        <v>46287.23</v>
      </c>
      <c r="E15" s="1272">
        <f t="shared" si="0"/>
        <v>126.98828532235939</v>
      </c>
    </row>
    <row r="16" spans="1:5" s="524" customFormat="1" ht="18.75" customHeight="1">
      <c r="A16" s="536" t="s">
        <v>1192</v>
      </c>
      <c r="B16" s="537" t="s">
        <v>458</v>
      </c>
      <c r="C16" s="1267">
        <f>SUM(C17:C19)</f>
        <v>99000</v>
      </c>
      <c r="D16" s="1267">
        <f>SUM(D17:D19)</f>
        <v>93345.53</v>
      </c>
      <c r="E16" s="1268">
        <f t="shared" si="0"/>
        <v>94.28841414141415</v>
      </c>
    </row>
    <row r="17" spans="1:5" ht="15" customHeight="1">
      <c r="A17" s="525" t="s">
        <v>459</v>
      </c>
      <c r="B17" s="526" t="s">
        <v>460</v>
      </c>
      <c r="C17" s="1269">
        <v>13000</v>
      </c>
      <c r="D17" s="1269">
        <v>16876.22</v>
      </c>
      <c r="E17" s="1270">
        <f t="shared" si="0"/>
        <v>129.81707692307694</v>
      </c>
    </row>
    <row r="18" spans="1:5" ht="15" customHeight="1">
      <c r="A18" s="525" t="s">
        <v>461</v>
      </c>
      <c r="B18" s="526" t="s">
        <v>462</v>
      </c>
      <c r="C18" s="1269">
        <v>27000</v>
      </c>
      <c r="D18" s="1269">
        <v>16453.25</v>
      </c>
      <c r="E18" s="1270">
        <f t="shared" si="0"/>
        <v>60.93796296296296</v>
      </c>
    </row>
    <row r="19" spans="1:5" ht="15" customHeight="1">
      <c r="A19" s="528" t="s">
        <v>463</v>
      </c>
      <c r="B19" s="530" t="s">
        <v>464</v>
      </c>
      <c r="C19" s="1271">
        <v>59000</v>
      </c>
      <c r="D19" s="1271">
        <v>60016.06</v>
      </c>
      <c r="E19" s="1272">
        <f t="shared" si="0"/>
        <v>101.72213559322034</v>
      </c>
    </row>
    <row r="20" spans="1:5" s="524" customFormat="1" ht="18.75" customHeight="1">
      <c r="A20" s="536" t="s">
        <v>1199</v>
      </c>
      <c r="B20" s="537" t="s">
        <v>465</v>
      </c>
      <c r="C20" s="1267">
        <f>SUM(C21:C29)</f>
        <v>241300</v>
      </c>
      <c r="D20" s="1267">
        <f>SUM(D21:D29)</f>
        <v>251594.84</v>
      </c>
      <c r="E20" s="1268">
        <f t="shared" si="0"/>
        <v>104.26640696228762</v>
      </c>
    </row>
    <row r="21" spans="1:5" ht="15" customHeight="1">
      <c r="A21" s="525" t="s">
        <v>466</v>
      </c>
      <c r="B21" s="526" t="s">
        <v>467</v>
      </c>
      <c r="C21" s="1269">
        <v>2500</v>
      </c>
      <c r="D21" s="1269">
        <v>1691</v>
      </c>
      <c r="E21" s="1270">
        <f t="shared" si="0"/>
        <v>67.64</v>
      </c>
    </row>
    <row r="22" spans="1:5" ht="15" customHeight="1">
      <c r="A22" s="525" t="s">
        <v>468</v>
      </c>
      <c r="B22" s="526" t="s">
        <v>469</v>
      </c>
      <c r="C22" s="1269">
        <v>27000</v>
      </c>
      <c r="D22" s="1269">
        <v>26565.49</v>
      </c>
      <c r="E22" s="1270">
        <f t="shared" si="0"/>
        <v>98.39070370370371</v>
      </c>
    </row>
    <row r="23" spans="1:5" ht="15" customHeight="1">
      <c r="A23" s="525" t="s">
        <v>470</v>
      </c>
      <c r="B23" s="526" t="s">
        <v>373</v>
      </c>
      <c r="C23" s="1269">
        <v>111000</v>
      </c>
      <c r="D23" s="1269">
        <v>116632.32</v>
      </c>
      <c r="E23" s="1270">
        <f t="shared" si="0"/>
        <v>105.07416216216217</v>
      </c>
    </row>
    <row r="24" spans="1:5" ht="15" customHeight="1">
      <c r="A24" s="525" t="s">
        <v>492</v>
      </c>
      <c r="B24" s="526" t="s">
        <v>493</v>
      </c>
      <c r="C24" s="1269">
        <v>7500</v>
      </c>
      <c r="D24" s="1269">
        <v>8133.73</v>
      </c>
      <c r="E24" s="1270">
        <f t="shared" si="0"/>
        <v>108.44973333333331</v>
      </c>
    </row>
    <row r="25" spans="1:5" ht="17.25" customHeight="1">
      <c r="A25" s="525" t="s">
        <v>494</v>
      </c>
      <c r="B25" s="526" t="s">
        <v>500</v>
      </c>
      <c r="C25" s="1269">
        <v>14000</v>
      </c>
      <c r="D25" s="1269">
        <v>18287.07</v>
      </c>
      <c r="E25" s="1270">
        <f t="shared" si="0"/>
        <v>130.62192857142855</v>
      </c>
    </row>
    <row r="26" spans="1:5" ht="15" customHeight="1">
      <c r="A26" s="525" t="s">
        <v>501</v>
      </c>
      <c r="B26" s="526" t="s">
        <v>1182</v>
      </c>
      <c r="C26" s="1269">
        <v>500</v>
      </c>
      <c r="D26" s="1269">
        <v>2373.8</v>
      </c>
      <c r="E26" s="1270">
        <f t="shared" si="0"/>
        <v>474.76000000000005</v>
      </c>
    </row>
    <row r="27" spans="1:5" ht="15" customHeight="1">
      <c r="A27" s="525" t="s">
        <v>502</v>
      </c>
      <c r="B27" s="526" t="s">
        <v>503</v>
      </c>
      <c r="C27" s="1269">
        <v>24000</v>
      </c>
      <c r="D27" s="1269">
        <v>34880</v>
      </c>
      <c r="E27" s="1270">
        <f t="shared" si="0"/>
        <v>145.33333333333334</v>
      </c>
    </row>
    <row r="28" spans="1:5" ht="15" customHeight="1">
      <c r="A28" s="525" t="s">
        <v>504</v>
      </c>
      <c r="B28" s="526" t="s">
        <v>505</v>
      </c>
      <c r="C28" s="1269">
        <v>19800</v>
      </c>
      <c r="D28" s="1269">
        <v>19800</v>
      </c>
      <c r="E28" s="1270">
        <f t="shared" si="0"/>
        <v>100</v>
      </c>
    </row>
    <row r="29" spans="1:5" ht="15" customHeight="1">
      <c r="A29" s="528" t="s">
        <v>506</v>
      </c>
      <c r="B29" s="530" t="s">
        <v>507</v>
      </c>
      <c r="C29" s="1271">
        <v>35000</v>
      </c>
      <c r="D29" s="1271">
        <v>23231.43</v>
      </c>
      <c r="E29" s="1272">
        <f t="shared" si="0"/>
        <v>66.37551428571429</v>
      </c>
    </row>
    <row r="30" spans="1:5" s="524" customFormat="1" ht="18.75" customHeight="1">
      <c r="A30" s="536" t="s">
        <v>1200</v>
      </c>
      <c r="B30" s="537" t="s">
        <v>508</v>
      </c>
      <c r="C30" s="1267">
        <f>SUM(C31,C32)</f>
        <v>490000</v>
      </c>
      <c r="D30" s="1267">
        <f>SUM(D31,D32)</f>
        <v>566478.75</v>
      </c>
      <c r="E30" s="1268">
        <f t="shared" si="0"/>
        <v>115.60790816326532</v>
      </c>
    </row>
    <row r="31" spans="1:5" ht="15" customHeight="1">
      <c r="A31" s="528" t="s">
        <v>509</v>
      </c>
      <c r="B31" s="530" t="s">
        <v>510</v>
      </c>
      <c r="C31" s="1271">
        <v>490000</v>
      </c>
      <c r="D31" s="1271">
        <v>539315.01</v>
      </c>
      <c r="E31" s="1272">
        <f t="shared" si="0"/>
        <v>110.06428775510204</v>
      </c>
    </row>
    <row r="32" spans="1:5" ht="15" customHeight="1">
      <c r="A32" s="528" t="s">
        <v>511</v>
      </c>
      <c r="B32" s="530" t="s">
        <v>132</v>
      </c>
      <c r="C32" s="1271">
        <v>0</v>
      </c>
      <c r="D32" s="1271">
        <v>27163.74</v>
      </c>
      <c r="E32" s="1273" t="s">
        <v>1081</v>
      </c>
    </row>
    <row r="33" spans="1:5" ht="18.75" customHeight="1">
      <c r="A33" s="538" t="s">
        <v>1201</v>
      </c>
      <c r="B33" s="539" t="s">
        <v>512</v>
      </c>
      <c r="C33" s="1274">
        <v>94000</v>
      </c>
      <c r="D33" s="1274">
        <v>94931.96</v>
      </c>
      <c r="E33" s="1275">
        <f t="shared" si="0"/>
        <v>100.99144680851064</v>
      </c>
    </row>
    <row r="34" spans="1:5" ht="25.5" customHeight="1">
      <c r="A34" s="538" t="s">
        <v>1310</v>
      </c>
      <c r="B34" s="539" t="s">
        <v>513</v>
      </c>
      <c r="C34" s="1274">
        <v>17900</v>
      </c>
      <c r="D34" s="1274">
        <v>12239.29</v>
      </c>
      <c r="E34" s="1275">
        <f t="shared" si="0"/>
        <v>68.3759217877095</v>
      </c>
    </row>
    <row r="35" spans="1:5" s="524" customFormat="1" ht="18.75" customHeight="1">
      <c r="A35" s="536" t="s">
        <v>1311</v>
      </c>
      <c r="B35" s="537" t="s">
        <v>514</v>
      </c>
      <c r="C35" s="1267">
        <f>SUM(C36:C37)</f>
        <v>7200</v>
      </c>
      <c r="D35" s="1267">
        <f>SUM(D36:D37)</f>
        <v>5380</v>
      </c>
      <c r="E35" s="1268">
        <f t="shared" si="0"/>
        <v>74.72222222222223</v>
      </c>
    </row>
    <row r="36" spans="1:5" ht="15" customHeight="1">
      <c r="A36" s="525" t="s">
        <v>515</v>
      </c>
      <c r="B36" s="526" t="s">
        <v>516</v>
      </c>
      <c r="C36" s="1269">
        <v>7000</v>
      </c>
      <c r="D36" s="1269">
        <v>5380</v>
      </c>
      <c r="E36" s="1270">
        <f t="shared" si="0"/>
        <v>76.85714285714286</v>
      </c>
    </row>
    <row r="37" spans="1:5" ht="15" customHeight="1">
      <c r="A37" s="528" t="s">
        <v>517</v>
      </c>
      <c r="B37" s="530" t="s">
        <v>518</v>
      </c>
      <c r="C37" s="1271">
        <v>200</v>
      </c>
      <c r="D37" s="1271">
        <v>0</v>
      </c>
      <c r="E37" s="1272">
        <f t="shared" si="0"/>
        <v>0</v>
      </c>
    </row>
    <row r="38" spans="1:5" s="524" customFormat="1" ht="18.75" customHeight="1">
      <c r="A38" s="538" t="s">
        <v>1202</v>
      </c>
      <c r="B38" s="539" t="s">
        <v>519</v>
      </c>
      <c r="C38" s="1274">
        <v>1300</v>
      </c>
      <c r="D38" s="1274">
        <v>2036.12</v>
      </c>
      <c r="E38" s="1275">
        <f t="shared" si="0"/>
        <v>156.6246153846154</v>
      </c>
    </row>
    <row r="39" spans="1:5" s="524" customFormat="1" ht="18.75" customHeight="1">
      <c r="A39" s="538" t="s">
        <v>1204</v>
      </c>
      <c r="B39" s="539" t="s">
        <v>607</v>
      </c>
      <c r="C39" s="1274">
        <v>2000</v>
      </c>
      <c r="D39" s="1274">
        <v>1796.3</v>
      </c>
      <c r="E39" s="1275">
        <f t="shared" si="0"/>
        <v>89.815</v>
      </c>
    </row>
    <row r="40" spans="1:5" s="524" customFormat="1" ht="21.75" customHeight="1">
      <c r="A40" s="538" t="s">
        <v>1312</v>
      </c>
      <c r="B40" s="539" t="s">
        <v>608</v>
      </c>
      <c r="C40" s="1274">
        <v>11000</v>
      </c>
      <c r="D40" s="1274">
        <v>4944.5</v>
      </c>
      <c r="E40" s="1275">
        <f t="shared" si="0"/>
        <v>44.95</v>
      </c>
    </row>
    <row r="41" spans="1:5" s="524" customFormat="1" ht="18.75" customHeight="1">
      <c r="A41" s="538" t="s">
        <v>1205</v>
      </c>
      <c r="B41" s="539" t="s">
        <v>609</v>
      </c>
      <c r="C41" s="1274">
        <f>SUM(C8+C9+C16+C20+C30+C33+C34+C35+C38+C39+C40)</f>
        <v>1083250</v>
      </c>
      <c r="D41" s="1274">
        <f>SUM(D8+D9+D16+D20+D30+D33+D34+D35+D38+D39+D40)</f>
        <v>1181536.07</v>
      </c>
      <c r="E41" s="1275">
        <f t="shared" si="0"/>
        <v>109.07325825063468</v>
      </c>
    </row>
    <row r="42" spans="1:5" s="524" customFormat="1" ht="18.75" customHeight="1">
      <c r="A42" s="536" t="s">
        <v>1206</v>
      </c>
      <c r="B42" s="537" t="s">
        <v>610</v>
      </c>
      <c r="C42" s="1267">
        <f>SUM(C43:C45)</f>
        <v>940404</v>
      </c>
      <c r="D42" s="1267">
        <f>SUM(D43:D45)</f>
        <v>1214555.67</v>
      </c>
      <c r="E42" s="1268">
        <f t="shared" si="0"/>
        <v>129.15254188625315</v>
      </c>
    </row>
    <row r="43" spans="1:5" ht="15" customHeight="1">
      <c r="A43" s="525" t="s">
        <v>1176</v>
      </c>
      <c r="B43" s="526" t="s">
        <v>613</v>
      </c>
      <c r="C43" s="1269">
        <v>571404</v>
      </c>
      <c r="D43" s="1269">
        <v>875691.2</v>
      </c>
      <c r="E43" s="1270">
        <f t="shared" si="0"/>
        <v>153.25254985964395</v>
      </c>
    </row>
    <row r="44" spans="1:5" ht="15" customHeight="1">
      <c r="A44" s="525" t="s">
        <v>1177</v>
      </c>
      <c r="B44" s="526" t="s">
        <v>614</v>
      </c>
      <c r="C44" s="1269">
        <v>104000</v>
      </c>
      <c r="D44" s="1269">
        <v>88127.19</v>
      </c>
      <c r="E44" s="1270">
        <f t="shared" si="0"/>
        <v>84.73768269230769</v>
      </c>
    </row>
    <row r="45" spans="1:5" ht="15" customHeight="1">
      <c r="A45" s="528" t="s">
        <v>1178</v>
      </c>
      <c r="B45" s="530" t="s">
        <v>615</v>
      </c>
      <c r="C45" s="1271">
        <v>265000</v>
      </c>
      <c r="D45" s="1271">
        <v>250737.28</v>
      </c>
      <c r="E45" s="1272">
        <f t="shared" si="0"/>
        <v>94.61784150943396</v>
      </c>
    </row>
    <row r="46" spans="1:5" s="524" customFormat="1" ht="18.75" customHeight="1">
      <c r="A46" s="611" t="s">
        <v>1313</v>
      </c>
      <c r="B46" s="612" t="s">
        <v>616</v>
      </c>
      <c r="C46" s="1265">
        <v>0</v>
      </c>
      <c r="D46" s="1265">
        <v>3.66</v>
      </c>
      <c r="E46" s="1276" t="s">
        <v>1081</v>
      </c>
    </row>
    <row r="47" spans="1:5" s="524" customFormat="1" ht="18.75" customHeight="1">
      <c r="A47" s="536" t="s">
        <v>1207</v>
      </c>
      <c r="B47" s="537" t="s">
        <v>617</v>
      </c>
      <c r="C47" s="1267">
        <f>SUM(C48:C49)</f>
        <v>103810</v>
      </c>
      <c r="D47" s="1267">
        <f>SUM(D48:D49)</f>
        <v>126018.35</v>
      </c>
      <c r="E47" s="1277">
        <f>D47/C47*100</f>
        <v>121.39326654464888</v>
      </c>
    </row>
    <row r="48" spans="1:5" ht="15" customHeight="1">
      <c r="A48" s="525" t="s">
        <v>1180</v>
      </c>
      <c r="B48" s="526" t="s">
        <v>618</v>
      </c>
      <c r="C48" s="1269">
        <v>88450</v>
      </c>
      <c r="D48" s="1269">
        <v>118450</v>
      </c>
      <c r="E48" s="1270">
        <f>D48/C48*100</f>
        <v>133.91746749576032</v>
      </c>
    </row>
    <row r="49" spans="1:5" ht="15" customHeight="1">
      <c r="A49" s="528" t="s">
        <v>1181</v>
      </c>
      <c r="B49" s="530" t="s">
        <v>619</v>
      </c>
      <c r="C49" s="1271">
        <v>15360</v>
      </c>
      <c r="D49" s="1271">
        <v>7568.35</v>
      </c>
      <c r="E49" s="1272">
        <f>D49/C49*100</f>
        <v>49.273111979166664</v>
      </c>
    </row>
    <row r="50" spans="1:5" s="524" customFormat="1" ht="18.75" customHeight="1">
      <c r="A50" s="538" t="s">
        <v>1208</v>
      </c>
      <c r="B50" s="539" t="s">
        <v>620</v>
      </c>
      <c r="C50" s="1274">
        <f>SUM(C42+C46+C47)</f>
        <v>1044214</v>
      </c>
      <c r="D50" s="1274">
        <f>SUM(D42+D46+D47)</f>
        <v>1340577.68</v>
      </c>
      <c r="E50" s="1275">
        <f>D50/C50*100</f>
        <v>128.3815080050641</v>
      </c>
    </row>
    <row r="51" spans="1:5" s="524" customFormat="1" ht="18.75" customHeight="1" thickBot="1">
      <c r="A51" s="1278" t="s">
        <v>1209</v>
      </c>
      <c r="B51" s="1279" t="s">
        <v>621</v>
      </c>
      <c r="C51" s="1280">
        <f>SUM(C50-C41)</f>
        <v>-39036</v>
      </c>
      <c r="D51" s="1280">
        <f>SUM(D50-D41)</f>
        <v>159041.60999999987</v>
      </c>
      <c r="E51" s="1281" t="s">
        <v>1081</v>
      </c>
    </row>
  </sheetData>
  <sheetProtection/>
  <mergeCells count="2">
    <mergeCell ref="A3:E3"/>
    <mergeCell ref="D1:E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rowBreaks count="1" manualBreakCount="1">
    <brk id="4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2"/>
  </sheetPr>
  <dimension ref="A1:L205"/>
  <sheetViews>
    <sheetView view="pageBreakPreview" zoomScaleSheetLayoutView="100" workbookViewId="0" topLeftCell="A23">
      <selection activeCell="E6" sqref="E6"/>
    </sheetView>
  </sheetViews>
  <sheetFormatPr defaultColWidth="9.00390625" defaultRowHeight="12.75"/>
  <cols>
    <col min="1" max="1" width="4.375" style="181" customWidth="1"/>
    <col min="2" max="2" width="27.625" style="182" customWidth="1"/>
    <col min="3" max="3" width="13.25390625" style="182" customWidth="1"/>
    <col min="4" max="4" width="13.625" style="182" customWidth="1"/>
    <col min="5" max="5" width="5.625" style="183" customWidth="1"/>
    <col min="6" max="7" width="13.375" style="182" customWidth="1"/>
    <col min="8" max="8" width="6.00390625" style="183" customWidth="1"/>
    <col min="9" max="9" width="14.375" style="182" customWidth="1"/>
    <col min="10" max="16384" width="9.125" style="182" customWidth="1"/>
  </cols>
  <sheetData>
    <row r="1" spans="7:8" ht="18.75" customHeight="1">
      <c r="G1" s="1421" t="s">
        <v>241</v>
      </c>
      <c r="H1" s="1421"/>
    </row>
    <row r="2" ht="26.25" customHeight="1"/>
    <row r="3" spans="1:10" ht="12.75">
      <c r="A3" s="1399" t="s">
        <v>1052</v>
      </c>
      <c r="B3" s="1399"/>
      <c r="C3" s="1399"/>
      <c r="D3" s="1399"/>
      <c r="E3" s="1399"/>
      <c r="F3" s="1399"/>
      <c r="G3" s="1399"/>
      <c r="H3" s="1399"/>
      <c r="I3" s="158"/>
      <c r="J3" s="158"/>
    </row>
    <row r="4" spans="1:8" ht="10.5" customHeight="1" thickBot="1">
      <c r="A4" s="184"/>
      <c r="B4" s="185"/>
      <c r="C4" s="185"/>
      <c r="D4" s="185"/>
      <c r="E4" s="185"/>
      <c r="F4" s="185"/>
      <c r="G4" s="185"/>
      <c r="H4" s="186" t="s">
        <v>833</v>
      </c>
    </row>
    <row r="5" spans="1:8" ht="15" customHeight="1">
      <c r="A5" s="1406" t="s">
        <v>1018</v>
      </c>
      <c r="B5" s="1401" t="s">
        <v>1132</v>
      </c>
      <c r="C5" s="1403" t="s">
        <v>1133</v>
      </c>
      <c r="D5" s="1404"/>
      <c r="E5" s="1404"/>
      <c r="F5" s="1403" t="s">
        <v>1098</v>
      </c>
      <c r="G5" s="1404"/>
      <c r="H5" s="1405"/>
    </row>
    <row r="6" spans="1:8" ht="14.25" customHeight="1">
      <c r="A6" s="1407"/>
      <c r="B6" s="1402"/>
      <c r="C6" s="487" t="s">
        <v>1099</v>
      </c>
      <c r="D6" s="623" t="s">
        <v>837</v>
      </c>
      <c r="E6" s="623" t="s">
        <v>838</v>
      </c>
      <c r="F6" s="487" t="s">
        <v>1099</v>
      </c>
      <c r="G6" s="623" t="s">
        <v>837</v>
      </c>
      <c r="H6" s="624" t="s">
        <v>838</v>
      </c>
    </row>
    <row r="7" spans="1:8" s="412" customFormat="1" ht="11.25" thickBot="1">
      <c r="A7" s="625">
        <v>1</v>
      </c>
      <c r="B7" s="626">
        <v>2</v>
      </c>
      <c r="C7" s="626">
        <v>3</v>
      </c>
      <c r="D7" s="626">
        <v>4</v>
      </c>
      <c r="E7" s="626">
        <v>5</v>
      </c>
      <c r="F7" s="626">
        <v>6</v>
      </c>
      <c r="G7" s="626">
        <v>7</v>
      </c>
      <c r="H7" s="627">
        <v>8</v>
      </c>
    </row>
    <row r="8" spans="1:8" ht="4.5" customHeight="1">
      <c r="A8" s="174"/>
      <c r="B8" s="175"/>
      <c r="C8" s="175"/>
      <c r="D8" s="175"/>
      <c r="E8" s="176"/>
      <c r="F8" s="393"/>
      <c r="G8" s="393"/>
      <c r="H8" s="394"/>
    </row>
    <row r="9" spans="1:8" ht="19.5" customHeight="1">
      <c r="A9" s="136" t="s">
        <v>839</v>
      </c>
      <c r="B9" s="175" t="s">
        <v>1134</v>
      </c>
      <c r="C9" s="783">
        <f>SUM(6D!E8,6D!E229)</f>
        <v>30506.56</v>
      </c>
      <c r="D9" s="783">
        <f>SUM(6D!F8,6D!F229)</f>
        <v>30506.56</v>
      </c>
      <c r="E9" s="856">
        <f>D9*100/C9</f>
        <v>100</v>
      </c>
      <c r="F9" s="783">
        <f>SUM(9W!D8,9W!D402)</f>
        <v>77881.56</v>
      </c>
      <c r="G9" s="783">
        <f>SUM(9W!E8,9W!E402)</f>
        <v>75818.03</v>
      </c>
      <c r="H9" s="851">
        <f aca="true" t="shared" si="0" ref="H9:H21">G9*100/F9</f>
        <v>97.35042544088742</v>
      </c>
    </row>
    <row r="10" spans="1:8" ht="19.5" customHeight="1">
      <c r="A10" s="136" t="s">
        <v>841</v>
      </c>
      <c r="B10" s="175" t="s">
        <v>1135</v>
      </c>
      <c r="C10" s="783">
        <f>SUM(6D!E11)</f>
        <v>146000</v>
      </c>
      <c r="D10" s="783">
        <f>SUM(6D!F11)</f>
        <v>112244.69</v>
      </c>
      <c r="E10" s="856">
        <f>D10*100/C10</f>
        <v>76.87992465753425</v>
      </c>
      <c r="F10" s="783">
        <f>SUM(9W!D22)</f>
        <v>54442</v>
      </c>
      <c r="G10" s="783">
        <f>SUM(9W!E22)</f>
        <v>29009.04</v>
      </c>
      <c r="H10" s="851">
        <f t="shared" si="0"/>
        <v>53.28430256052312</v>
      </c>
    </row>
    <row r="11" spans="1:8" ht="27.75" customHeight="1">
      <c r="A11" s="136" t="s">
        <v>1175</v>
      </c>
      <c r="B11" s="177" t="s">
        <v>781</v>
      </c>
      <c r="C11" s="783">
        <v>0</v>
      </c>
      <c r="D11" s="783">
        <v>0</v>
      </c>
      <c r="E11" s="856" t="s">
        <v>1081</v>
      </c>
      <c r="F11" s="783">
        <f>SUM(9W!D25)</f>
        <v>4251483</v>
      </c>
      <c r="G11" s="783">
        <f>SUM(9W!E25)</f>
        <v>4078779.13</v>
      </c>
      <c r="H11" s="851">
        <f>G11/F11*100</f>
        <v>95.93779699930589</v>
      </c>
    </row>
    <row r="12" spans="1:8" ht="19.5" customHeight="1">
      <c r="A12" s="136" t="s">
        <v>843</v>
      </c>
      <c r="B12" s="175" t="s">
        <v>1136</v>
      </c>
      <c r="C12" s="783">
        <v>0</v>
      </c>
      <c r="D12" s="783">
        <v>0</v>
      </c>
      <c r="E12" s="856" t="s">
        <v>1081</v>
      </c>
      <c r="F12" s="783">
        <f>SUM(9W!D28)</f>
        <v>391318</v>
      </c>
      <c r="G12" s="783">
        <f>SUM(9W!E28)</f>
        <v>358354.75</v>
      </c>
      <c r="H12" s="851">
        <f t="shared" si="0"/>
        <v>91.57635222504459</v>
      </c>
    </row>
    <row r="13" spans="1:8" ht="19.5" customHeight="1">
      <c r="A13" s="136" t="s">
        <v>1148</v>
      </c>
      <c r="B13" s="175" t="s">
        <v>1149</v>
      </c>
      <c r="C13" s="783">
        <f>SUM(6D!E16)</f>
        <v>11700</v>
      </c>
      <c r="D13" s="783">
        <f>SUM(6D!F16)</f>
        <v>11696.61</v>
      </c>
      <c r="E13" s="856" t="s">
        <v>1081</v>
      </c>
      <c r="F13" s="783">
        <v>0</v>
      </c>
      <c r="G13" s="783">
        <v>0</v>
      </c>
      <c r="H13" s="851" t="s">
        <v>1081</v>
      </c>
    </row>
    <row r="14" spans="1:8" ht="19.5" customHeight="1">
      <c r="A14" s="136" t="s">
        <v>844</v>
      </c>
      <c r="B14" s="175" t="s">
        <v>1126</v>
      </c>
      <c r="C14" s="783">
        <f>SUM(6D!E19,6D!E232)</f>
        <v>14378293</v>
      </c>
      <c r="D14" s="783">
        <f>SUM(6D!F19,6D!F232)</f>
        <v>13841184.06</v>
      </c>
      <c r="E14" s="856">
        <f>D14*100/C14</f>
        <v>96.26444571688725</v>
      </c>
      <c r="F14" s="783">
        <f>SUM(9W!D35,9W!D405)</f>
        <v>73263165</v>
      </c>
      <c r="G14" s="783">
        <f>SUM(9W!E35,9W!E405)</f>
        <v>70739854.07000001</v>
      </c>
      <c r="H14" s="851">
        <f t="shared" si="0"/>
        <v>96.55582593244506</v>
      </c>
    </row>
    <row r="15" spans="1:8" ht="19.5" customHeight="1">
      <c r="A15" s="136" t="s">
        <v>849</v>
      </c>
      <c r="B15" s="175" t="s">
        <v>1137</v>
      </c>
      <c r="C15" s="783">
        <f>SUM(6D!E30)</f>
        <v>49950</v>
      </c>
      <c r="D15" s="783">
        <f>SUM(6D!F30)</f>
        <v>34203.44</v>
      </c>
      <c r="E15" s="856">
        <f>D15*100/C15</f>
        <v>68.47535535535536</v>
      </c>
      <c r="F15" s="783">
        <f>SUM(9W!D53)</f>
        <v>2595200</v>
      </c>
      <c r="G15" s="783">
        <f>SUM(9W!E53)</f>
        <v>1934880.93</v>
      </c>
      <c r="H15" s="851">
        <f t="shared" si="0"/>
        <v>74.55613941122071</v>
      </c>
    </row>
    <row r="16" spans="1:8" ht="19.5" customHeight="1">
      <c r="A16" s="136" t="s">
        <v>851</v>
      </c>
      <c r="B16" s="177" t="s">
        <v>1138</v>
      </c>
      <c r="C16" s="783">
        <f>SUM(6D!E39,6D!E245)</f>
        <v>17210522</v>
      </c>
      <c r="D16" s="783">
        <f>SUM(6D!F39,6D!F245)</f>
        <v>12936436.47</v>
      </c>
      <c r="E16" s="856">
        <f>D16*100/C16</f>
        <v>75.16585766544443</v>
      </c>
      <c r="F16" s="783">
        <f>SUM(9W!D63,9W!D415)</f>
        <v>3406700</v>
      </c>
      <c r="G16" s="783">
        <f>SUM(9W!E63,9W!E415)</f>
        <v>3030398.31</v>
      </c>
      <c r="H16" s="851">
        <f t="shared" si="0"/>
        <v>88.95407021457716</v>
      </c>
    </row>
    <row r="17" spans="1:8" ht="19.5" customHeight="1">
      <c r="A17" s="136" t="s">
        <v>855</v>
      </c>
      <c r="B17" s="177" t="s">
        <v>1139</v>
      </c>
      <c r="C17" s="783">
        <f>SUM(6D!E53,6D!E249)</f>
        <v>591358</v>
      </c>
      <c r="D17" s="783">
        <f>SUM(6D!F53,6D!F249)</f>
        <v>603516.6699999999</v>
      </c>
      <c r="E17" s="856">
        <f>D17*100/C17</f>
        <v>102.05605910463711</v>
      </c>
      <c r="F17" s="783">
        <f>SUM(9W!D76,9W!D419)</f>
        <v>2106792</v>
      </c>
      <c r="G17" s="783">
        <f>SUM(9W!E76,9W!E419)</f>
        <v>1961431.9</v>
      </c>
      <c r="H17" s="851">
        <f t="shared" si="0"/>
        <v>93.10040573535498</v>
      </c>
    </row>
    <row r="18" spans="1:8" ht="19.5" customHeight="1">
      <c r="A18" s="136" t="s">
        <v>867</v>
      </c>
      <c r="B18" s="177" t="s">
        <v>1140</v>
      </c>
      <c r="C18" s="783">
        <f>SUM(6D!E61,6D!E257)</f>
        <v>1726145</v>
      </c>
      <c r="D18" s="783">
        <f>SUM(6D!F61,6D!F257)</f>
        <v>1427533.69</v>
      </c>
      <c r="E18" s="856">
        <f>D18/C18*100</f>
        <v>82.70068215590231</v>
      </c>
      <c r="F18" s="783">
        <f>SUM(9W!D88,9W!D434)</f>
        <v>14632458</v>
      </c>
      <c r="G18" s="783">
        <f>SUM(9W!E88,9W!E434)</f>
        <v>13850493.34</v>
      </c>
      <c r="H18" s="851">
        <f t="shared" si="0"/>
        <v>94.65595828124025</v>
      </c>
    </row>
    <row r="19" spans="1:8" ht="39" customHeight="1">
      <c r="A19" s="136" t="s">
        <v>1101</v>
      </c>
      <c r="B19" s="177" t="s">
        <v>769</v>
      </c>
      <c r="C19" s="783">
        <f>SUM(6D!E77)</f>
        <v>6168</v>
      </c>
      <c r="D19" s="783">
        <f>SUM(6D!F77)</f>
        <v>6166.74</v>
      </c>
      <c r="E19" s="856">
        <f>D19/C19*100</f>
        <v>99.9795719844358</v>
      </c>
      <c r="F19" s="783">
        <f>SUM(9W!D111)</f>
        <v>6168</v>
      </c>
      <c r="G19" s="783">
        <f>SUM(9W!E111)</f>
        <v>6166.74</v>
      </c>
      <c r="H19" s="851">
        <f t="shared" si="0"/>
        <v>99.9795719844358</v>
      </c>
    </row>
    <row r="20" spans="1:8" ht="30" customHeight="1">
      <c r="A20" s="136" t="s">
        <v>884</v>
      </c>
      <c r="B20" s="177" t="s">
        <v>1141</v>
      </c>
      <c r="C20" s="783">
        <f>SUM(6D!E82,6D!E268)</f>
        <v>3649683</v>
      </c>
      <c r="D20" s="783">
        <f>SUM(6D!F82,6D!F268)</f>
        <v>3677381.37</v>
      </c>
      <c r="E20" s="856">
        <f>D20/C20*100</f>
        <v>100.75892536420285</v>
      </c>
      <c r="F20" s="783">
        <f>SUM(9W!D124,9W!D453)</f>
        <v>4310927</v>
      </c>
      <c r="G20" s="783">
        <f>SUM(9W!E124,9W!E453)</f>
        <v>4269292.05</v>
      </c>
      <c r="H20" s="851">
        <f t="shared" si="0"/>
        <v>99.03419960486457</v>
      </c>
    </row>
    <row r="21" spans="1:8" ht="65.25" customHeight="1">
      <c r="A21" s="136" t="s">
        <v>1142</v>
      </c>
      <c r="B21" s="177" t="s">
        <v>780</v>
      </c>
      <c r="C21" s="783">
        <f>SUM(6D!E272,6D!E91)</f>
        <v>85792248</v>
      </c>
      <c r="D21" s="783">
        <f>SUM(6D!F272,6D!F91)</f>
        <v>89508366.57</v>
      </c>
      <c r="E21" s="856">
        <f>D21*100/C21</f>
        <v>104.33153187686608</v>
      </c>
      <c r="F21" s="783">
        <f>SUM(9W!D143)</f>
        <v>445000</v>
      </c>
      <c r="G21" s="783">
        <f>SUM(9W!E143)</f>
        <v>390816.3</v>
      </c>
      <c r="H21" s="851">
        <f t="shared" si="0"/>
        <v>87.82388764044944</v>
      </c>
    </row>
    <row r="22" spans="1:8" ht="19.5" customHeight="1">
      <c r="A22" s="136" t="s">
        <v>888</v>
      </c>
      <c r="B22" s="175" t="s">
        <v>1143</v>
      </c>
      <c r="C22" s="783">
        <v>0</v>
      </c>
      <c r="D22" s="783">
        <v>0</v>
      </c>
      <c r="E22" s="856" t="s">
        <v>1081</v>
      </c>
      <c r="F22" s="783">
        <f>SUM(9W!D149)</f>
        <v>1931161</v>
      </c>
      <c r="G22" s="783">
        <f>SUM(9W!E149)</f>
        <v>1918459.91</v>
      </c>
      <c r="H22" s="851">
        <f aca="true" t="shared" si="1" ref="H22:H31">G22*100/F22</f>
        <v>99.34230807270859</v>
      </c>
    </row>
    <row r="23" spans="1:8" ht="19.5" customHeight="1">
      <c r="A23" s="136" t="s">
        <v>889</v>
      </c>
      <c r="B23" s="175" t="s">
        <v>1144</v>
      </c>
      <c r="C23" s="783">
        <f>SUM(6D!E126,6D!E278)</f>
        <v>56687205</v>
      </c>
      <c r="D23" s="783">
        <f>SUM(6D!F126,6D!F278)</f>
        <v>57077940.04</v>
      </c>
      <c r="E23" s="856">
        <f aca="true" t="shared" si="2" ref="E23:E30">D23*100/C23</f>
        <v>100.68928259913326</v>
      </c>
      <c r="F23" s="783">
        <f>SUM(9W!D154)</f>
        <v>351435</v>
      </c>
      <c r="G23" s="783">
        <f>SUM(9W!E154)</f>
        <v>0</v>
      </c>
      <c r="H23" s="851">
        <f t="shared" si="1"/>
        <v>0</v>
      </c>
    </row>
    <row r="24" spans="1:8" ht="19.5" customHeight="1">
      <c r="A24" s="136" t="s">
        <v>891</v>
      </c>
      <c r="B24" s="175" t="s">
        <v>1127</v>
      </c>
      <c r="C24" s="783">
        <f>SUM(6D!E136,6D!E288)</f>
        <v>228066</v>
      </c>
      <c r="D24" s="783">
        <f>SUM(6D!F136,6D!F288)</f>
        <v>214385.37</v>
      </c>
      <c r="E24" s="856">
        <f t="shared" si="2"/>
        <v>94.00146010365421</v>
      </c>
      <c r="F24" s="783">
        <f>SUM(9W!D157,9W!D470)</f>
        <v>40508098</v>
      </c>
      <c r="G24" s="783">
        <f>SUM(9W!E157,9W!E470)</f>
        <v>40352803.65</v>
      </c>
      <c r="H24" s="851">
        <f t="shared" si="1"/>
        <v>99.6166338147992</v>
      </c>
    </row>
    <row r="25" spans="1:8" ht="19.5" customHeight="1">
      <c r="A25" s="136" t="s">
        <v>900</v>
      </c>
      <c r="B25" s="175" t="s">
        <v>1128</v>
      </c>
      <c r="C25" s="783">
        <f>SUM(6D!E150,6D!E292)</f>
        <v>605700</v>
      </c>
      <c r="D25" s="783">
        <f>SUM(6D!F150,6D!F292)</f>
        <v>605739.43</v>
      </c>
      <c r="E25" s="856">
        <f t="shared" si="2"/>
        <v>100.0065098233449</v>
      </c>
      <c r="F25" s="783">
        <f>SUM(9W!D208,9W!D525)</f>
        <v>13730352</v>
      </c>
      <c r="G25" s="783">
        <f>SUM(9W!E208,9W!E525)</f>
        <v>13488038.69</v>
      </c>
      <c r="H25" s="851">
        <f t="shared" si="1"/>
        <v>98.23519957827739</v>
      </c>
    </row>
    <row r="26" spans="1:8" ht="19.5" customHeight="1">
      <c r="A26" s="136" t="s">
        <v>19</v>
      </c>
      <c r="B26" s="175" t="s">
        <v>35</v>
      </c>
      <c r="C26" s="783">
        <f>SUM(6D!E160,6D!E295)</f>
        <v>8359686</v>
      </c>
      <c r="D26" s="783">
        <f>SUM(6D!F160,6D!F295)</f>
        <v>8360409.0600000005</v>
      </c>
      <c r="E26" s="856">
        <f t="shared" si="2"/>
        <v>100.0086493679308</v>
      </c>
      <c r="F26" s="783">
        <f>SUM(9W!D244,9W!D544)</f>
        <v>14832984</v>
      </c>
      <c r="G26" s="783">
        <f>SUM(9W!E244,9W!E544)</f>
        <v>14483905.729999997</v>
      </c>
      <c r="H26" s="851">
        <f t="shared" si="1"/>
        <v>97.64660792460909</v>
      </c>
    </row>
    <row r="27" spans="1:8" ht="27" customHeight="1">
      <c r="A27" s="136" t="s">
        <v>904</v>
      </c>
      <c r="B27" s="178" t="s">
        <v>777</v>
      </c>
      <c r="C27" s="783">
        <f>SUM(6D!E188,6D!E307)</f>
        <v>736542</v>
      </c>
      <c r="D27" s="783">
        <f>SUM(6D!F188,6D!F307)</f>
        <v>730322.81</v>
      </c>
      <c r="E27" s="856">
        <f t="shared" si="2"/>
        <v>99.15562316880775</v>
      </c>
      <c r="F27" s="783">
        <f>SUM(9W!D293,9W!D573)</f>
        <v>2734546</v>
      </c>
      <c r="G27" s="783">
        <f>SUM(9W!E293,9W!E573)</f>
        <v>2703733.09</v>
      </c>
      <c r="H27" s="851">
        <f t="shared" si="1"/>
        <v>98.87319832981416</v>
      </c>
    </row>
    <row r="28" spans="1:8" ht="19.5" customHeight="1">
      <c r="A28" s="136" t="s">
        <v>916</v>
      </c>
      <c r="B28" s="175" t="s">
        <v>1145</v>
      </c>
      <c r="C28" s="783">
        <f>SUM(6D!E195,6D!E319)</f>
        <v>252097</v>
      </c>
      <c r="D28" s="783">
        <f>SUM(6D!F195,6D!F319)</f>
        <v>188468.72</v>
      </c>
      <c r="E28" s="856">
        <f t="shared" si="2"/>
        <v>74.7603977833929</v>
      </c>
      <c r="F28" s="783">
        <f>SUM(9W!D308,9W!D594)</f>
        <v>6157506</v>
      </c>
      <c r="G28" s="783">
        <f>SUM(9W!E308,9W!E594)</f>
        <v>6093461.49</v>
      </c>
      <c r="H28" s="851">
        <f t="shared" si="1"/>
        <v>98.95989528877439</v>
      </c>
    </row>
    <row r="29" spans="1:8" ht="27.75" customHeight="1">
      <c r="A29" s="136" t="s">
        <v>976</v>
      </c>
      <c r="B29" s="177" t="s">
        <v>1129</v>
      </c>
      <c r="C29" s="783">
        <f>SUM(6D!E198,6D!E333)</f>
        <v>7044502</v>
      </c>
      <c r="D29" s="783">
        <f>SUM(6D!F198,6D!F333)</f>
        <v>6666815.220000001</v>
      </c>
      <c r="E29" s="856">
        <f t="shared" si="2"/>
        <v>94.63855954615389</v>
      </c>
      <c r="F29" s="783">
        <f>SUM(9W!D332,9W!D646)</f>
        <v>12751626</v>
      </c>
      <c r="G29" s="783">
        <f>SUM(9W!E332,9W!E646)</f>
        <v>12371784.749999998</v>
      </c>
      <c r="H29" s="851">
        <f t="shared" si="1"/>
        <v>97.0212328216025</v>
      </c>
    </row>
    <row r="30" spans="1:8" ht="26.25" customHeight="1">
      <c r="A30" s="136" t="s">
        <v>1008</v>
      </c>
      <c r="B30" s="177" t="s">
        <v>1130</v>
      </c>
      <c r="C30" s="783">
        <f>6D!E216</f>
        <v>49800</v>
      </c>
      <c r="D30" s="783">
        <f>6D!F216</f>
        <v>49757.89</v>
      </c>
      <c r="E30" s="856">
        <f t="shared" si="2"/>
        <v>99.91544176706827</v>
      </c>
      <c r="F30" s="783">
        <f>SUM(9W!D354)</f>
        <v>4456981</v>
      </c>
      <c r="G30" s="783">
        <f>SUM(9W!E354)</f>
        <v>3818197.1</v>
      </c>
      <c r="H30" s="851">
        <f t="shared" si="1"/>
        <v>85.66778947453444</v>
      </c>
    </row>
    <row r="31" spans="1:8" ht="19.5" customHeight="1" thickBot="1">
      <c r="A31" s="179" t="s">
        <v>1009</v>
      </c>
      <c r="B31" s="180" t="s">
        <v>1131</v>
      </c>
      <c r="C31" s="877">
        <f>SUM(6D!E219)</f>
        <v>2319723</v>
      </c>
      <c r="D31" s="877">
        <f>SUM(6D!F219)</f>
        <v>2319766.66</v>
      </c>
      <c r="E31" s="878">
        <f>D31*100/C31</f>
        <v>100.00188212127051</v>
      </c>
      <c r="F31" s="877">
        <f>SUM(9W!D387)</f>
        <v>14826576</v>
      </c>
      <c r="G31" s="877">
        <f>SUM(9W!E387)</f>
        <v>14198707.719999999</v>
      </c>
      <c r="H31" s="1094">
        <f t="shared" si="1"/>
        <v>95.76525099254204</v>
      </c>
    </row>
    <row r="32" spans="1:8" ht="3" customHeight="1">
      <c r="A32" s="406"/>
      <c r="B32" s="407"/>
      <c r="C32" s="879"/>
      <c r="D32" s="879"/>
      <c r="E32" s="880"/>
      <c r="F32" s="879"/>
      <c r="G32" s="879"/>
      <c r="H32" s="1095"/>
    </row>
    <row r="33" spans="1:8" s="395" customFormat="1" ht="21" customHeight="1" thickBot="1">
      <c r="A33" s="408"/>
      <c r="B33" s="409" t="s">
        <v>1146</v>
      </c>
      <c r="C33" s="881">
        <f>SUM(C9:C31)</f>
        <v>199875894.56</v>
      </c>
      <c r="D33" s="881">
        <f>SUM(D9:D31)</f>
        <v>198402842.07</v>
      </c>
      <c r="E33" s="882">
        <f>D33*100/C33</f>
        <v>99.26301643665299</v>
      </c>
      <c r="F33" s="881">
        <f>SUM(F9:F31)</f>
        <v>217822799.56</v>
      </c>
      <c r="G33" s="881">
        <f>SUM(G9:G31)</f>
        <v>210154386.72</v>
      </c>
      <c r="H33" s="1096">
        <f>G33*100/F33</f>
        <v>96.47951782114171</v>
      </c>
    </row>
    <row r="34" spans="1:8" s="263" customFormat="1" ht="13.5" customHeight="1" hidden="1">
      <c r="A34" s="187"/>
      <c r="B34" s="188" t="s">
        <v>1124</v>
      </c>
      <c r="C34" s="189"/>
      <c r="D34" s="189"/>
      <c r="E34" s="190"/>
      <c r="F34" s="189"/>
      <c r="G34" s="189"/>
      <c r="H34" s="396"/>
    </row>
    <row r="35" spans="1:9" ht="15" customHeight="1" hidden="1">
      <c r="A35" s="191" t="s">
        <v>1109</v>
      </c>
      <c r="B35" s="192" t="s">
        <v>959</v>
      </c>
      <c r="C35" s="871">
        <f>C33-C36-C37-C38</f>
        <v>186827469</v>
      </c>
      <c r="D35" s="871">
        <f>D33-D36-D37-D38</f>
        <v>185423415.74999997</v>
      </c>
      <c r="E35" s="872">
        <f>D35/C35*100</f>
        <v>99.24847600970283</v>
      </c>
      <c r="F35" s="871">
        <f>F33-F36-F37-F38</f>
        <v>204770654</v>
      </c>
      <c r="G35" s="871">
        <f>G33-G36-G37-G38</f>
        <v>197238142.14000002</v>
      </c>
      <c r="H35" s="756">
        <f>G35/F35*100</f>
        <v>96.32148859572428</v>
      </c>
      <c r="I35" s="252"/>
    </row>
    <row r="36" spans="1:9" ht="28.5" customHeight="1" hidden="1">
      <c r="A36" s="191" t="s">
        <v>1110</v>
      </c>
      <c r="B36" s="193" t="s">
        <v>963</v>
      </c>
      <c r="C36" s="871">
        <f>SUM(6D!E10,6D!E48,6D!E63,6D!E79,6D!E81,6D!E84,6D!E146,6D!E158,6D!E165,6D!E168,6D!E170,6D!E173,6D!E183,6D!E231,6D!E247,6D!E251,6D!E254,6D!E256,6D!E259,6D!E266,6D!E270,6D!E271,6D!E294,6D!E299,6D!E309)</f>
        <v>12043249.56</v>
      </c>
      <c r="D36" s="871">
        <f>SUM(6D!F10,6D!F48,6D!F63,6D!F79,6D!F81,6D!F84,6D!F146,6D!F158,6D!F165,6D!F168,6D!F170,6D!F173,6D!F183,6D!F231,6D!F247,6D!F251,6D!F254,6D!F256,6D!F259,6D!F266,6D!F270,6D!F271,6D!F294,6D!F299,6D!F309)</f>
        <v>11978861.86</v>
      </c>
      <c r="E36" s="872">
        <f>D36/C36*100</f>
        <v>99.46536273553728</v>
      </c>
      <c r="F36" s="871">
        <f>SUM('13DiW zlecone'!D53)</f>
        <v>12046514.56</v>
      </c>
      <c r="G36" s="871">
        <f>SUM('13DiW zlecone'!D54)</f>
        <v>11982126.86</v>
      </c>
      <c r="H36" s="756">
        <f>G36/F36*100</f>
        <v>99.4655076397467</v>
      </c>
      <c r="I36" s="252">
        <f>D36-G36</f>
        <v>-3265</v>
      </c>
    </row>
    <row r="37" spans="1:12" ht="40.5" customHeight="1" hidden="1">
      <c r="A37" s="191" t="s">
        <v>1192</v>
      </c>
      <c r="B37" s="193" t="s">
        <v>962</v>
      </c>
      <c r="C37" s="871">
        <f>SUM(6D!E49,6D!E159,6D!E147,6D!E186,6D!E242,6D!E267)</f>
        <v>940947</v>
      </c>
      <c r="D37" s="871">
        <f>SUM(6D!F49,6D!F159,6D!F147,6D!F186,6D!F242,6D!F267)</f>
        <v>940291.27</v>
      </c>
      <c r="E37" s="873">
        <f>D37/C37*100</f>
        <v>99.93031169662054</v>
      </c>
      <c r="F37" s="871">
        <f>SUM('14DiW porozumienia'!D25)</f>
        <v>941402</v>
      </c>
      <c r="G37" s="871">
        <f>SUM('14DiW porozumienia'!D22)</f>
        <v>878000</v>
      </c>
      <c r="H37" s="756">
        <f>G37/F37*100</f>
        <v>93.26515133811061</v>
      </c>
      <c r="I37" s="397">
        <f>D37-G37</f>
        <v>62291.27000000002</v>
      </c>
      <c r="J37" s="398" t="s">
        <v>1185</v>
      </c>
      <c r="K37" s="398"/>
      <c r="L37" s="398"/>
    </row>
    <row r="38" spans="1:12" ht="51.75" customHeight="1" hidden="1" thickBot="1">
      <c r="A38" s="194" t="s">
        <v>1199</v>
      </c>
      <c r="B38" s="195" t="s">
        <v>966</v>
      </c>
      <c r="C38" s="874">
        <f>SUM(6D!E89,6D!E302,6D!E326,6D!E328)</f>
        <v>64229</v>
      </c>
      <c r="D38" s="874">
        <f>SUM(6D!F89,6D!F302,6D!F326,6D!F328)</f>
        <v>60273.19</v>
      </c>
      <c r="E38" s="875">
        <f>D38/C38*100</f>
        <v>93.84108424543432</v>
      </c>
      <c r="F38" s="874">
        <f>SUM('15DiW porozumienia z jst'!D12)</f>
        <v>64229</v>
      </c>
      <c r="G38" s="874">
        <f>SUM('15DiW porozumienia z jst'!D13)</f>
        <v>56117.72</v>
      </c>
      <c r="H38" s="876">
        <f>G38/F38*100</f>
        <v>87.37131202416354</v>
      </c>
      <c r="I38" s="397"/>
      <c r="J38" s="398"/>
      <c r="K38" s="398"/>
      <c r="L38" s="398"/>
    </row>
    <row r="39" spans="1:10" ht="42" customHeight="1">
      <c r="A39" s="251"/>
      <c r="B39" s="181" t="s">
        <v>967</v>
      </c>
      <c r="C39" s="866">
        <v>199875894.56</v>
      </c>
      <c r="D39" s="866">
        <v>198402842.07</v>
      </c>
      <c r="E39" s="252"/>
      <c r="F39" s="252">
        <v>217822799.56</v>
      </c>
      <c r="G39" s="252">
        <v>210154386.72</v>
      </c>
      <c r="H39" s="308">
        <f>G39/F39*100</f>
        <v>96.47951782114171</v>
      </c>
      <c r="I39" s="1420"/>
      <c r="J39" s="1420"/>
    </row>
    <row r="40" spans="1:8" ht="12.75">
      <c r="A40" s="251"/>
      <c r="B40" s="181" t="s">
        <v>799</v>
      </c>
      <c r="C40" s="252">
        <f>C33-C39</f>
        <v>0</v>
      </c>
      <c r="D40" s="252">
        <f>D33-D39</f>
        <v>0</v>
      </c>
      <c r="E40" s="253"/>
      <c r="F40" s="253">
        <f>F33-F39</f>
        <v>0</v>
      </c>
      <c r="G40" s="252">
        <f>G33-G39</f>
        <v>0</v>
      </c>
      <c r="H40" s="868"/>
    </row>
    <row r="41" spans="1:8" ht="12.75">
      <c r="A41" s="251"/>
      <c r="B41" s="181"/>
      <c r="C41" s="253"/>
      <c r="D41" s="253"/>
      <c r="E41" s="308"/>
      <c r="F41" s="869"/>
      <c r="G41" s="869"/>
      <c r="H41" s="868"/>
    </row>
    <row r="42" spans="1:8" ht="12.75">
      <c r="A42" s="251"/>
      <c r="B42" s="181"/>
      <c r="C42" s="253"/>
      <c r="D42" s="253"/>
      <c r="E42" s="308"/>
      <c r="F42" s="869"/>
      <c r="G42" s="869"/>
      <c r="H42" s="868"/>
    </row>
    <row r="43" spans="1:8" ht="12.75">
      <c r="A43" s="251"/>
      <c r="B43" s="181" t="s">
        <v>1163</v>
      </c>
      <c r="C43" s="252">
        <f>SUM(C35:C38)</f>
        <v>199875894.56</v>
      </c>
      <c r="D43" s="252">
        <f>SUM(D35:D38)</f>
        <v>198402842.06999996</v>
      </c>
      <c r="E43" s="252"/>
      <c r="F43" s="252">
        <f>SUM(F35:F38)</f>
        <v>217822799.56</v>
      </c>
      <c r="G43" s="252">
        <f>SUM(G35:G38)</f>
        <v>210154386.72</v>
      </c>
      <c r="H43" s="867"/>
    </row>
    <row r="44" spans="1:8" s="252" customFormat="1" ht="12.75">
      <c r="A44" s="399"/>
      <c r="B44" s="252" t="s">
        <v>799</v>
      </c>
      <c r="C44" s="252">
        <f>C43-C39</f>
        <v>0</v>
      </c>
      <c r="D44" s="252">
        <f>D43-D39</f>
        <v>0</v>
      </c>
      <c r="F44" s="252">
        <f>F43-F39</f>
        <v>0</v>
      </c>
      <c r="G44" s="252">
        <f>G43-G39</f>
        <v>0</v>
      </c>
      <c r="H44" s="870"/>
    </row>
    <row r="45" spans="1:8" ht="12.75">
      <c r="A45" s="251"/>
      <c r="B45" s="181"/>
      <c r="C45" s="253"/>
      <c r="D45" s="253"/>
      <c r="E45" s="308"/>
      <c r="F45" s="869"/>
      <c r="G45" s="869"/>
      <c r="H45" s="868"/>
    </row>
    <row r="46" spans="1:8" ht="12.75">
      <c r="A46" s="251"/>
      <c r="B46" s="181"/>
      <c r="C46" s="253"/>
      <c r="D46" s="253"/>
      <c r="E46" s="308"/>
      <c r="F46" s="869"/>
      <c r="G46" s="869"/>
      <c r="H46" s="868"/>
    </row>
    <row r="47" spans="1:8" ht="12.75">
      <c r="A47" s="251"/>
      <c r="B47" s="181"/>
      <c r="C47" s="253"/>
      <c r="D47" s="253"/>
      <c r="E47" s="308"/>
      <c r="F47" s="253"/>
      <c r="G47" s="253"/>
      <c r="H47" s="308"/>
    </row>
    <row r="48" spans="1:8" ht="12.75">
      <c r="A48" s="251"/>
      <c r="B48" s="181"/>
      <c r="C48" s="253"/>
      <c r="D48" s="253"/>
      <c r="E48" s="308"/>
      <c r="F48" s="253"/>
      <c r="G48" s="253"/>
      <c r="H48" s="308"/>
    </row>
    <row r="49" spans="1:8" ht="12.75">
      <c r="A49" s="251"/>
      <c r="B49" s="181"/>
      <c r="C49" s="253"/>
      <c r="D49" s="253"/>
      <c r="E49" s="308"/>
      <c r="F49" s="253"/>
      <c r="G49" s="253"/>
      <c r="H49" s="308"/>
    </row>
    <row r="50" spans="1:8" ht="12.75">
      <c r="A50" s="251"/>
      <c r="C50" s="253"/>
      <c r="D50" s="253"/>
      <c r="E50" s="308"/>
      <c r="F50" s="253"/>
      <c r="G50" s="253"/>
      <c r="H50" s="308"/>
    </row>
    <row r="51" spans="1:8" ht="12.75">
      <c r="A51" s="251"/>
      <c r="C51" s="253"/>
      <c r="D51" s="253"/>
      <c r="E51" s="308"/>
      <c r="F51" s="253"/>
      <c r="G51" s="253"/>
      <c r="H51" s="308"/>
    </row>
    <row r="52" spans="1:8" ht="12.75">
      <c r="A52" s="251"/>
      <c r="E52" s="308"/>
      <c r="F52" s="253"/>
      <c r="G52" s="253"/>
      <c r="H52" s="308"/>
    </row>
    <row r="53" spans="1:8" ht="12.75">
      <c r="A53" s="251"/>
      <c r="E53" s="308"/>
      <c r="F53" s="253"/>
      <c r="G53" s="253"/>
      <c r="H53" s="308"/>
    </row>
    <row r="54" spans="1:8" ht="12.75">
      <c r="A54" s="251"/>
      <c r="E54" s="308"/>
      <c r="F54" s="253"/>
      <c r="G54" s="253"/>
      <c r="H54" s="308"/>
    </row>
    <row r="55" spans="1:8" ht="12.75">
      <c r="A55" s="251"/>
      <c r="E55" s="308"/>
      <c r="F55" s="253"/>
      <c r="G55" s="253"/>
      <c r="H55" s="308"/>
    </row>
    <row r="56" spans="1:8" ht="12.75">
      <c r="A56" s="251"/>
      <c r="E56" s="308"/>
      <c r="F56" s="253"/>
      <c r="G56" s="253"/>
      <c r="H56" s="308"/>
    </row>
    <row r="57" spans="1:8" ht="12.75">
      <c r="A57" s="251"/>
      <c r="E57" s="308"/>
      <c r="F57" s="253"/>
      <c r="G57" s="253"/>
      <c r="H57" s="308"/>
    </row>
    <row r="58" spans="1:8" ht="12.75">
      <c r="A58" s="251"/>
      <c r="E58" s="308"/>
      <c r="F58" s="253"/>
      <c r="G58" s="253"/>
      <c r="H58" s="308"/>
    </row>
    <row r="59" spans="1:8" ht="12.75">
      <c r="A59" s="251"/>
      <c r="E59" s="308"/>
      <c r="F59" s="253"/>
      <c r="G59" s="253"/>
      <c r="H59" s="308"/>
    </row>
    <row r="60" spans="1:8" ht="12.75">
      <c r="A60" s="251"/>
      <c r="E60" s="308"/>
      <c r="F60" s="253"/>
      <c r="G60" s="253"/>
      <c r="H60" s="308"/>
    </row>
    <row r="61" spans="1:8" ht="12.75">
      <c r="A61" s="251"/>
      <c r="E61" s="308"/>
      <c r="F61" s="253"/>
      <c r="G61" s="253"/>
      <c r="H61" s="308"/>
    </row>
    <row r="62" spans="1:8" ht="12.75">
      <c r="A62" s="251"/>
      <c r="E62" s="308"/>
      <c r="F62" s="253"/>
      <c r="G62" s="253"/>
      <c r="H62" s="308"/>
    </row>
    <row r="63" spans="1:8" ht="12.75">
      <c r="A63" s="251"/>
      <c r="E63" s="308"/>
      <c r="F63" s="253"/>
      <c r="G63" s="253"/>
      <c r="H63" s="308"/>
    </row>
    <row r="64" spans="1:8" ht="12.75">
      <c r="A64" s="251"/>
      <c r="E64" s="308"/>
      <c r="F64" s="253"/>
      <c r="G64" s="253"/>
      <c r="H64" s="308"/>
    </row>
    <row r="65" spans="1:8" ht="12.75">
      <c r="A65" s="251"/>
      <c r="E65" s="308"/>
      <c r="F65" s="253"/>
      <c r="G65" s="253"/>
      <c r="H65" s="308"/>
    </row>
    <row r="66" spans="1:8" ht="12.75">
      <c r="A66" s="251"/>
      <c r="E66" s="308"/>
      <c r="F66" s="253"/>
      <c r="G66" s="253"/>
      <c r="H66" s="308"/>
    </row>
    <row r="67" spans="1:8" ht="12.75">
      <c r="A67" s="251"/>
      <c r="E67" s="308"/>
      <c r="F67" s="253"/>
      <c r="G67" s="253"/>
      <c r="H67" s="308"/>
    </row>
    <row r="68" spans="1:8" ht="12.75">
      <c r="A68" s="251"/>
      <c r="E68" s="308"/>
      <c r="F68" s="253"/>
      <c r="G68" s="253"/>
      <c r="H68" s="308"/>
    </row>
    <row r="69" spans="1:8" ht="12.75">
      <c r="A69" s="251"/>
      <c r="E69" s="308"/>
      <c r="F69" s="253"/>
      <c r="G69" s="253"/>
      <c r="H69" s="308"/>
    </row>
    <row r="70" spans="1:8" ht="12.75">
      <c r="A70" s="251"/>
      <c r="E70" s="308"/>
      <c r="F70" s="253"/>
      <c r="G70" s="253"/>
      <c r="H70" s="308"/>
    </row>
    <row r="71" spans="1:8" ht="12.75">
      <c r="A71" s="251"/>
      <c r="E71" s="308"/>
      <c r="F71" s="253"/>
      <c r="G71" s="253"/>
      <c r="H71" s="308"/>
    </row>
    <row r="72" spans="1:8" ht="12.75">
      <c r="A72" s="251"/>
      <c r="E72" s="308"/>
      <c r="F72" s="253"/>
      <c r="G72" s="253"/>
      <c r="H72" s="308"/>
    </row>
    <row r="73" spans="1:8" ht="12.75">
      <c r="A73" s="251"/>
      <c r="E73" s="308"/>
      <c r="F73" s="253"/>
      <c r="G73" s="253"/>
      <c r="H73" s="308"/>
    </row>
    <row r="74" spans="1:8" ht="12.75">
      <c r="A74" s="251"/>
      <c r="E74" s="308"/>
      <c r="F74" s="253"/>
      <c r="G74" s="253"/>
      <c r="H74" s="308"/>
    </row>
    <row r="75" spans="1:8" ht="12.75">
      <c r="A75" s="251"/>
      <c r="E75" s="308"/>
      <c r="F75" s="253"/>
      <c r="G75" s="253"/>
      <c r="H75" s="308"/>
    </row>
    <row r="76" spans="1:8" ht="12.75">
      <c r="A76" s="251"/>
      <c r="E76" s="308"/>
      <c r="F76" s="253"/>
      <c r="G76" s="253"/>
      <c r="H76" s="308"/>
    </row>
    <row r="77" spans="1:8" ht="12.75">
      <c r="A77" s="251"/>
      <c r="E77" s="308"/>
      <c r="F77" s="253"/>
      <c r="G77" s="253"/>
      <c r="H77" s="308"/>
    </row>
    <row r="78" spans="1:8" ht="12.75">
      <c r="A78" s="251"/>
      <c r="E78" s="308"/>
      <c r="F78" s="253"/>
      <c r="G78" s="253"/>
      <c r="H78" s="308"/>
    </row>
    <row r="79" spans="1:8" ht="12.75">
      <c r="A79" s="251"/>
      <c r="E79" s="308"/>
      <c r="F79" s="253"/>
      <c r="G79" s="253"/>
      <c r="H79" s="308"/>
    </row>
    <row r="80" spans="1:8" ht="12.75">
      <c r="A80" s="251"/>
      <c r="E80" s="308"/>
      <c r="F80" s="253"/>
      <c r="G80" s="253"/>
      <c r="H80" s="308"/>
    </row>
    <row r="81" spans="1:8" ht="12.75">
      <c r="A81" s="251"/>
      <c r="E81" s="308"/>
      <c r="F81" s="253"/>
      <c r="G81" s="253"/>
      <c r="H81" s="308"/>
    </row>
    <row r="82" spans="1:8" ht="12.75">
      <c r="A82" s="251"/>
      <c r="E82" s="308"/>
      <c r="F82" s="253"/>
      <c r="G82" s="253"/>
      <c r="H82" s="308"/>
    </row>
    <row r="83" spans="1:8" ht="12.75">
      <c r="A83" s="251"/>
      <c r="E83" s="308"/>
      <c r="F83" s="253"/>
      <c r="G83" s="253"/>
      <c r="H83" s="308"/>
    </row>
    <row r="84" spans="1:8" ht="12.75">
      <c r="A84" s="251"/>
      <c r="E84" s="308"/>
      <c r="F84" s="253"/>
      <c r="G84" s="253"/>
      <c r="H84" s="308"/>
    </row>
    <row r="85" spans="1:8" ht="12.75">
      <c r="A85" s="251"/>
      <c r="E85" s="308"/>
      <c r="F85" s="253"/>
      <c r="G85" s="253"/>
      <c r="H85" s="308"/>
    </row>
    <row r="86" spans="1:8" ht="12.75">
      <c r="A86" s="251"/>
      <c r="E86" s="308"/>
      <c r="F86" s="253"/>
      <c r="G86" s="253"/>
      <c r="H86" s="308"/>
    </row>
    <row r="87" spans="1:8" ht="12.75">
      <c r="A87" s="251"/>
      <c r="E87" s="308"/>
      <c r="H87" s="308"/>
    </row>
    <row r="88" spans="1:8" ht="12.75">
      <c r="A88" s="251"/>
      <c r="E88" s="308"/>
      <c r="H88" s="308"/>
    </row>
    <row r="89" spans="1:8" ht="12.75">
      <c r="A89" s="251"/>
      <c r="E89" s="308"/>
      <c r="H89" s="308"/>
    </row>
    <row r="90" spans="1:8" ht="12.75">
      <c r="A90" s="251"/>
      <c r="E90" s="308"/>
      <c r="H90" s="308"/>
    </row>
    <row r="91" spans="1:8" ht="12.75">
      <c r="A91" s="251"/>
      <c r="E91" s="308"/>
      <c r="H91" s="308"/>
    </row>
    <row r="92" spans="1:8" ht="12.75">
      <c r="A92" s="251"/>
      <c r="E92" s="308"/>
      <c r="H92" s="308"/>
    </row>
    <row r="93" spans="1:8" ht="12.75">
      <c r="A93" s="251"/>
      <c r="E93" s="308"/>
      <c r="H93" s="308"/>
    </row>
    <row r="94" spans="1:8" ht="12.75">
      <c r="A94" s="251"/>
      <c r="E94" s="308"/>
      <c r="H94" s="308"/>
    </row>
    <row r="95" spans="5:8" ht="12.75">
      <c r="E95" s="308"/>
      <c r="H95" s="308"/>
    </row>
    <row r="96" spans="5:8" ht="12.75">
      <c r="E96" s="308"/>
      <c r="H96" s="308"/>
    </row>
    <row r="97" spans="5:8" ht="12.75">
      <c r="E97" s="308"/>
      <c r="H97" s="308"/>
    </row>
    <row r="98" spans="5:8" ht="12.75">
      <c r="E98" s="308"/>
      <c r="H98" s="308"/>
    </row>
    <row r="99" spans="5:8" ht="12.75">
      <c r="E99" s="308"/>
      <c r="H99" s="308"/>
    </row>
    <row r="100" spans="5:8" ht="12.75">
      <c r="E100" s="308"/>
      <c r="H100" s="308"/>
    </row>
    <row r="101" spans="5:8" ht="12.75">
      <c r="E101" s="308"/>
      <c r="H101" s="308"/>
    </row>
    <row r="102" spans="5:8" ht="12.75">
      <c r="E102" s="308"/>
      <c r="H102" s="308"/>
    </row>
    <row r="103" spans="5:8" ht="12.75">
      <c r="E103" s="308"/>
      <c r="H103" s="308"/>
    </row>
    <row r="104" spans="5:8" ht="12.75">
      <c r="E104" s="308"/>
      <c r="H104" s="308"/>
    </row>
    <row r="105" spans="5:8" ht="12.75">
      <c r="E105" s="308"/>
      <c r="H105" s="308"/>
    </row>
    <row r="106" spans="5:8" ht="12.75">
      <c r="E106" s="308"/>
      <c r="H106" s="308"/>
    </row>
    <row r="107" spans="5:8" ht="12.75">
      <c r="E107" s="308"/>
      <c r="H107" s="308"/>
    </row>
    <row r="108" spans="5:8" ht="12.75">
      <c r="E108" s="308"/>
      <c r="H108" s="308"/>
    </row>
    <row r="109" spans="5:8" ht="12.75">
      <c r="E109" s="308"/>
      <c r="H109" s="308"/>
    </row>
    <row r="110" spans="5:8" ht="12.75">
      <c r="E110" s="308"/>
      <c r="H110" s="308"/>
    </row>
    <row r="111" spans="5:8" ht="12.75">
      <c r="E111" s="308"/>
      <c r="H111" s="308"/>
    </row>
    <row r="112" spans="5:8" ht="12.75">
      <c r="E112" s="308"/>
      <c r="H112" s="308"/>
    </row>
    <row r="113" spans="5:8" ht="12.75">
      <c r="E113" s="308"/>
      <c r="H113" s="308"/>
    </row>
    <row r="114" spans="5:8" ht="12.75">
      <c r="E114" s="308"/>
      <c r="H114" s="308"/>
    </row>
    <row r="115" spans="5:8" ht="12.75">
      <c r="E115" s="308"/>
      <c r="H115" s="308"/>
    </row>
    <row r="116" spans="5:8" ht="12.75">
      <c r="E116" s="308"/>
      <c r="H116" s="308"/>
    </row>
    <row r="117" spans="5:8" ht="12.75">
      <c r="E117" s="308"/>
      <c r="H117" s="308"/>
    </row>
    <row r="118" spans="5:8" ht="12.75">
      <c r="E118" s="308"/>
      <c r="H118" s="308"/>
    </row>
    <row r="119" spans="5:8" ht="12.75">
      <c r="E119" s="308"/>
      <c r="H119" s="308"/>
    </row>
    <row r="120" spans="5:8" ht="12.75">
      <c r="E120" s="308"/>
      <c r="H120" s="308"/>
    </row>
    <row r="121" spans="5:8" ht="12.75">
      <c r="E121" s="308"/>
      <c r="H121" s="308"/>
    </row>
    <row r="122" spans="5:8" ht="12.75">
      <c r="E122" s="308"/>
      <c r="H122" s="308"/>
    </row>
    <row r="123" spans="5:8" ht="12.75">
      <c r="E123" s="308"/>
      <c r="H123" s="308"/>
    </row>
    <row r="124" spans="5:8" ht="12.75">
      <c r="E124" s="308"/>
      <c r="H124" s="308"/>
    </row>
    <row r="125" spans="5:8" ht="12.75">
      <c r="E125" s="308"/>
      <c r="H125" s="308"/>
    </row>
    <row r="126" spans="5:8" ht="12.75">
      <c r="E126" s="308"/>
      <c r="H126" s="308"/>
    </row>
    <row r="127" spans="5:8" ht="12.75">
      <c r="E127" s="308"/>
      <c r="H127" s="308"/>
    </row>
    <row r="128" spans="5:8" ht="12.75">
      <c r="E128" s="308"/>
      <c r="H128" s="308"/>
    </row>
    <row r="129" spans="5:8" ht="12.75">
      <c r="E129" s="308"/>
      <c r="H129" s="308"/>
    </row>
    <row r="130" spans="5:8" ht="12.75">
      <c r="E130" s="308"/>
      <c r="H130" s="308"/>
    </row>
    <row r="131" spans="5:8" ht="12.75">
      <c r="E131" s="308"/>
      <c r="H131" s="308"/>
    </row>
    <row r="132" spans="5:8" ht="12.75">
      <c r="E132" s="308"/>
      <c r="H132" s="308"/>
    </row>
    <row r="133" spans="5:8" ht="12.75">
      <c r="E133" s="308"/>
      <c r="H133" s="308"/>
    </row>
    <row r="134" spans="5:8" ht="12.75">
      <c r="E134" s="308"/>
      <c r="H134" s="308"/>
    </row>
    <row r="135" spans="5:8" ht="12.75">
      <c r="E135" s="308"/>
      <c r="H135" s="308"/>
    </row>
    <row r="136" spans="5:8" ht="12.75">
      <c r="E136" s="308"/>
      <c r="H136" s="308"/>
    </row>
    <row r="137" spans="5:8" ht="12.75">
      <c r="E137" s="308"/>
      <c r="H137" s="308"/>
    </row>
    <row r="138" spans="5:8" ht="12.75">
      <c r="E138" s="308"/>
      <c r="H138" s="308"/>
    </row>
    <row r="139" spans="5:8" ht="12.75">
      <c r="E139" s="308"/>
      <c r="H139" s="308"/>
    </row>
    <row r="140" spans="5:8" ht="12.75">
      <c r="E140" s="308"/>
      <c r="H140" s="308"/>
    </row>
    <row r="141" spans="5:8" ht="12.75">
      <c r="E141" s="308"/>
      <c r="H141" s="308"/>
    </row>
    <row r="142" spans="5:8" ht="12.75">
      <c r="E142" s="308"/>
      <c r="H142" s="308"/>
    </row>
    <row r="143" spans="5:8" ht="12.75">
      <c r="E143" s="308"/>
      <c r="H143" s="308"/>
    </row>
    <row r="144" spans="5:8" ht="12.75">
      <c r="E144" s="308"/>
      <c r="H144" s="308"/>
    </row>
    <row r="145" spans="5:8" ht="12.75">
      <c r="E145" s="308"/>
      <c r="H145" s="308"/>
    </row>
    <row r="146" spans="5:8" ht="12.75">
      <c r="E146" s="308"/>
      <c r="H146" s="308"/>
    </row>
    <row r="147" spans="5:8" ht="12.75">
      <c r="E147" s="308"/>
      <c r="H147" s="308"/>
    </row>
    <row r="148" spans="5:8" ht="12.75">
      <c r="E148" s="308"/>
      <c r="H148" s="308"/>
    </row>
    <row r="149" spans="5:8" ht="12.75">
      <c r="E149" s="308"/>
      <c r="H149" s="308"/>
    </row>
    <row r="150" spans="5:8" ht="12.75">
      <c r="E150" s="308"/>
      <c r="H150" s="308"/>
    </row>
    <row r="151" spans="5:8" ht="12.75">
      <c r="E151" s="308"/>
      <c r="H151" s="308"/>
    </row>
    <row r="152" spans="5:8" ht="12.75">
      <c r="E152" s="308"/>
      <c r="H152" s="308"/>
    </row>
    <row r="153" spans="5:8" ht="12.75">
      <c r="E153" s="308"/>
      <c r="H153" s="308"/>
    </row>
    <row r="154" spans="5:8" ht="12.75">
      <c r="E154" s="308"/>
      <c r="H154" s="308"/>
    </row>
    <row r="155" spans="5:8" ht="12.75">
      <c r="E155" s="308"/>
      <c r="H155" s="308"/>
    </row>
    <row r="156" spans="5:8" ht="12.75">
      <c r="E156" s="308"/>
      <c r="H156" s="308"/>
    </row>
    <row r="157" spans="5:8" ht="12.75">
      <c r="E157" s="308"/>
      <c r="H157" s="308"/>
    </row>
    <row r="158" spans="5:8" ht="12.75">
      <c r="E158" s="308"/>
      <c r="H158" s="308"/>
    </row>
    <row r="159" spans="5:8" ht="12.75">
      <c r="E159" s="308"/>
      <c r="H159" s="308"/>
    </row>
    <row r="160" spans="5:8" ht="12.75">
      <c r="E160" s="308"/>
      <c r="H160" s="308"/>
    </row>
    <row r="161" spans="5:8" ht="12.75">
      <c r="E161" s="308"/>
      <c r="H161" s="308"/>
    </row>
    <row r="162" spans="5:8" ht="12.75">
      <c r="E162" s="308"/>
      <c r="H162" s="308"/>
    </row>
    <row r="163" spans="5:8" ht="12.75">
      <c r="E163" s="308"/>
      <c r="H163" s="308"/>
    </row>
    <row r="164" spans="5:8" ht="12.75">
      <c r="E164" s="308"/>
      <c r="H164" s="308"/>
    </row>
    <row r="165" spans="5:8" ht="12.75">
      <c r="E165" s="308"/>
      <c r="H165" s="308"/>
    </row>
    <row r="166" spans="5:8" ht="12.75">
      <c r="E166" s="308"/>
      <c r="H166" s="308"/>
    </row>
    <row r="167" spans="5:8" ht="12.75">
      <c r="E167" s="308"/>
      <c r="H167" s="308"/>
    </row>
    <row r="168" spans="5:8" ht="12.75">
      <c r="E168" s="308"/>
      <c r="H168" s="308"/>
    </row>
    <row r="169" spans="5:8" ht="12.75">
      <c r="E169" s="308"/>
      <c r="H169" s="308"/>
    </row>
    <row r="170" spans="5:8" ht="12.75">
      <c r="E170" s="308"/>
      <c r="H170" s="308"/>
    </row>
    <row r="171" spans="5:8" ht="12.75">
      <c r="E171" s="308"/>
      <c r="H171" s="308"/>
    </row>
    <row r="172" spans="5:8" ht="12.75">
      <c r="E172" s="308"/>
      <c r="H172" s="308"/>
    </row>
    <row r="173" spans="5:8" ht="12.75">
      <c r="E173" s="308"/>
      <c r="H173" s="308"/>
    </row>
    <row r="174" spans="5:8" ht="12.75">
      <c r="E174" s="308"/>
      <c r="H174" s="308"/>
    </row>
    <row r="175" spans="5:8" ht="12.75">
      <c r="E175" s="308"/>
      <c r="H175" s="308"/>
    </row>
    <row r="176" spans="5:8" ht="12.75">
      <c r="E176" s="308"/>
      <c r="H176" s="308"/>
    </row>
    <row r="177" spans="5:8" ht="12.75">
      <c r="E177" s="308"/>
      <c r="H177" s="308"/>
    </row>
    <row r="178" spans="5:8" ht="12.75">
      <c r="E178" s="308"/>
      <c r="H178" s="308"/>
    </row>
    <row r="179" spans="5:8" ht="12.75">
      <c r="E179" s="308"/>
      <c r="H179" s="308"/>
    </row>
    <row r="180" spans="5:8" ht="12.75">
      <c r="E180" s="308"/>
      <c r="H180" s="308"/>
    </row>
    <row r="181" spans="5:8" ht="12.75">
      <c r="E181" s="308"/>
      <c r="H181" s="308"/>
    </row>
    <row r="182" spans="5:8" ht="12.75">
      <c r="E182" s="308"/>
      <c r="H182" s="308"/>
    </row>
    <row r="183" spans="5:8" ht="12.75">
      <c r="E183" s="308"/>
      <c r="H183" s="308"/>
    </row>
    <row r="184" spans="5:8" ht="12.75">
      <c r="E184" s="308"/>
      <c r="H184" s="308"/>
    </row>
    <row r="185" spans="5:8" ht="12.75">
      <c r="E185" s="308"/>
      <c r="H185" s="308"/>
    </row>
    <row r="186" spans="5:8" ht="12.75">
      <c r="E186" s="308"/>
      <c r="H186" s="308"/>
    </row>
    <row r="187" spans="5:8" ht="12.75">
      <c r="E187" s="308"/>
      <c r="H187" s="308"/>
    </row>
    <row r="188" spans="5:8" ht="12.75">
      <c r="E188" s="308"/>
      <c r="H188" s="308"/>
    </row>
    <row r="189" spans="5:8" ht="12.75">
      <c r="E189" s="308"/>
      <c r="H189" s="308"/>
    </row>
    <row r="190" spans="5:8" ht="12.75">
      <c r="E190" s="308"/>
      <c r="H190" s="308"/>
    </row>
    <row r="191" spans="5:8" ht="12.75">
      <c r="E191" s="308"/>
      <c r="H191" s="308"/>
    </row>
    <row r="192" spans="5:8" ht="12.75">
      <c r="E192" s="308"/>
      <c r="H192" s="308"/>
    </row>
    <row r="193" spans="5:8" ht="12.75">
      <c r="E193" s="308"/>
      <c r="H193" s="308"/>
    </row>
    <row r="194" spans="5:8" ht="12.75">
      <c r="E194" s="308"/>
      <c r="H194" s="308"/>
    </row>
    <row r="195" spans="5:8" ht="12.75">
      <c r="E195" s="308"/>
      <c r="H195" s="308"/>
    </row>
    <row r="196" spans="5:8" ht="12.75">
      <c r="E196" s="308"/>
      <c r="H196" s="308"/>
    </row>
    <row r="197" spans="5:8" ht="12.75">
      <c r="E197" s="308"/>
      <c r="H197" s="308"/>
    </row>
    <row r="198" spans="5:8" ht="12.75">
      <c r="E198" s="308"/>
      <c r="H198" s="308"/>
    </row>
    <row r="199" spans="5:8" ht="12.75">
      <c r="E199" s="308"/>
      <c r="H199" s="308"/>
    </row>
    <row r="200" spans="5:8" ht="12.75">
      <c r="E200" s="308"/>
      <c r="H200" s="308"/>
    </row>
    <row r="201" spans="5:8" ht="12.75">
      <c r="E201" s="308"/>
      <c r="H201" s="308"/>
    </row>
    <row r="202" spans="5:8" ht="12.75">
      <c r="E202" s="308"/>
      <c r="H202" s="308"/>
    </row>
    <row r="203" spans="5:8" ht="12.75">
      <c r="E203" s="308"/>
      <c r="H203" s="308"/>
    </row>
    <row r="204" spans="5:8" ht="12.75">
      <c r="E204" s="308"/>
      <c r="H204" s="308"/>
    </row>
    <row r="205" ht="12.75">
      <c r="H205" s="308"/>
    </row>
  </sheetData>
  <sheetProtection/>
  <mergeCells count="7">
    <mergeCell ref="I39:J39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G18"/>
  <sheetViews>
    <sheetView showGridLines="0" view="pageBreakPreview" zoomScaleSheetLayoutView="100" workbookViewId="0" topLeftCell="A7">
      <selection activeCell="G15" sqref="G15"/>
    </sheetView>
  </sheetViews>
  <sheetFormatPr defaultColWidth="9.00390625" defaultRowHeight="12.75"/>
  <cols>
    <col min="1" max="1" width="4.75390625" style="43" bestFit="1" customWidth="1"/>
    <col min="2" max="2" width="35.375" style="44" customWidth="1"/>
    <col min="3" max="3" width="11.25390625" style="44" customWidth="1"/>
    <col min="4" max="4" width="13.125" style="45" customWidth="1"/>
    <col min="5" max="5" width="12.125" style="45" customWidth="1"/>
    <col min="6" max="6" width="10.00390625" style="45" customWidth="1"/>
    <col min="7" max="16384" width="9.125" style="44" customWidth="1"/>
  </cols>
  <sheetData>
    <row r="1" spans="5:6" ht="12.75">
      <c r="E1" s="1396" t="s">
        <v>1187</v>
      </c>
      <c r="F1" s="1396"/>
    </row>
    <row r="2" spans="5:6" ht="23.25" customHeight="1">
      <c r="E2" s="13"/>
      <c r="F2" s="13"/>
    </row>
    <row r="3" spans="1:6" ht="12" customHeight="1">
      <c r="A3" s="1400" t="s">
        <v>861</v>
      </c>
      <c r="B3" s="1400"/>
      <c r="C3" s="1400"/>
      <c r="D3" s="1400"/>
      <c r="E3" s="1400"/>
      <c r="F3" s="1400"/>
    </row>
    <row r="4" spans="1:6" ht="4.5" customHeight="1">
      <c r="A4" s="14"/>
      <c r="B4" s="14"/>
      <c r="C4" s="14"/>
      <c r="D4" s="19"/>
      <c r="E4" s="19"/>
      <c r="F4" s="19"/>
    </row>
    <row r="5" ht="12" customHeight="1" thickBot="1">
      <c r="F5" s="45" t="s">
        <v>833</v>
      </c>
    </row>
    <row r="6" spans="1:6" ht="31.5" customHeight="1">
      <c r="A6" s="442" t="s">
        <v>1106</v>
      </c>
      <c r="B6" s="443" t="s">
        <v>835</v>
      </c>
      <c r="C6" s="613" t="s">
        <v>1001</v>
      </c>
      <c r="D6" s="613" t="s">
        <v>836</v>
      </c>
      <c r="E6" s="443" t="s">
        <v>837</v>
      </c>
      <c r="F6" s="614" t="s">
        <v>838</v>
      </c>
    </row>
    <row r="7" spans="1:6" s="411" customFormat="1" ht="12" customHeight="1" thickBot="1">
      <c r="A7" s="628">
        <v>1</v>
      </c>
      <c r="B7" s="629">
        <v>2</v>
      </c>
      <c r="C7" s="629">
        <v>3</v>
      </c>
      <c r="D7" s="629">
        <v>4</v>
      </c>
      <c r="E7" s="629">
        <v>5</v>
      </c>
      <c r="F7" s="630">
        <v>6</v>
      </c>
    </row>
    <row r="8" spans="1:6" ht="24.75" customHeight="1">
      <c r="A8" s="410" t="s">
        <v>62</v>
      </c>
      <c r="B8" s="1394" t="s">
        <v>862</v>
      </c>
      <c r="C8" s="1395"/>
      <c r="D8" s="824">
        <f>SUM(D9,D10,D11,D12)</f>
        <v>37155234</v>
      </c>
      <c r="E8" s="824">
        <f>SUM(E9,E10,E11,E12)</f>
        <v>37056834.48</v>
      </c>
      <c r="F8" s="833">
        <f>E8/D8*100</f>
        <v>99.73516646403033</v>
      </c>
    </row>
    <row r="9" spans="1:7" ht="58.5" customHeight="1">
      <c r="A9" s="46" t="s">
        <v>1109</v>
      </c>
      <c r="B9" s="47" t="s">
        <v>523</v>
      </c>
      <c r="C9" s="48" t="s">
        <v>1003</v>
      </c>
      <c r="D9" s="825">
        <f>11181980-18000</f>
        <v>11163980</v>
      </c>
      <c r="E9" s="825">
        <v>11065580.42</v>
      </c>
      <c r="F9" s="834">
        <f aca="true" t="shared" si="0" ref="F9:F15">E9/D9*100</f>
        <v>99.1185976685734</v>
      </c>
      <c r="G9" s="307">
        <f>E9-D9</f>
        <v>-98399.58000000007</v>
      </c>
    </row>
    <row r="10" spans="1:7" ht="34.5" customHeight="1">
      <c r="A10" s="46" t="s">
        <v>1110</v>
      </c>
      <c r="B10" s="470" t="s">
        <v>602</v>
      </c>
      <c r="C10" s="51" t="s">
        <v>603</v>
      </c>
      <c r="D10" s="826">
        <v>5230</v>
      </c>
      <c r="E10" s="826">
        <v>5230.23</v>
      </c>
      <c r="F10" s="834">
        <f t="shared" si="0"/>
        <v>100.00439770554492</v>
      </c>
      <c r="G10" s="307">
        <f aca="true" t="shared" si="1" ref="G10:G18">E10-D10</f>
        <v>0.22999999999956344</v>
      </c>
    </row>
    <row r="11" spans="1:7" ht="33.75" customHeight="1">
      <c r="A11" s="46" t="s">
        <v>1192</v>
      </c>
      <c r="B11" s="53" t="s">
        <v>333</v>
      </c>
      <c r="C11" s="54" t="s">
        <v>1002</v>
      </c>
      <c r="D11" s="827">
        <v>420239</v>
      </c>
      <c r="E11" s="827">
        <v>420239</v>
      </c>
      <c r="F11" s="832">
        <f>E11/D11*100</f>
        <v>100</v>
      </c>
      <c r="G11" s="307">
        <f t="shared" si="1"/>
        <v>0</v>
      </c>
    </row>
    <row r="12" spans="1:7" ht="34.5" customHeight="1" thickBot="1">
      <c r="A12" s="46" t="s">
        <v>1199</v>
      </c>
      <c r="B12" s="50" t="s">
        <v>525</v>
      </c>
      <c r="C12" s="51" t="s">
        <v>1004</v>
      </c>
      <c r="D12" s="828">
        <v>25565785</v>
      </c>
      <c r="E12" s="828">
        <v>25565784.83</v>
      </c>
      <c r="F12" s="831">
        <f t="shared" si="0"/>
        <v>99.99999933504877</v>
      </c>
      <c r="G12" s="307">
        <f t="shared" si="1"/>
        <v>-0.17000000178813934</v>
      </c>
    </row>
    <row r="13" spans="1:7" ht="24.75" customHeight="1">
      <c r="A13" s="410" t="s">
        <v>67</v>
      </c>
      <c r="B13" s="1394" t="s">
        <v>863</v>
      </c>
      <c r="C13" s="1395"/>
      <c r="D13" s="824">
        <f>SUM(D14,D15,D16)</f>
        <v>19208329</v>
      </c>
      <c r="E13" s="824">
        <f>SUM(E14,E15,E16)</f>
        <v>19315546.29</v>
      </c>
      <c r="F13" s="833">
        <f t="shared" si="0"/>
        <v>100.55818124522959</v>
      </c>
      <c r="G13" s="307">
        <f t="shared" si="1"/>
        <v>107217.2899999991</v>
      </c>
    </row>
    <row r="14" spans="1:7" ht="54.75" customHeight="1">
      <c r="A14" s="49" t="s">
        <v>1109</v>
      </c>
      <c r="B14" s="50" t="s">
        <v>1303</v>
      </c>
      <c r="C14" s="51" t="s">
        <v>1300</v>
      </c>
      <c r="D14" s="828">
        <f>15467965-120219-3971550</f>
        <v>11376196</v>
      </c>
      <c r="E14" s="828">
        <v>11483413.71</v>
      </c>
      <c r="F14" s="831">
        <f>E14/D14*100</f>
        <v>100.94247418029718</v>
      </c>
      <c r="G14" s="307">
        <f t="shared" si="1"/>
        <v>107217.7100000009</v>
      </c>
    </row>
    <row r="15" spans="1:7" ht="33" customHeight="1">
      <c r="A15" s="49" t="s">
        <v>1110</v>
      </c>
      <c r="B15" s="50" t="s">
        <v>524</v>
      </c>
      <c r="C15" s="51" t="s">
        <v>1006</v>
      </c>
      <c r="D15" s="828">
        <v>5000000</v>
      </c>
      <c r="E15" s="828">
        <v>5000000</v>
      </c>
      <c r="F15" s="831">
        <f t="shared" si="0"/>
        <v>100</v>
      </c>
      <c r="G15" s="307">
        <f t="shared" si="1"/>
        <v>0</v>
      </c>
    </row>
    <row r="16" spans="1:7" ht="43.5" customHeight="1">
      <c r="A16" s="49" t="s">
        <v>1192</v>
      </c>
      <c r="B16" s="50" t="s">
        <v>1299</v>
      </c>
      <c r="C16" s="51" t="s">
        <v>1005</v>
      </c>
      <c r="D16" s="828">
        <f>SUM(D17,D18)</f>
        <v>2832133</v>
      </c>
      <c r="E16" s="828">
        <f>SUM(E17,E18)</f>
        <v>2832132.58</v>
      </c>
      <c r="F16" s="831">
        <f>E16/D16*100</f>
        <v>99.99998517018798</v>
      </c>
      <c r="G16" s="307">
        <f t="shared" si="1"/>
        <v>-0.4199999999254942</v>
      </c>
    </row>
    <row r="17" spans="1:7" s="58" customFormat="1" ht="19.5" customHeight="1">
      <c r="A17" s="55" t="s">
        <v>1301</v>
      </c>
      <c r="B17" s="56" t="s">
        <v>965</v>
      </c>
      <c r="C17" s="57" t="s">
        <v>1005</v>
      </c>
      <c r="D17" s="829">
        <v>2400000</v>
      </c>
      <c r="E17" s="829">
        <v>2400000</v>
      </c>
      <c r="F17" s="835">
        <f>E17/D17*100</f>
        <v>100</v>
      </c>
      <c r="G17" s="307">
        <f t="shared" si="1"/>
        <v>0</v>
      </c>
    </row>
    <row r="18" spans="1:7" s="62" customFormat="1" ht="19.5" customHeight="1" thickBot="1">
      <c r="A18" s="59" t="s">
        <v>1302</v>
      </c>
      <c r="B18" s="60" t="s">
        <v>964</v>
      </c>
      <c r="C18" s="61" t="s">
        <v>1005</v>
      </c>
      <c r="D18" s="830">
        <f>585350-153217</f>
        <v>432133</v>
      </c>
      <c r="E18" s="830">
        <v>432132.58</v>
      </c>
      <c r="F18" s="836">
        <f>E18/D18*100</f>
        <v>99.99990280770041</v>
      </c>
      <c r="G18" s="307">
        <f t="shared" si="1"/>
        <v>-0.41999999998370185</v>
      </c>
    </row>
  </sheetData>
  <sheetProtection/>
  <mergeCells count="4">
    <mergeCell ref="A3:F3"/>
    <mergeCell ref="B8:C8"/>
    <mergeCell ref="E1:F1"/>
    <mergeCell ref="B13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A1:H485"/>
  <sheetViews>
    <sheetView view="pageBreakPreview" zoomScaleSheetLayoutView="100" workbookViewId="0" topLeftCell="A319">
      <selection activeCell="D321" sqref="D321"/>
    </sheetView>
  </sheetViews>
  <sheetFormatPr defaultColWidth="9.00390625" defaultRowHeight="12.75"/>
  <cols>
    <col min="1" max="1" width="5.625" style="214" customWidth="1"/>
    <col min="2" max="2" width="6.375" style="214" customWidth="1"/>
    <col min="3" max="3" width="5.125" style="214" customWidth="1"/>
    <col min="4" max="4" width="40.25390625" style="215" customWidth="1"/>
    <col min="5" max="6" width="13.375" style="89" customWidth="1"/>
    <col min="7" max="7" width="5.625" style="206" customWidth="1"/>
    <col min="8" max="8" width="9.125" style="89" customWidth="1"/>
    <col min="9" max="9" width="29.875" style="89" customWidth="1"/>
    <col min="10" max="16384" width="9.125" style="89" customWidth="1"/>
  </cols>
  <sheetData>
    <row r="1" spans="1:7" s="78" customFormat="1" ht="12.75">
      <c r="A1" s="76"/>
      <c r="B1" s="76"/>
      <c r="C1" s="76"/>
      <c r="D1" s="77"/>
      <c r="E1" s="77"/>
      <c r="F1" s="1432" t="s">
        <v>584</v>
      </c>
      <c r="G1" s="1432"/>
    </row>
    <row r="2" spans="1:7" s="78" customFormat="1" ht="17.25" customHeight="1">
      <c r="A2" s="76"/>
      <c r="B2" s="76"/>
      <c r="C2" s="76"/>
      <c r="E2" s="77"/>
      <c r="G2" s="79"/>
    </row>
    <row r="3" spans="1:7" s="81" customFormat="1" ht="16.5" customHeight="1">
      <c r="A3" s="1408" t="s">
        <v>1053</v>
      </c>
      <c r="B3" s="1408"/>
      <c r="C3" s="1408"/>
      <c r="D3" s="1408"/>
      <c r="E3" s="1408"/>
      <c r="F3" s="1408"/>
      <c r="G3" s="1408"/>
    </row>
    <row r="4" spans="1:7" s="78" customFormat="1" ht="13.5" thickBot="1">
      <c r="A4" s="76"/>
      <c r="B4" s="76"/>
      <c r="C4" s="76"/>
      <c r="D4" s="77"/>
      <c r="G4" s="79"/>
    </row>
    <row r="5" spans="1:7" s="82" customFormat="1" ht="15" customHeight="1">
      <c r="A5" s="615" t="s">
        <v>1018</v>
      </c>
      <c r="B5" s="616" t="s">
        <v>834</v>
      </c>
      <c r="C5" s="616" t="s">
        <v>1024</v>
      </c>
      <c r="D5" s="616" t="s">
        <v>835</v>
      </c>
      <c r="E5" s="466" t="s">
        <v>836</v>
      </c>
      <c r="F5" s="617" t="s">
        <v>837</v>
      </c>
      <c r="G5" s="631" t="s">
        <v>838</v>
      </c>
    </row>
    <row r="6" spans="1:7" s="83" customFormat="1" ht="13.5" customHeight="1" thickBot="1">
      <c r="A6" s="558">
        <v>1</v>
      </c>
      <c r="B6" s="559">
        <v>2</v>
      </c>
      <c r="C6" s="559">
        <v>3</v>
      </c>
      <c r="D6" s="559">
        <v>4</v>
      </c>
      <c r="E6" s="560">
        <v>5</v>
      </c>
      <c r="F6" s="561">
        <v>6</v>
      </c>
      <c r="G6" s="632">
        <v>7</v>
      </c>
    </row>
    <row r="7" spans="1:7" s="246" customFormat="1" ht="22.5" customHeight="1">
      <c r="A7" s="1397" t="s">
        <v>1029</v>
      </c>
      <c r="B7" s="1398"/>
      <c r="C7" s="1398"/>
      <c r="D7" s="1458"/>
      <c r="E7" s="1343">
        <f>SUM(E8,E11,E16,E19,E30,E39,E53,E61,E77,E82,E91,E126,E136,E150,E160,E188,E195,E198,E216,E219)</f>
        <v>142713215.56</v>
      </c>
      <c r="F7" s="1343">
        <f>SUM(F8,F11,F16,F19,F30,F39,F53,F61,F77,F82,F91,F126,F136,F150,F160,F188,F195,F198,F216,F219)</f>
        <v>141402992.23999998</v>
      </c>
      <c r="G7" s="1344">
        <f aca="true" t="shared" si="0" ref="G7:G26">F7/E7*100</f>
        <v>99.08191871729694</v>
      </c>
    </row>
    <row r="8" spans="1:7" s="66" customFormat="1" ht="16.5" customHeight="1">
      <c r="A8" s="63" t="s">
        <v>839</v>
      </c>
      <c r="B8" s="64"/>
      <c r="C8" s="64"/>
      <c r="D8" s="65" t="s">
        <v>285</v>
      </c>
      <c r="E8" s="776">
        <f>SUM(E9)</f>
        <v>30506.56</v>
      </c>
      <c r="F8" s="776">
        <f>SUM(F9)</f>
        <v>30506.56</v>
      </c>
      <c r="G8" s="849">
        <f t="shared" si="0"/>
        <v>100</v>
      </c>
    </row>
    <row r="9" spans="1:7" s="70" customFormat="1" ht="19.5" customHeight="1">
      <c r="A9" s="67"/>
      <c r="B9" s="68" t="s">
        <v>291</v>
      </c>
      <c r="C9" s="68"/>
      <c r="D9" s="69" t="s">
        <v>840</v>
      </c>
      <c r="E9" s="777">
        <f>SUM(E10)</f>
        <v>30506.56</v>
      </c>
      <c r="F9" s="777">
        <f>SUM(F10)</f>
        <v>30506.56</v>
      </c>
      <c r="G9" s="838">
        <f t="shared" si="0"/>
        <v>100</v>
      </c>
    </row>
    <row r="10" spans="1:7" s="75" customFormat="1" ht="55.5" customHeight="1">
      <c r="A10" s="71"/>
      <c r="B10" s="72"/>
      <c r="C10" s="73">
        <v>2010</v>
      </c>
      <c r="D10" s="74" t="s">
        <v>1155</v>
      </c>
      <c r="E10" s="778">
        <v>30506.56</v>
      </c>
      <c r="F10" s="778">
        <v>30506.56</v>
      </c>
      <c r="G10" s="837">
        <f t="shared" si="0"/>
        <v>100</v>
      </c>
    </row>
    <row r="11" spans="1:7" s="86" customFormat="1" ht="18" customHeight="1">
      <c r="A11" s="63" t="s">
        <v>841</v>
      </c>
      <c r="B11" s="84"/>
      <c r="C11" s="84"/>
      <c r="D11" s="85" t="s">
        <v>1025</v>
      </c>
      <c r="E11" s="779">
        <f>SUM(E12)</f>
        <v>146000</v>
      </c>
      <c r="F11" s="779">
        <f>SUM(F12)</f>
        <v>112244.69</v>
      </c>
      <c r="G11" s="849">
        <f t="shared" si="0"/>
        <v>76.87992465753425</v>
      </c>
    </row>
    <row r="12" spans="1:7" ht="21" customHeight="1">
      <c r="A12" s="67"/>
      <c r="B12" s="87" t="s">
        <v>842</v>
      </c>
      <c r="C12" s="87"/>
      <c r="D12" s="88" t="s">
        <v>840</v>
      </c>
      <c r="E12" s="780">
        <f>SUM(E13,E14,E15)</f>
        <v>146000</v>
      </c>
      <c r="F12" s="780">
        <f>SUM(F13,F14,F15)</f>
        <v>112244.69</v>
      </c>
      <c r="G12" s="838">
        <f t="shared" si="0"/>
        <v>76.87992465753425</v>
      </c>
    </row>
    <row r="13" spans="1:7" s="92" customFormat="1" ht="21" customHeight="1">
      <c r="A13" s="71"/>
      <c r="B13" s="90"/>
      <c r="C13" s="90" t="s">
        <v>1358</v>
      </c>
      <c r="D13" s="91" t="s">
        <v>1028</v>
      </c>
      <c r="E13" s="781">
        <v>1000</v>
      </c>
      <c r="F13" s="781">
        <v>1592.48</v>
      </c>
      <c r="G13" s="837">
        <f t="shared" si="0"/>
        <v>159.24800000000002</v>
      </c>
    </row>
    <row r="14" spans="1:7" s="92" customFormat="1" ht="21" customHeight="1">
      <c r="A14" s="71"/>
      <c r="B14" s="90"/>
      <c r="C14" s="90" t="s">
        <v>1328</v>
      </c>
      <c r="D14" s="93" t="s">
        <v>1327</v>
      </c>
      <c r="E14" s="781">
        <v>145000</v>
      </c>
      <c r="F14" s="781">
        <v>110588.96</v>
      </c>
      <c r="G14" s="837">
        <f t="shared" si="0"/>
        <v>76.26824827586208</v>
      </c>
    </row>
    <row r="15" spans="1:7" s="92" customFormat="1" ht="21" customHeight="1">
      <c r="A15" s="71"/>
      <c r="B15" s="90"/>
      <c r="C15" s="90" t="s">
        <v>1355</v>
      </c>
      <c r="D15" s="93" t="s">
        <v>1032</v>
      </c>
      <c r="E15" s="781">
        <v>0</v>
      </c>
      <c r="F15" s="781">
        <v>63.25</v>
      </c>
      <c r="G15" s="837" t="s">
        <v>1081</v>
      </c>
    </row>
    <row r="16" spans="1:7" s="86" customFormat="1" ht="19.5" customHeight="1">
      <c r="A16" s="63" t="s">
        <v>1148</v>
      </c>
      <c r="B16" s="84"/>
      <c r="C16" s="84"/>
      <c r="D16" s="85" t="s">
        <v>1151</v>
      </c>
      <c r="E16" s="779">
        <f>E18</f>
        <v>11700</v>
      </c>
      <c r="F16" s="779">
        <f>F17</f>
        <v>11696.61</v>
      </c>
      <c r="G16" s="1337">
        <f t="shared" si="0"/>
        <v>99.97102564102565</v>
      </c>
    </row>
    <row r="17" spans="1:7" ht="21.75" customHeight="1">
      <c r="A17" s="67"/>
      <c r="B17" s="87" t="s">
        <v>1360</v>
      </c>
      <c r="C17" s="87"/>
      <c r="D17" s="88" t="s">
        <v>1361</v>
      </c>
      <c r="E17" s="783">
        <f>E18</f>
        <v>11700</v>
      </c>
      <c r="F17" s="780">
        <f>F18</f>
        <v>11696.61</v>
      </c>
      <c r="G17" s="1336">
        <f t="shared" si="0"/>
        <v>99.97102564102565</v>
      </c>
    </row>
    <row r="18" spans="1:7" s="92" customFormat="1" ht="29.25" customHeight="1">
      <c r="A18" s="71"/>
      <c r="B18" s="90"/>
      <c r="C18" s="90" t="s">
        <v>1362</v>
      </c>
      <c r="D18" s="93" t="s">
        <v>1168</v>
      </c>
      <c r="E18" s="139">
        <v>11700</v>
      </c>
      <c r="F18" s="781">
        <v>11696.61</v>
      </c>
      <c r="G18" s="837">
        <f t="shared" si="0"/>
        <v>99.97102564102565</v>
      </c>
    </row>
    <row r="19" spans="1:7" ht="19.5" customHeight="1">
      <c r="A19" s="63" t="s">
        <v>844</v>
      </c>
      <c r="B19" s="84"/>
      <c r="C19" s="84"/>
      <c r="D19" s="94" t="s">
        <v>845</v>
      </c>
      <c r="E19" s="784">
        <f>SUM(E20,E25)</f>
        <v>11382196</v>
      </c>
      <c r="F19" s="787">
        <f>SUM(F20,F25)</f>
        <v>11490541.66</v>
      </c>
      <c r="G19" s="1337">
        <f t="shared" si="0"/>
        <v>100.951887140232</v>
      </c>
    </row>
    <row r="20" spans="1:7" ht="19.5" customHeight="1">
      <c r="A20" s="67"/>
      <c r="B20" s="87" t="s">
        <v>847</v>
      </c>
      <c r="C20" s="87"/>
      <c r="D20" s="69" t="s">
        <v>848</v>
      </c>
      <c r="E20" s="783">
        <f>SUM(E21,E22,E23,E24)</f>
        <v>6000</v>
      </c>
      <c r="F20" s="783">
        <f>SUM(F21,F22,F23,F24)</f>
        <v>7127.95</v>
      </c>
      <c r="G20" s="1338">
        <f t="shared" si="0"/>
        <v>118.79916666666665</v>
      </c>
    </row>
    <row r="21" spans="1:7" ht="27.75" customHeight="1">
      <c r="A21" s="71"/>
      <c r="B21" s="90"/>
      <c r="C21" s="90" t="s">
        <v>1357</v>
      </c>
      <c r="D21" s="93" t="s">
        <v>735</v>
      </c>
      <c r="E21" s="139">
        <v>6000</v>
      </c>
      <c r="F21" s="781">
        <v>6127.38</v>
      </c>
      <c r="G21" s="837">
        <f t="shared" si="0"/>
        <v>102.123</v>
      </c>
    </row>
    <row r="22" spans="1:7" s="92" customFormat="1" ht="20.25" customHeight="1">
      <c r="A22" s="71"/>
      <c r="B22" s="90"/>
      <c r="C22" s="90" t="s">
        <v>1328</v>
      </c>
      <c r="D22" s="93" t="s">
        <v>1327</v>
      </c>
      <c r="E22" s="781">
        <v>0</v>
      </c>
      <c r="F22" s="781">
        <v>798</v>
      </c>
      <c r="G22" s="837" t="s">
        <v>1081</v>
      </c>
    </row>
    <row r="23" spans="1:7" s="791" customFormat="1" ht="20.25" customHeight="1">
      <c r="A23" s="71"/>
      <c r="B23" s="90"/>
      <c r="C23" s="90" t="s">
        <v>1355</v>
      </c>
      <c r="D23" s="93" t="s">
        <v>1032</v>
      </c>
      <c r="E23" s="781">
        <v>0</v>
      </c>
      <c r="F23" s="781">
        <v>202.57</v>
      </c>
      <c r="G23" s="837" t="s">
        <v>1081</v>
      </c>
    </row>
    <row r="24" spans="1:7" s="92" customFormat="1" ht="20.25" customHeight="1" hidden="1">
      <c r="A24" s="71"/>
      <c r="B24" s="90"/>
      <c r="C24" s="90" t="s">
        <v>1356</v>
      </c>
      <c r="D24" s="93" t="s">
        <v>1031</v>
      </c>
      <c r="E24" s="781">
        <v>0</v>
      </c>
      <c r="F24" s="781">
        <v>0</v>
      </c>
      <c r="G24" s="837" t="e">
        <f t="shared" si="0"/>
        <v>#DIV/0!</v>
      </c>
    </row>
    <row r="25" spans="1:7" ht="21.75" customHeight="1">
      <c r="A25" s="67"/>
      <c r="B25" s="102" t="s">
        <v>1193</v>
      </c>
      <c r="C25" s="87"/>
      <c r="D25" s="69" t="s">
        <v>1194</v>
      </c>
      <c r="E25" s="777">
        <f>SUM(E26,E28)</f>
        <v>11376196</v>
      </c>
      <c r="F25" s="777">
        <f>SUM(F26,F28)</f>
        <v>11483413.71</v>
      </c>
      <c r="G25" s="1336">
        <f t="shared" si="0"/>
        <v>100.94247418029718</v>
      </c>
    </row>
    <row r="26" spans="1:7" s="92" customFormat="1" ht="54.75" customHeight="1">
      <c r="A26" s="71"/>
      <c r="B26" s="96"/>
      <c r="C26" s="90" t="s">
        <v>706</v>
      </c>
      <c r="D26" s="93" t="s">
        <v>51</v>
      </c>
      <c r="E26" s="778">
        <v>11376196</v>
      </c>
      <c r="F26" s="778">
        <v>11483413.71</v>
      </c>
      <c r="G26" s="837">
        <f t="shared" si="0"/>
        <v>100.94247418029718</v>
      </c>
    </row>
    <row r="27" spans="1:7" s="92" customFormat="1" ht="66.75" customHeight="1">
      <c r="A27" s="71"/>
      <c r="B27" s="96"/>
      <c r="C27" s="90"/>
      <c r="D27" s="74" t="s">
        <v>116</v>
      </c>
      <c r="E27" s="778"/>
      <c r="F27" s="778"/>
      <c r="G27" s="837"/>
    </row>
    <row r="28" spans="1:7" s="92" customFormat="1" ht="54" customHeight="1" hidden="1">
      <c r="A28" s="71"/>
      <c r="B28" s="96"/>
      <c r="C28" s="90" t="s">
        <v>606</v>
      </c>
      <c r="D28" s="93" t="s">
        <v>51</v>
      </c>
      <c r="E28" s="778">
        <v>0</v>
      </c>
      <c r="F28" s="778"/>
      <c r="G28" s="837" t="s">
        <v>1081</v>
      </c>
    </row>
    <row r="29" spans="1:7" s="92" customFormat="1" ht="66.75" customHeight="1" hidden="1">
      <c r="A29" s="71"/>
      <c r="B29" s="96"/>
      <c r="C29" s="90"/>
      <c r="D29" s="74" t="s">
        <v>137</v>
      </c>
      <c r="E29" s="778"/>
      <c r="F29" s="778"/>
      <c r="G29" s="837"/>
    </row>
    <row r="30" spans="1:7" s="86" customFormat="1" ht="15" customHeight="1">
      <c r="A30" s="63" t="s">
        <v>849</v>
      </c>
      <c r="B30" s="84"/>
      <c r="C30" s="84"/>
      <c r="D30" s="94" t="s">
        <v>850</v>
      </c>
      <c r="E30" s="779">
        <f>SUM(E31,E36)</f>
        <v>49950</v>
      </c>
      <c r="F30" s="779">
        <f>SUM(F31,F36)</f>
        <v>34203.44</v>
      </c>
      <c r="G30" s="849">
        <f>F30/E30*100</f>
        <v>68.47535535535536</v>
      </c>
    </row>
    <row r="31" spans="1:7" ht="16.5" customHeight="1">
      <c r="A31" s="67"/>
      <c r="B31" s="87" t="s">
        <v>1170</v>
      </c>
      <c r="C31" s="87"/>
      <c r="D31" s="69" t="s">
        <v>1172</v>
      </c>
      <c r="E31" s="780">
        <f>SUM(E32,E33,E34)</f>
        <v>49950</v>
      </c>
      <c r="F31" s="780">
        <f>SUM(F32,F33,F34)</f>
        <v>34162.72</v>
      </c>
      <c r="G31" s="838">
        <f>F31/E31*100</f>
        <v>68.39383383383384</v>
      </c>
    </row>
    <row r="32" spans="1:7" ht="21" customHeight="1">
      <c r="A32" s="71"/>
      <c r="B32" s="90"/>
      <c r="C32" s="90" t="s">
        <v>1328</v>
      </c>
      <c r="D32" s="93" t="s">
        <v>1327</v>
      </c>
      <c r="E32" s="781">
        <v>0</v>
      </c>
      <c r="F32" s="781">
        <v>164.5</v>
      </c>
      <c r="G32" s="837" t="s">
        <v>1081</v>
      </c>
    </row>
    <row r="33" spans="1:7" s="92" customFormat="1" ht="21" customHeight="1" hidden="1">
      <c r="A33" s="71"/>
      <c r="B33" s="72"/>
      <c r="C33" s="72" t="s">
        <v>1356</v>
      </c>
      <c r="D33" s="97" t="s">
        <v>1031</v>
      </c>
      <c r="E33" s="785">
        <v>0</v>
      </c>
      <c r="F33" s="785"/>
      <c r="G33" s="837" t="s">
        <v>1081</v>
      </c>
    </row>
    <row r="34" spans="1:7" s="92" customFormat="1" ht="54" customHeight="1">
      <c r="A34" s="71"/>
      <c r="B34" s="90"/>
      <c r="C34" s="90" t="s">
        <v>811</v>
      </c>
      <c r="D34" s="93" t="s">
        <v>1078</v>
      </c>
      <c r="E34" s="1462">
        <v>49950</v>
      </c>
      <c r="F34" s="1462">
        <v>33998.22</v>
      </c>
      <c r="G34" s="1463">
        <f>F34/E34*100</f>
        <v>68.06450450450451</v>
      </c>
    </row>
    <row r="35" spans="1:7" s="92" customFormat="1" ht="34.5" customHeight="1">
      <c r="A35" s="71"/>
      <c r="B35" s="90"/>
      <c r="C35" s="90"/>
      <c r="D35" s="93" t="s">
        <v>1344</v>
      </c>
      <c r="E35" s="1462"/>
      <c r="F35" s="1462"/>
      <c r="G35" s="1463"/>
    </row>
    <row r="36" spans="1:7" s="92" customFormat="1" ht="18" customHeight="1">
      <c r="A36" s="67"/>
      <c r="B36" s="87" t="s">
        <v>310</v>
      </c>
      <c r="C36" s="87"/>
      <c r="D36" s="69" t="s">
        <v>840</v>
      </c>
      <c r="E36" s="780">
        <f>SUM(E37,E38)</f>
        <v>0</v>
      </c>
      <c r="F36" s="780">
        <f>SUM(F37,F38)</f>
        <v>40.72</v>
      </c>
      <c r="G36" s="838" t="s">
        <v>1081</v>
      </c>
    </row>
    <row r="37" spans="1:7" s="793" customFormat="1" ht="29.25" customHeight="1">
      <c r="A37" s="71"/>
      <c r="B37" s="90"/>
      <c r="C37" s="90" t="s">
        <v>1357</v>
      </c>
      <c r="D37" s="93" t="s">
        <v>735</v>
      </c>
      <c r="E37" s="781">
        <v>0</v>
      </c>
      <c r="F37" s="781">
        <v>40.72</v>
      </c>
      <c r="G37" s="837" t="s">
        <v>1081</v>
      </c>
    </row>
    <row r="38" spans="1:7" s="92" customFormat="1" ht="16.5" customHeight="1" hidden="1">
      <c r="A38" s="71"/>
      <c r="B38" s="90"/>
      <c r="C38" s="90" t="s">
        <v>10</v>
      </c>
      <c r="D38" s="93" t="s">
        <v>1186</v>
      </c>
      <c r="E38" s="781">
        <v>0</v>
      </c>
      <c r="F38" s="781">
        <v>0</v>
      </c>
      <c r="G38" s="837" t="e">
        <f aca="true" t="shared" si="1" ref="G38:G47">F38/E38*100</f>
        <v>#DIV/0!</v>
      </c>
    </row>
    <row r="39" spans="1:7" s="86" customFormat="1" ht="21" customHeight="1">
      <c r="A39" s="63" t="s">
        <v>851</v>
      </c>
      <c r="B39" s="84"/>
      <c r="C39" s="84"/>
      <c r="D39" s="85" t="s">
        <v>852</v>
      </c>
      <c r="E39" s="779">
        <f>SUM(E40,E50)</f>
        <v>17083522</v>
      </c>
      <c r="F39" s="779">
        <f>SUM(F40,F50)</f>
        <v>12823841.81</v>
      </c>
      <c r="G39" s="849">
        <f t="shared" si="1"/>
        <v>75.06556206618285</v>
      </c>
    </row>
    <row r="40" spans="1:7" ht="21" customHeight="1">
      <c r="A40" s="71"/>
      <c r="B40" s="87" t="s">
        <v>853</v>
      </c>
      <c r="C40" s="87"/>
      <c r="D40" s="88" t="s">
        <v>854</v>
      </c>
      <c r="E40" s="780">
        <f>SUM(E41,E42,E43,E44,E45,E46,E47,E48,E49)</f>
        <v>17083522</v>
      </c>
      <c r="F40" s="780">
        <f>SUM(F41,F42,F43,F44,F45,F46,F47,F48,F49)</f>
        <v>12823841.81</v>
      </c>
      <c r="G40" s="838">
        <f t="shared" si="1"/>
        <v>75.06556206618285</v>
      </c>
    </row>
    <row r="41" spans="1:7" s="92" customFormat="1" ht="29.25" customHeight="1">
      <c r="A41" s="71"/>
      <c r="B41" s="90"/>
      <c r="C41" s="90" t="s">
        <v>1363</v>
      </c>
      <c r="D41" s="93" t="s">
        <v>1321</v>
      </c>
      <c r="E41" s="781">
        <v>1440000</v>
      </c>
      <c r="F41" s="781">
        <v>1438098.02</v>
      </c>
      <c r="G41" s="837">
        <f t="shared" si="1"/>
        <v>99.86791805555556</v>
      </c>
    </row>
    <row r="42" spans="1:7" s="92" customFormat="1" ht="29.25" customHeight="1">
      <c r="A42" s="71"/>
      <c r="B42" s="90"/>
      <c r="C42" s="90" t="s">
        <v>1357</v>
      </c>
      <c r="D42" s="93" t="s">
        <v>735</v>
      </c>
      <c r="E42" s="781">
        <v>0</v>
      </c>
      <c r="F42" s="781">
        <v>161.04</v>
      </c>
      <c r="G42" s="837" t="s">
        <v>1081</v>
      </c>
    </row>
    <row r="43" spans="1:7" s="92" customFormat="1" ht="69" customHeight="1">
      <c r="A43" s="71"/>
      <c r="B43" s="90"/>
      <c r="C43" s="90" t="s">
        <v>1359</v>
      </c>
      <c r="D43" s="93" t="s">
        <v>38</v>
      </c>
      <c r="E43" s="781">
        <v>2000000</v>
      </c>
      <c r="F43" s="781">
        <v>2212356.53</v>
      </c>
      <c r="G43" s="837">
        <f t="shared" si="1"/>
        <v>110.61782649999998</v>
      </c>
    </row>
    <row r="44" spans="1:7" s="92" customFormat="1" ht="42" customHeight="1">
      <c r="A44" s="71"/>
      <c r="B44" s="90"/>
      <c r="C44" s="90" t="s">
        <v>1365</v>
      </c>
      <c r="D44" s="93" t="s">
        <v>1035</v>
      </c>
      <c r="E44" s="781">
        <v>350000</v>
      </c>
      <c r="F44" s="781">
        <v>399421.46</v>
      </c>
      <c r="G44" s="837">
        <f t="shared" si="1"/>
        <v>114.12041714285715</v>
      </c>
    </row>
    <row r="45" spans="1:7" s="98" customFormat="1" ht="39" customHeight="1">
      <c r="A45" s="71"/>
      <c r="B45" s="90"/>
      <c r="C45" s="90" t="s">
        <v>1366</v>
      </c>
      <c r="D45" s="93" t="s">
        <v>52</v>
      </c>
      <c r="E45" s="781">
        <v>13166522</v>
      </c>
      <c r="F45" s="781">
        <v>8607505.55</v>
      </c>
      <c r="G45" s="837">
        <f t="shared" si="1"/>
        <v>65.37417816185626</v>
      </c>
    </row>
    <row r="46" spans="1:7" s="92" customFormat="1" ht="19.5" customHeight="1">
      <c r="A46" s="71"/>
      <c r="B46" s="72"/>
      <c r="C46" s="72" t="s">
        <v>1355</v>
      </c>
      <c r="D46" s="97" t="s">
        <v>1032</v>
      </c>
      <c r="E46" s="785">
        <v>60000</v>
      </c>
      <c r="F46" s="785">
        <v>89365.01</v>
      </c>
      <c r="G46" s="837">
        <f t="shared" si="1"/>
        <v>148.94168333333334</v>
      </c>
    </row>
    <row r="47" spans="1:7" s="92" customFormat="1" ht="19.5" customHeight="1">
      <c r="A47" s="71"/>
      <c r="B47" s="72"/>
      <c r="C47" s="99" t="s">
        <v>1356</v>
      </c>
      <c r="D47" s="74" t="s">
        <v>1031</v>
      </c>
      <c r="E47" s="786">
        <v>27000</v>
      </c>
      <c r="F47" s="786">
        <v>36934.2</v>
      </c>
      <c r="G47" s="837">
        <f t="shared" si="1"/>
        <v>136.79333333333332</v>
      </c>
    </row>
    <row r="48" spans="1:7" s="92" customFormat="1" ht="63" customHeight="1" hidden="1">
      <c r="A48" s="111"/>
      <c r="B48" s="112"/>
      <c r="C48" s="73">
        <v>2010</v>
      </c>
      <c r="D48" s="74" t="s">
        <v>1155</v>
      </c>
      <c r="E48" s="786">
        <v>0</v>
      </c>
      <c r="F48" s="786"/>
      <c r="G48" s="837" t="e">
        <f>F48/E48*100</f>
        <v>#DIV/0!</v>
      </c>
    </row>
    <row r="49" spans="1:7" s="92" customFormat="1" ht="55.5" customHeight="1">
      <c r="A49" s="111"/>
      <c r="B49" s="112"/>
      <c r="C49" s="73">
        <v>2020</v>
      </c>
      <c r="D49" s="74" t="s">
        <v>1169</v>
      </c>
      <c r="E49" s="786">
        <v>40000</v>
      </c>
      <c r="F49" s="786">
        <v>40000</v>
      </c>
      <c r="G49" s="837">
        <f>F49/E49*100</f>
        <v>100</v>
      </c>
    </row>
    <row r="50" spans="1:7" ht="20.25" customHeight="1" hidden="1">
      <c r="A50" s="108"/>
      <c r="B50" s="109" t="s">
        <v>314</v>
      </c>
      <c r="C50" s="123"/>
      <c r="D50" s="113" t="s">
        <v>840</v>
      </c>
      <c r="E50" s="788">
        <f>SUM(E51,E52)</f>
        <v>0</v>
      </c>
      <c r="F50" s="788">
        <f>SUM(F51,F52)</f>
        <v>0</v>
      </c>
      <c r="G50" s="838" t="s">
        <v>1081</v>
      </c>
    </row>
    <row r="51" spans="1:7" s="92" customFormat="1" ht="30" customHeight="1" hidden="1">
      <c r="A51" s="111"/>
      <c r="B51" s="112"/>
      <c r="C51" s="99" t="s">
        <v>1357</v>
      </c>
      <c r="D51" s="74" t="s">
        <v>735</v>
      </c>
      <c r="E51" s="786">
        <v>0</v>
      </c>
      <c r="F51" s="786">
        <v>0</v>
      </c>
      <c r="G51" s="837" t="s">
        <v>1081</v>
      </c>
    </row>
    <row r="52" spans="1:7" s="92" customFormat="1" ht="0.75" customHeight="1">
      <c r="A52" s="111"/>
      <c r="B52" s="112"/>
      <c r="C52" s="73">
        <v>6290</v>
      </c>
      <c r="D52" s="93" t="s">
        <v>51</v>
      </c>
      <c r="E52" s="786">
        <v>0</v>
      </c>
      <c r="F52" s="786">
        <v>0</v>
      </c>
      <c r="G52" s="837" t="s">
        <v>1081</v>
      </c>
    </row>
    <row r="53" spans="1:7" ht="19.5" customHeight="1">
      <c r="A53" s="104" t="s">
        <v>855</v>
      </c>
      <c r="B53" s="105"/>
      <c r="C53" s="106"/>
      <c r="D53" s="107" t="s">
        <v>856</v>
      </c>
      <c r="E53" s="787">
        <f>SUM(E54,E56,E58)</f>
        <v>170000</v>
      </c>
      <c r="F53" s="787">
        <f>SUM(F54,F56,F58)</f>
        <v>186161.88</v>
      </c>
      <c r="G53" s="849">
        <f>F53/E53*100</f>
        <v>109.50698823529412</v>
      </c>
    </row>
    <row r="54" spans="1:7" ht="19.5" customHeight="1">
      <c r="A54" s="108"/>
      <c r="B54" s="109" t="s">
        <v>315</v>
      </c>
      <c r="C54" s="106"/>
      <c r="D54" s="110" t="s">
        <v>316</v>
      </c>
      <c r="E54" s="788">
        <f>SUM(E55)</f>
        <v>0</v>
      </c>
      <c r="F54" s="788">
        <f>SUM(F55)</f>
        <v>390.29</v>
      </c>
      <c r="G54" s="838" t="s">
        <v>1081</v>
      </c>
    </row>
    <row r="55" spans="1:7" s="92" customFormat="1" ht="29.25" customHeight="1">
      <c r="A55" s="111"/>
      <c r="B55" s="112"/>
      <c r="C55" s="112" t="s">
        <v>1357</v>
      </c>
      <c r="D55" s="74" t="s">
        <v>735</v>
      </c>
      <c r="E55" s="786">
        <v>0</v>
      </c>
      <c r="F55" s="786">
        <v>390.29</v>
      </c>
      <c r="G55" s="837" t="s">
        <v>1081</v>
      </c>
    </row>
    <row r="56" spans="1:7" s="671" customFormat="1" ht="18.75" customHeight="1">
      <c r="A56" s="108"/>
      <c r="B56" s="109" t="s">
        <v>858</v>
      </c>
      <c r="C56" s="109"/>
      <c r="D56" s="113" t="s">
        <v>859</v>
      </c>
      <c r="E56" s="788">
        <f>SUM(E57)</f>
        <v>0</v>
      </c>
      <c r="F56" s="788">
        <f>SUM(F57)</f>
        <v>1609.91</v>
      </c>
      <c r="G56" s="837" t="s">
        <v>1081</v>
      </c>
    </row>
    <row r="57" spans="1:7" s="92" customFormat="1" ht="29.25" customHeight="1">
      <c r="A57" s="111"/>
      <c r="B57" s="112"/>
      <c r="C57" s="112" t="s">
        <v>1357</v>
      </c>
      <c r="D57" s="93" t="s">
        <v>735</v>
      </c>
      <c r="E57" s="786">
        <v>0</v>
      </c>
      <c r="F57" s="786">
        <v>1609.91</v>
      </c>
      <c r="G57" s="837" t="s">
        <v>1081</v>
      </c>
    </row>
    <row r="58" spans="1:7" ht="19.5" customHeight="1">
      <c r="A58" s="108"/>
      <c r="B58" s="109" t="s">
        <v>865</v>
      </c>
      <c r="C58" s="109"/>
      <c r="D58" s="110" t="s">
        <v>866</v>
      </c>
      <c r="E58" s="788">
        <f>SUM(E59,E60)</f>
        <v>170000</v>
      </c>
      <c r="F58" s="788">
        <f>SUM(F59,F60)</f>
        <v>184161.68</v>
      </c>
      <c r="G58" s="838">
        <f aca="true" t="shared" si="2" ref="G58:G70">F58/E58*100</f>
        <v>108.3304</v>
      </c>
    </row>
    <row r="59" spans="1:7" ht="29.25" customHeight="1" hidden="1">
      <c r="A59" s="108"/>
      <c r="B59" s="109"/>
      <c r="C59" s="112" t="s">
        <v>1357</v>
      </c>
      <c r="D59" s="74" t="s">
        <v>735</v>
      </c>
      <c r="E59" s="786">
        <v>0</v>
      </c>
      <c r="F59" s="786">
        <v>0</v>
      </c>
      <c r="G59" s="838" t="s">
        <v>1081</v>
      </c>
    </row>
    <row r="60" spans="1:7" s="92" customFormat="1" ht="19.5" customHeight="1">
      <c r="A60" s="111"/>
      <c r="B60" s="112"/>
      <c r="C60" s="112" t="s">
        <v>1354</v>
      </c>
      <c r="D60" s="114" t="s">
        <v>1093</v>
      </c>
      <c r="E60" s="786">
        <v>170000</v>
      </c>
      <c r="F60" s="786">
        <v>184161.68</v>
      </c>
      <c r="G60" s="837">
        <f t="shared" si="2"/>
        <v>108.3304</v>
      </c>
    </row>
    <row r="61" spans="1:7" s="86" customFormat="1" ht="19.5" customHeight="1">
      <c r="A61" s="104" t="s">
        <v>867</v>
      </c>
      <c r="B61" s="105"/>
      <c r="C61" s="105"/>
      <c r="D61" s="107" t="s">
        <v>869</v>
      </c>
      <c r="E61" s="787">
        <f>SUM(E62,E64,E72)</f>
        <v>703600</v>
      </c>
      <c r="F61" s="787">
        <f>SUM(F62,F64,F72)</f>
        <v>544249.55</v>
      </c>
      <c r="G61" s="849">
        <f t="shared" si="2"/>
        <v>77.35212478681069</v>
      </c>
    </row>
    <row r="62" spans="1:7" ht="19.5" customHeight="1">
      <c r="A62" s="108"/>
      <c r="B62" s="109" t="s">
        <v>870</v>
      </c>
      <c r="C62" s="109"/>
      <c r="D62" s="110" t="s">
        <v>876</v>
      </c>
      <c r="E62" s="788">
        <f>SUM(E63)</f>
        <v>360000</v>
      </c>
      <c r="F62" s="788">
        <f>SUM(F63)</f>
        <v>360000</v>
      </c>
      <c r="G62" s="838">
        <f t="shared" si="2"/>
        <v>100</v>
      </c>
    </row>
    <row r="63" spans="1:7" s="92" customFormat="1" ht="56.25" customHeight="1">
      <c r="A63" s="111"/>
      <c r="B63" s="112"/>
      <c r="C63" s="112" t="s">
        <v>28</v>
      </c>
      <c r="D63" s="74" t="s">
        <v>1155</v>
      </c>
      <c r="E63" s="786">
        <v>360000</v>
      </c>
      <c r="F63" s="786">
        <v>360000</v>
      </c>
      <c r="G63" s="837">
        <f t="shared" si="2"/>
        <v>100</v>
      </c>
    </row>
    <row r="64" spans="1:7" ht="19.5" customHeight="1">
      <c r="A64" s="108"/>
      <c r="B64" s="115" t="s">
        <v>879</v>
      </c>
      <c r="C64" s="115"/>
      <c r="D64" s="116" t="s">
        <v>1156</v>
      </c>
      <c r="E64" s="789">
        <f>SUM(E65,E66,E67,E68,E69,E70,E71)</f>
        <v>93600</v>
      </c>
      <c r="F64" s="789">
        <f>SUM(F65,F66,F67,F68,F69,F70,F71)</f>
        <v>184249.55</v>
      </c>
      <c r="G64" s="851">
        <f t="shared" si="2"/>
        <v>196.84780982905983</v>
      </c>
    </row>
    <row r="65" spans="1:7" s="92" customFormat="1" ht="19.5" customHeight="1">
      <c r="A65" s="117"/>
      <c r="B65" s="118"/>
      <c r="C65" s="118" t="s">
        <v>1358</v>
      </c>
      <c r="D65" s="119" t="s">
        <v>1028</v>
      </c>
      <c r="E65" s="790">
        <v>40000</v>
      </c>
      <c r="F65" s="786">
        <v>76500.46</v>
      </c>
      <c r="G65" s="95">
        <f t="shared" si="2"/>
        <v>191.25115000000002</v>
      </c>
    </row>
    <row r="66" spans="1:7" s="92" customFormat="1" ht="69" customHeight="1">
      <c r="A66" s="111"/>
      <c r="B66" s="112"/>
      <c r="C66" s="99" t="s">
        <v>1359</v>
      </c>
      <c r="D66" s="74" t="s">
        <v>38</v>
      </c>
      <c r="E66" s="786">
        <v>11800</v>
      </c>
      <c r="F66" s="786">
        <v>11952.27</v>
      </c>
      <c r="G66" s="837">
        <f t="shared" si="2"/>
        <v>101.29042372881356</v>
      </c>
    </row>
    <row r="67" spans="1:7" s="92" customFormat="1" ht="20.25" customHeight="1">
      <c r="A67" s="111"/>
      <c r="B67" s="112"/>
      <c r="C67" s="99" t="s">
        <v>1354</v>
      </c>
      <c r="D67" s="74" t="s">
        <v>1093</v>
      </c>
      <c r="E67" s="786">
        <v>8200</v>
      </c>
      <c r="F67" s="786">
        <v>15152.69</v>
      </c>
      <c r="G67" s="837">
        <f t="shared" si="2"/>
        <v>184.78890243902438</v>
      </c>
    </row>
    <row r="68" spans="1:7" s="92" customFormat="1" ht="20.25" customHeight="1" hidden="1">
      <c r="A68" s="111"/>
      <c r="B68" s="112"/>
      <c r="C68" s="99" t="s">
        <v>1328</v>
      </c>
      <c r="D68" s="74" t="s">
        <v>1327</v>
      </c>
      <c r="E68" s="786">
        <v>0</v>
      </c>
      <c r="F68" s="786"/>
      <c r="G68" s="837" t="e">
        <f t="shared" si="2"/>
        <v>#DIV/0!</v>
      </c>
    </row>
    <row r="69" spans="1:7" s="92" customFormat="1" ht="21" customHeight="1">
      <c r="A69" s="111"/>
      <c r="B69" s="112"/>
      <c r="C69" s="99" t="s">
        <v>1355</v>
      </c>
      <c r="D69" s="74" t="s">
        <v>1032</v>
      </c>
      <c r="E69" s="786">
        <v>3300</v>
      </c>
      <c r="F69" s="786">
        <v>3272.17</v>
      </c>
      <c r="G69" s="837">
        <f t="shared" si="2"/>
        <v>99.15666666666667</v>
      </c>
    </row>
    <row r="70" spans="1:7" s="92" customFormat="1" ht="21" customHeight="1">
      <c r="A70" s="111"/>
      <c r="B70" s="112"/>
      <c r="C70" s="99" t="s">
        <v>1356</v>
      </c>
      <c r="D70" s="74" t="s">
        <v>1031</v>
      </c>
      <c r="E70" s="786">
        <v>16300</v>
      </c>
      <c r="F70" s="786">
        <v>53795.28</v>
      </c>
      <c r="G70" s="837">
        <f t="shared" si="2"/>
        <v>330.0323926380368</v>
      </c>
    </row>
    <row r="71" spans="1:7" s="92" customFormat="1" ht="52.5" customHeight="1">
      <c r="A71" s="111"/>
      <c r="B71" s="112"/>
      <c r="C71" s="99" t="s">
        <v>16</v>
      </c>
      <c r="D71" s="74" t="s">
        <v>36</v>
      </c>
      <c r="E71" s="786">
        <v>14000</v>
      </c>
      <c r="F71" s="786">
        <v>23576.68</v>
      </c>
      <c r="G71" s="837">
        <f aca="true" t="shared" si="3" ref="G71:G82">F71/E71*100</f>
        <v>168.40485714285714</v>
      </c>
    </row>
    <row r="72" spans="1:7" s="792" customFormat="1" ht="19.5" customHeight="1">
      <c r="A72" s="108"/>
      <c r="B72" s="109" t="s">
        <v>882</v>
      </c>
      <c r="C72" s="125"/>
      <c r="D72" s="113" t="s">
        <v>840</v>
      </c>
      <c r="E72" s="788">
        <f>SUM(E73,E75)</f>
        <v>250000</v>
      </c>
      <c r="F72" s="788">
        <f>SUM(F73,F75)</f>
        <v>0</v>
      </c>
      <c r="G72" s="838">
        <f t="shared" si="3"/>
        <v>0</v>
      </c>
    </row>
    <row r="73" spans="1:7" s="793" customFormat="1" ht="28.5" customHeight="1">
      <c r="A73" s="111"/>
      <c r="B73" s="112"/>
      <c r="C73" s="99" t="s">
        <v>231</v>
      </c>
      <c r="D73" s="74" t="s">
        <v>232</v>
      </c>
      <c r="E73" s="786">
        <v>212500</v>
      </c>
      <c r="F73" s="786">
        <v>0</v>
      </c>
      <c r="G73" s="837">
        <f t="shared" si="3"/>
        <v>0</v>
      </c>
    </row>
    <row r="74" spans="1:7" s="793" customFormat="1" ht="65.25" customHeight="1">
      <c r="A74" s="111"/>
      <c r="B74" s="112"/>
      <c r="C74" s="99"/>
      <c r="D74" s="74" t="s">
        <v>116</v>
      </c>
      <c r="E74" s="786"/>
      <c r="F74" s="786"/>
      <c r="G74" s="837"/>
    </row>
    <row r="75" spans="1:7" s="793" customFormat="1" ht="29.25" customHeight="1">
      <c r="A75" s="111"/>
      <c r="B75" s="112"/>
      <c r="C75" s="99" t="s">
        <v>233</v>
      </c>
      <c r="D75" s="74" t="s">
        <v>232</v>
      </c>
      <c r="E75" s="786">
        <v>37500</v>
      </c>
      <c r="F75" s="786">
        <v>0</v>
      </c>
      <c r="G75" s="837">
        <f t="shared" si="3"/>
        <v>0</v>
      </c>
    </row>
    <row r="76" spans="1:7" s="793" customFormat="1" ht="77.25" customHeight="1">
      <c r="A76" s="111"/>
      <c r="B76" s="112"/>
      <c r="C76" s="99"/>
      <c r="D76" s="74" t="s">
        <v>1266</v>
      </c>
      <c r="E76" s="786"/>
      <c r="F76" s="786"/>
      <c r="G76" s="837"/>
    </row>
    <row r="77" spans="1:7" s="86" customFormat="1" ht="42" customHeight="1">
      <c r="A77" s="120" t="s">
        <v>1101</v>
      </c>
      <c r="B77" s="105"/>
      <c r="C77" s="121"/>
      <c r="D77" s="122" t="s">
        <v>883</v>
      </c>
      <c r="E77" s="787">
        <f>SUM(E78,E80)</f>
        <v>6168</v>
      </c>
      <c r="F77" s="787">
        <f>SUM(F78,F80)</f>
        <v>6166.74</v>
      </c>
      <c r="G77" s="852">
        <f t="shared" si="3"/>
        <v>99.9795719844358</v>
      </c>
    </row>
    <row r="78" spans="1:7" ht="29.25" customHeight="1">
      <c r="A78" s="108"/>
      <c r="B78" s="109" t="s">
        <v>1038</v>
      </c>
      <c r="C78" s="123"/>
      <c r="D78" s="113" t="s">
        <v>1041</v>
      </c>
      <c r="E78" s="788">
        <f>E79</f>
        <v>6168</v>
      </c>
      <c r="F78" s="788">
        <f>F79</f>
        <v>6166.74</v>
      </c>
      <c r="G78" s="853">
        <f t="shared" si="3"/>
        <v>99.9795719844358</v>
      </c>
    </row>
    <row r="79" spans="1:7" s="92" customFormat="1" ht="56.25" customHeight="1">
      <c r="A79" s="111"/>
      <c r="B79" s="112"/>
      <c r="C79" s="73">
        <v>2010</v>
      </c>
      <c r="D79" s="74" t="s">
        <v>1155</v>
      </c>
      <c r="E79" s="786">
        <v>6168</v>
      </c>
      <c r="F79" s="786">
        <v>6166.74</v>
      </c>
      <c r="G79" s="854">
        <f t="shared" si="3"/>
        <v>99.9795719844358</v>
      </c>
    </row>
    <row r="80" spans="1:7" s="92" customFormat="1" ht="18.75" customHeight="1" hidden="1">
      <c r="A80" s="108"/>
      <c r="B80" s="109" t="s">
        <v>89</v>
      </c>
      <c r="C80" s="123"/>
      <c r="D80" s="113" t="s">
        <v>996</v>
      </c>
      <c r="E80" s="788">
        <f>E81</f>
        <v>0</v>
      </c>
      <c r="F80" s="788">
        <f>F81</f>
        <v>0</v>
      </c>
      <c r="G80" s="853" t="e">
        <f t="shared" si="3"/>
        <v>#DIV/0!</v>
      </c>
    </row>
    <row r="81" spans="1:7" s="92" customFormat="1" ht="56.25" customHeight="1" hidden="1">
      <c r="A81" s="111"/>
      <c r="B81" s="112"/>
      <c r="C81" s="73">
        <v>2010</v>
      </c>
      <c r="D81" s="74" t="s">
        <v>1155</v>
      </c>
      <c r="E81" s="786">
        <v>0</v>
      </c>
      <c r="F81" s="786">
        <v>0</v>
      </c>
      <c r="G81" s="854" t="e">
        <f t="shared" si="3"/>
        <v>#DIV/0!</v>
      </c>
    </row>
    <row r="82" spans="1:7" ht="29.25" customHeight="1">
      <c r="A82" s="104" t="s">
        <v>884</v>
      </c>
      <c r="B82" s="105"/>
      <c r="C82" s="106"/>
      <c r="D82" s="122" t="s">
        <v>971</v>
      </c>
      <c r="E82" s="787">
        <f>SUM(E83,E85,E87)</f>
        <v>59000</v>
      </c>
      <c r="F82" s="787">
        <f>SUM(F83,F85,F87)</f>
        <v>86698.37</v>
      </c>
      <c r="G82" s="849">
        <f t="shared" si="3"/>
        <v>146.94638983050848</v>
      </c>
    </row>
    <row r="83" spans="1:7" ht="17.25" customHeight="1">
      <c r="A83" s="108"/>
      <c r="B83" s="109" t="s">
        <v>886</v>
      </c>
      <c r="C83" s="106"/>
      <c r="D83" s="110" t="s">
        <v>887</v>
      </c>
      <c r="E83" s="788">
        <f>SUM(E84)</f>
        <v>7000</v>
      </c>
      <c r="F83" s="788">
        <f>SUM(F84)</f>
        <v>6972.26</v>
      </c>
      <c r="G83" s="838">
        <f aca="true" t="shared" si="4" ref="G83:G94">F83/E83*100</f>
        <v>99.60371428571429</v>
      </c>
    </row>
    <row r="84" spans="1:7" s="92" customFormat="1" ht="57.75" customHeight="1">
      <c r="A84" s="111"/>
      <c r="B84" s="112"/>
      <c r="C84" s="73">
        <v>2010</v>
      </c>
      <c r="D84" s="74" t="s">
        <v>1155</v>
      </c>
      <c r="E84" s="786">
        <v>7000</v>
      </c>
      <c r="F84" s="786">
        <v>6972.26</v>
      </c>
      <c r="G84" s="837">
        <f t="shared" si="4"/>
        <v>99.60371428571429</v>
      </c>
    </row>
    <row r="85" spans="1:7" ht="18" customHeight="1">
      <c r="A85" s="108"/>
      <c r="B85" s="109" t="s">
        <v>1173</v>
      </c>
      <c r="C85" s="123"/>
      <c r="D85" s="113" t="s">
        <v>1174</v>
      </c>
      <c r="E85" s="788">
        <f>E86</f>
        <v>52000</v>
      </c>
      <c r="F85" s="788">
        <f>F86</f>
        <v>79726.11</v>
      </c>
      <c r="G85" s="838">
        <f t="shared" si="4"/>
        <v>153.3194423076923</v>
      </c>
    </row>
    <row r="86" spans="1:7" s="92" customFormat="1" ht="27" customHeight="1">
      <c r="A86" s="111"/>
      <c r="B86" s="112"/>
      <c r="C86" s="99" t="s">
        <v>1357</v>
      </c>
      <c r="D86" s="74" t="s">
        <v>735</v>
      </c>
      <c r="E86" s="786">
        <v>52000</v>
      </c>
      <c r="F86" s="786">
        <v>79726.11</v>
      </c>
      <c r="G86" s="837">
        <f t="shared" si="4"/>
        <v>153.3194423076923</v>
      </c>
    </row>
    <row r="87" spans="1:8" s="92" customFormat="1" ht="21" customHeight="1" hidden="1">
      <c r="A87" s="108"/>
      <c r="B87" s="109" t="s">
        <v>324</v>
      </c>
      <c r="C87" s="123"/>
      <c r="D87" s="113" t="s">
        <v>840</v>
      </c>
      <c r="E87" s="788">
        <f>SUM(E88,E89,E90)</f>
        <v>0</v>
      </c>
      <c r="F87" s="788">
        <f>SUM(F88,F89,F90)</f>
        <v>0</v>
      </c>
      <c r="G87" s="838" t="e">
        <f>F87/E87*100</f>
        <v>#DIV/0!</v>
      </c>
      <c r="H87" s="89"/>
    </row>
    <row r="88" spans="1:7" s="92" customFormat="1" ht="22.5" customHeight="1" hidden="1">
      <c r="A88" s="111"/>
      <c r="B88" s="112"/>
      <c r="C88" s="99" t="s">
        <v>1356</v>
      </c>
      <c r="D88" s="74" t="s">
        <v>1031</v>
      </c>
      <c r="E88" s="786">
        <v>0</v>
      </c>
      <c r="F88" s="786">
        <v>0</v>
      </c>
      <c r="G88" s="837" t="e">
        <f>F88/E88*100</f>
        <v>#DIV/0!</v>
      </c>
    </row>
    <row r="89" spans="1:7" s="92" customFormat="1" ht="51.75" customHeight="1" hidden="1">
      <c r="A89" s="111"/>
      <c r="B89" s="112"/>
      <c r="C89" s="99" t="s">
        <v>90</v>
      </c>
      <c r="D89" s="74" t="s">
        <v>997</v>
      </c>
      <c r="E89" s="786">
        <v>0</v>
      </c>
      <c r="F89" s="786">
        <v>0</v>
      </c>
      <c r="G89" s="837" t="e">
        <f>F89/E89*100</f>
        <v>#DIV/0!</v>
      </c>
    </row>
    <row r="90" spans="1:7" s="92" customFormat="1" ht="54" customHeight="1" hidden="1">
      <c r="A90" s="111"/>
      <c r="B90" s="112"/>
      <c r="C90" s="99" t="s">
        <v>91</v>
      </c>
      <c r="D90" s="74" t="s">
        <v>998</v>
      </c>
      <c r="E90" s="786">
        <v>0</v>
      </c>
      <c r="F90" s="786">
        <v>0</v>
      </c>
      <c r="G90" s="837" t="e">
        <f>F90/E90*100</f>
        <v>#DIV/0!</v>
      </c>
    </row>
    <row r="91" spans="1:7" s="86" customFormat="1" ht="69" customHeight="1">
      <c r="A91" s="120" t="s">
        <v>1142</v>
      </c>
      <c r="B91" s="105"/>
      <c r="C91" s="105"/>
      <c r="D91" s="122" t="s">
        <v>276</v>
      </c>
      <c r="E91" s="787">
        <f>SUM(E92,E95,E103,E115,E123)</f>
        <v>79069333</v>
      </c>
      <c r="F91" s="787">
        <f>SUM(F92,F95,F103,F115,F123)</f>
        <v>82125936.50999999</v>
      </c>
      <c r="G91" s="849">
        <f t="shared" si="4"/>
        <v>103.86572567900629</v>
      </c>
    </row>
    <row r="92" spans="1:7" ht="19.5" customHeight="1">
      <c r="A92" s="108"/>
      <c r="B92" s="109" t="s">
        <v>1042</v>
      </c>
      <c r="C92" s="109"/>
      <c r="D92" s="110" t="s">
        <v>1043</v>
      </c>
      <c r="E92" s="788">
        <f>E93+E94</f>
        <v>395000</v>
      </c>
      <c r="F92" s="788">
        <f>F93+F94</f>
        <v>427233.04000000004</v>
      </c>
      <c r="G92" s="838">
        <f t="shared" si="4"/>
        <v>108.16026329113926</v>
      </c>
    </row>
    <row r="93" spans="1:7" s="92" customFormat="1" ht="29.25" customHeight="1">
      <c r="A93" s="111"/>
      <c r="B93" s="112"/>
      <c r="C93" s="112" t="s">
        <v>1367</v>
      </c>
      <c r="D93" s="74" t="s">
        <v>1322</v>
      </c>
      <c r="E93" s="786">
        <v>390000</v>
      </c>
      <c r="F93" s="781">
        <v>421440.95</v>
      </c>
      <c r="G93" s="837">
        <f t="shared" si="4"/>
        <v>108.06178205128205</v>
      </c>
    </row>
    <row r="94" spans="1:7" s="92" customFormat="1" ht="29.25" customHeight="1">
      <c r="A94" s="111"/>
      <c r="B94" s="112"/>
      <c r="C94" s="99" t="s">
        <v>1368</v>
      </c>
      <c r="D94" s="74" t="s">
        <v>1315</v>
      </c>
      <c r="E94" s="786">
        <v>5000</v>
      </c>
      <c r="F94" s="781">
        <v>5792.09</v>
      </c>
      <c r="G94" s="837">
        <f t="shared" si="4"/>
        <v>115.84179999999999</v>
      </c>
    </row>
    <row r="95" spans="1:7" ht="57.75" customHeight="1">
      <c r="A95" s="108"/>
      <c r="B95" s="125" t="s">
        <v>1188</v>
      </c>
      <c r="C95" s="109"/>
      <c r="D95" s="113" t="s">
        <v>273</v>
      </c>
      <c r="E95" s="788">
        <f>SUM(E96,E97,E98,E99,E100,E101,E102)</f>
        <v>46058991</v>
      </c>
      <c r="F95" s="788">
        <f>SUM(F96,F97,F98,F99,F100,F101,F102)</f>
        <v>46281466.75</v>
      </c>
      <c r="G95" s="838">
        <f>F95/E95*100</f>
        <v>100.483023499147</v>
      </c>
    </row>
    <row r="96" spans="1:7" s="92" customFormat="1" ht="19.5" customHeight="1">
      <c r="A96" s="111"/>
      <c r="B96" s="112"/>
      <c r="C96" s="112" t="s">
        <v>1369</v>
      </c>
      <c r="D96" s="114" t="s">
        <v>1044</v>
      </c>
      <c r="E96" s="786">
        <v>36570000</v>
      </c>
      <c r="F96" s="786">
        <v>36793355.35</v>
      </c>
      <c r="G96" s="837">
        <f aca="true" t="shared" si="5" ref="G96:G188">F96/E96*100</f>
        <v>100.61076114301339</v>
      </c>
    </row>
    <row r="97" spans="1:7" s="92" customFormat="1" ht="19.5" customHeight="1">
      <c r="A97" s="111"/>
      <c r="B97" s="112"/>
      <c r="C97" s="112" t="s">
        <v>1370</v>
      </c>
      <c r="D97" s="114" t="s">
        <v>1045</v>
      </c>
      <c r="E97" s="786">
        <v>2000</v>
      </c>
      <c r="F97" s="786">
        <v>6015</v>
      </c>
      <c r="G97" s="837">
        <f t="shared" si="5"/>
        <v>300.75</v>
      </c>
    </row>
    <row r="98" spans="1:7" s="92" customFormat="1" ht="19.5" customHeight="1">
      <c r="A98" s="111"/>
      <c r="B98" s="112"/>
      <c r="C98" s="112" t="s">
        <v>1371</v>
      </c>
      <c r="D98" s="114" t="s">
        <v>1046</v>
      </c>
      <c r="E98" s="786">
        <v>46000</v>
      </c>
      <c r="F98" s="786">
        <v>57637</v>
      </c>
      <c r="G98" s="837">
        <f t="shared" si="5"/>
        <v>125.29782608695652</v>
      </c>
    </row>
    <row r="99" spans="1:7" s="92" customFormat="1" ht="19.5" customHeight="1">
      <c r="A99" s="111"/>
      <c r="B99" s="112"/>
      <c r="C99" s="112" t="s">
        <v>1372</v>
      </c>
      <c r="D99" s="114" t="s">
        <v>1047</v>
      </c>
      <c r="E99" s="786">
        <v>160000</v>
      </c>
      <c r="F99" s="786">
        <v>136671.01</v>
      </c>
      <c r="G99" s="837">
        <f t="shared" si="5"/>
        <v>85.41938125</v>
      </c>
    </row>
    <row r="100" spans="1:7" s="92" customFormat="1" ht="19.5" customHeight="1">
      <c r="A100" s="111"/>
      <c r="B100" s="112"/>
      <c r="C100" s="112" t="s">
        <v>1373</v>
      </c>
      <c r="D100" s="114" t="s">
        <v>1048</v>
      </c>
      <c r="E100" s="786">
        <v>130000</v>
      </c>
      <c r="F100" s="786">
        <v>156237.15</v>
      </c>
      <c r="G100" s="837">
        <f t="shared" si="5"/>
        <v>120.18242307692306</v>
      </c>
    </row>
    <row r="101" spans="1:7" s="92" customFormat="1" ht="28.5" customHeight="1">
      <c r="A101" s="111"/>
      <c r="B101" s="112"/>
      <c r="C101" s="112" t="s">
        <v>1368</v>
      </c>
      <c r="D101" s="74" t="s">
        <v>1315</v>
      </c>
      <c r="E101" s="786">
        <v>9150000</v>
      </c>
      <c r="F101" s="786">
        <v>9130560.24</v>
      </c>
      <c r="G101" s="837">
        <f t="shared" si="5"/>
        <v>99.78754360655738</v>
      </c>
    </row>
    <row r="102" spans="1:7" s="791" customFormat="1" ht="28.5" customHeight="1">
      <c r="A102" s="111"/>
      <c r="B102" s="112"/>
      <c r="C102" s="112" t="s">
        <v>419</v>
      </c>
      <c r="D102" s="74" t="s">
        <v>420</v>
      </c>
      <c r="E102" s="786">
        <v>991</v>
      </c>
      <c r="F102" s="786">
        <v>991</v>
      </c>
      <c r="G102" s="837">
        <f t="shared" si="5"/>
        <v>100</v>
      </c>
    </row>
    <row r="103" spans="1:7" ht="56.25" customHeight="1">
      <c r="A103" s="108"/>
      <c r="B103" s="109" t="s">
        <v>1345</v>
      </c>
      <c r="C103" s="109"/>
      <c r="D103" s="113" t="s">
        <v>1346</v>
      </c>
      <c r="E103" s="788">
        <f>SUM(E104,E105,E106,E107,E108,E112,E109,E110,E111,E113,E114)</f>
        <v>9073500</v>
      </c>
      <c r="F103" s="788">
        <f>SUM(F104,F105,F106,F107,F108,F112,F109,F110,F111,F113,F114)</f>
        <v>9492965.15</v>
      </c>
      <c r="G103" s="838">
        <f t="shared" si="5"/>
        <v>104.62296963685458</v>
      </c>
    </row>
    <row r="104" spans="1:7" s="92" customFormat="1" ht="21" customHeight="1">
      <c r="A104" s="111"/>
      <c r="B104" s="112"/>
      <c r="C104" s="112" t="s">
        <v>1369</v>
      </c>
      <c r="D104" s="114" t="s">
        <v>1044</v>
      </c>
      <c r="E104" s="786">
        <v>3480000</v>
      </c>
      <c r="F104" s="786">
        <v>3624207.94</v>
      </c>
      <c r="G104" s="837">
        <f t="shared" si="5"/>
        <v>104.14390632183907</v>
      </c>
    </row>
    <row r="105" spans="1:7" s="92" customFormat="1" ht="21" customHeight="1">
      <c r="A105" s="111"/>
      <c r="B105" s="112"/>
      <c r="C105" s="112" t="s">
        <v>1370</v>
      </c>
      <c r="D105" s="114" t="s">
        <v>1045</v>
      </c>
      <c r="E105" s="786">
        <v>40000</v>
      </c>
      <c r="F105" s="786">
        <v>41950.96</v>
      </c>
      <c r="G105" s="837">
        <f t="shared" si="5"/>
        <v>104.8774</v>
      </c>
    </row>
    <row r="106" spans="1:7" s="92" customFormat="1" ht="21" customHeight="1">
      <c r="A106" s="111"/>
      <c r="B106" s="112"/>
      <c r="C106" s="112" t="s">
        <v>1371</v>
      </c>
      <c r="D106" s="114" t="s">
        <v>1046</v>
      </c>
      <c r="E106" s="786">
        <v>500</v>
      </c>
      <c r="F106" s="786">
        <v>577.07</v>
      </c>
      <c r="G106" s="837">
        <f t="shared" si="5"/>
        <v>115.41400000000002</v>
      </c>
    </row>
    <row r="107" spans="1:7" s="92" customFormat="1" ht="21" customHeight="1">
      <c r="A107" s="111"/>
      <c r="B107" s="112"/>
      <c r="C107" s="112" t="s">
        <v>1372</v>
      </c>
      <c r="D107" s="114" t="s">
        <v>1047</v>
      </c>
      <c r="E107" s="786">
        <v>75000</v>
      </c>
      <c r="F107" s="786">
        <v>106103.26</v>
      </c>
      <c r="G107" s="837">
        <f t="shared" si="5"/>
        <v>141.4710133333333</v>
      </c>
    </row>
    <row r="108" spans="1:7" s="92" customFormat="1" ht="21" customHeight="1">
      <c r="A108" s="111"/>
      <c r="B108" s="112"/>
      <c r="C108" s="112" t="s">
        <v>1374</v>
      </c>
      <c r="D108" s="114" t="s">
        <v>1049</v>
      </c>
      <c r="E108" s="786">
        <v>370000</v>
      </c>
      <c r="F108" s="781">
        <v>383718.17</v>
      </c>
      <c r="G108" s="837">
        <f t="shared" si="5"/>
        <v>103.70761351351352</v>
      </c>
    </row>
    <row r="109" spans="1:7" s="92" customFormat="1" ht="28.5" customHeight="1">
      <c r="A109" s="111"/>
      <c r="B109" s="112"/>
      <c r="C109" s="112" t="s">
        <v>764</v>
      </c>
      <c r="D109" s="74" t="s">
        <v>1320</v>
      </c>
      <c r="E109" s="786">
        <v>2005000</v>
      </c>
      <c r="F109" s="786">
        <v>2053697.8</v>
      </c>
      <c r="G109" s="837">
        <f t="shared" si="5"/>
        <v>102.42881795511222</v>
      </c>
    </row>
    <row r="110" spans="1:7" s="92" customFormat="1" ht="21" customHeight="1">
      <c r="A110" s="111"/>
      <c r="B110" s="112"/>
      <c r="C110" s="112" t="s">
        <v>1</v>
      </c>
      <c r="D110" s="114" t="s">
        <v>1050</v>
      </c>
      <c r="E110" s="786">
        <v>490000</v>
      </c>
      <c r="F110" s="786">
        <v>497682.75</v>
      </c>
      <c r="G110" s="837">
        <f t="shared" si="5"/>
        <v>101.56790816326532</v>
      </c>
    </row>
    <row r="111" spans="1:7" s="92" customFormat="1" ht="21" customHeight="1">
      <c r="A111" s="111"/>
      <c r="B111" s="112"/>
      <c r="C111" s="112" t="s">
        <v>1373</v>
      </c>
      <c r="D111" s="114" t="s">
        <v>1048</v>
      </c>
      <c r="E111" s="786">
        <v>2550000</v>
      </c>
      <c r="F111" s="781">
        <v>2691350.07</v>
      </c>
      <c r="G111" s="837">
        <f t="shared" si="5"/>
        <v>105.54314000000001</v>
      </c>
    </row>
    <row r="112" spans="1:8" s="92" customFormat="1" ht="21" customHeight="1">
      <c r="A112" s="111"/>
      <c r="B112" s="112"/>
      <c r="C112" s="124" t="s">
        <v>594</v>
      </c>
      <c r="D112" s="126" t="s">
        <v>595</v>
      </c>
      <c r="E112" s="786">
        <v>0</v>
      </c>
      <c r="F112" s="786">
        <v>1194.75</v>
      </c>
      <c r="G112" s="837" t="s">
        <v>1081</v>
      </c>
      <c r="H112" s="196"/>
    </row>
    <row r="113" spans="1:7" s="92" customFormat="1" ht="27.75" customHeight="1" hidden="1">
      <c r="A113" s="111"/>
      <c r="B113" s="112"/>
      <c r="C113" s="112" t="s">
        <v>1026</v>
      </c>
      <c r="D113" s="74" t="s">
        <v>521</v>
      </c>
      <c r="E113" s="786">
        <v>0</v>
      </c>
      <c r="F113" s="781"/>
      <c r="G113" s="837" t="s">
        <v>1081</v>
      </c>
    </row>
    <row r="114" spans="1:7" s="92" customFormat="1" ht="28.5" customHeight="1">
      <c r="A114" s="111"/>
      <c r="B114" s="112"/>
      <c r="C114" s="112" t="s">
        <v>1368</v>
      </c>
      <c r="D114" s="74" t="s">
        <v>1315</v>
      </c>
      <c r="E114" s="786">
        <v>63000</v>
      </c>
      <c r="F114" s="786">
        <v>92482.38</v>
      </c>
      <c r="G114" s="837">
        <f t="shared" si="5"/>
        <v>146.79742857142858</v>
      </c>
    </row>
    <row r="115" spans="1:7" ht="41.25" customHeight="1">
      <c r="A115" s="108"/>
      <c r="B115" s="109" t="s">
        <v>1051</v>
      </c>
      <c r="C115" s="109"/>
      <c r="D115" s="113" t="s">
        <v>1164</v>
      </c>
      <c r="E115" s="788">
        <f>SUM(E116,E117,E118,E119,E120,E121,E122)</f>
        <v>1795000</v>
      </c>
      <c r="F115" s="788">
        <f>SUM(F116,F117,F118,F119,F120,F121,F122)</f>
        <v>2044938.65</v>
      </c>
      <c r="G115" s="838">
        <f t="shared" si="5"/>
        <v>113.92415877437325</v>
      </c>
    </row>
    <row r="116" spans="1:7" s="92" customFormat="1" ht="19.5" customHeight="1">
      <c r="A116" s="111"/>
      <c r="B116" s="112"/>
      <c r="C116" s="112" t="s">
        <v>2</v>
      </c>
      <c r="D116" s="114" t="s">
        <v>1061</v>
      </c>
      <c r="E116" s="786">
        <v>500000</v>
      </c>
      <c r="F116" s="786">
        <v>589712.12</v>
      </c>
      <c r="G116" s="837">
        <f t="shared" si="5"/>
        <v>117.94242399999999</v>
      </c>
    </row>
    <row r="117" spans="1:7" s="92" customFormat="1" ht="19.5" customHeight="1">
      <c r="A117" s="111"/>
      <c r="B117" s="112"/>
      <c r="C117" s="112" t="s">
        <v>4</v>
      </c>
      <c r="D117" s="114" t="s">
        <v>1162</v>
      </c>
      <c r="E117" s="786">
        <v>5000</v>
      </c>
      <c r="F117" s="786">
        <v>4919</v>
      </c>
      <c r="G117" s="837">
        <f>F117/E117*100</f>
        <v>98.38</v>
      </c>
    </row>
    <row r="118" spans="1:7" s="92" customFormat="1" ht="27" customHeight="1">
      <c r="A118" s="111"/>
      <c r="B118" s="112"/>
      <c r="C118" s="112" t="s">
        <v>5</v>
      </c>
      <c r="D118" s="74" t="s">
        <v>1079</v>
      </c>
      <c r="E118" s="786">
        <v>1200000</v>
      </c>
      <c r="F118" s="786">
        <v>1290567.94</v>
      </c>
      <c r="G118" s="837">
        <f>F118/E118*100</f>
        <v>107.54732833333334</v>
      </c>
    </row>
    <row r="119" spans="1:7" s="92" customFormat="1" ht="41.25" customHeight="1">
      <c r="A119" s="111"/>
      <c r="B119" s="112"/>
      <c r="C119" s="112" t="s">
        <v>1364</v>
      </c>
      <c r="D119" s="74" t="s">
        <v>1195</v>
      </c>
      <c r="E119" s="786">
        <v>70000</v>
      </c>
      <c r="F119" s="786">
        <v>141089.17</v>
      </c>
      <c r="G119" s="837">
        <f>F119/E119*100</f>
        <v>201.55595714285715</v>
      </c>
    </row>
    <row r="120" spans="1:7" s="92" customFormat="1" ht="19.5" customHeight="1">
      <c r="A120" s="111"/>
      <c r="B120" s="112"/>
      <c r="C120" s="99" t="s">
        <v>6</v>
      </c>
      <c r="D120" s="74" t="s">
        <v>1157</v>
      </c>
      <c r="E120" s="786">
        <v>20000</v>
      </c>
      <c r="F120" s="786">
        <v>15051.48</v>
      </c>
      <c r="G120" s="837">
        <f>F120/E120*100</f>
        <v>75.25739999999999</v>
      </c>
    </row>
    <row r="121" spans="1:7" s="92" customFormat="1" ht="27.75" customHeight="1" hidden="1">
      <c r="A121" s="111"/>
      <c r="B121" s="112"/>
      <c r="C121" s="99" t="s">
        <v>1368</v>
      </c>
      <c r="D121" s="74" t="s">
        <v>1315</v>
      </c>
      <c r="E121" s="786">
        <v>0</v>
      </c>
      <c r="F121" s="786"/>
      <c r="G121" s="838" t="s">
        <v>1081</v>
      </c>
    </row>
    <row r="122" spans="1:7" s="100" customFormat="1" ht="19.5" customHeight="1">
      <c r="A122" s="117"/>
      <c r="B122" s="118"/>
      <c r="C122" s="800" t="s">
        <v>1355</v>
      </c>
      <c r="D122" s="855" t="s">
        <v>1032</v>
      </c>
      <c r="E122" s="790">
        <v>0</v>
      </c>
      <c r="F122" s="790">
        <v>3598.94</v>
      </c>
      <c r="G122" s="851" t="s">
        <v>1081</v>
      </c>
    </row>
    <row r="123" spans="1:7" ht="30" customHeight="1">
      <c r="A123" s="108"/>
      <c r="B123" s="109" t="s">
        <v>1062</v>
      </c>
      <c r="C123" s="109"/>
      <c r="D123" s="113" t="s">
        <v>1063</v>
      </c>
      <c r="E123" s="788">
        <f>E124+E125</f>
        <v>21746842</v>
      </c>
      <c r="F123" s="788">
        <f>F124+F125</f>
        <v>23879332.92</v>
      </c>
      <c r="G123" s="838">
        <f t="shared" si="5"/>
        <v>109.80597973719588</v>
      </c>
    </row>
    <row r="124" spans="1:7" s="92" customFormat="1" ht="19.5" customHeight="1">
      <c r="A124" s="111"/>
      <c r="B124" s="112"/>
      <c r="C124" s="112" t="s">
        <v>7</v>
      </c>
      <c r="D124" s="114" t="s">
        <v>1077</v>
      </c>
      <c r="E124" s="786">
        <v>20646842</v>
      </c>
      <c r="F124" s="781">
        <v>22899866</v>
      </c>
      <c r="G124" s="837">
        <f t="shared" si="5"/>
        <v>110.91219664489127</v>
      </c>
    </row>
    <row r="125" spans="1:7" s="92" customFormat="1" ht="19.5" customHeight="1">
      <c r="A125" s="111"/>
      <c r="B125" s="112"/>
      <c r="C125" s="112" t="s">
        <v>8</v>
      </c>
      <c r="D125" s="114" t="s">
        <v>1082</v>
      </c>
      <c r="E125" s="786">
        <v>1100000</v>
      </c>
      <c r="F125" s="781">
        <v>979466.92</v>
      </c>
      <c r="G125" s="837">
        <f t="shared" si="5"/>
        <v>89.04244727272727</v>
      </c>
    </row>
    <row r="126" spans="1:7" s="86" customFormat="1" ht="19.5" customHeight="1">
      <c r="A126" s="104" t="s">
        <v>889</v>
      </c>
      <c r="B126" s="105"/>
      <c r="C126" s="105"/>
      <c r="D126" s="107" t="s">
        <v>890</v>
      </c>
      <c r="E126" s="787">
        <f>SUM(E127,E129)</f>
        <v>16032368</v>
      </c>
      <c r="F126" s="787">
        <f>SUM(F127,F129)</f>
        <v>16423103.04</v>
      </c>
      <c r="G126" s="849">
        <f t="shared" si="5"/>
        <v>102.43716361800077</v>
      </c>
    </row>
    <row r="127" spans="1:7" ht="30.75" customHeight="1">
      <c r="A127" s="108"/>
      <c r="B127" s="109" t="s">
        <v>1084</v>
      </c>
      <c r="C127" s="109"/>
      <c r="D127" s="113" t="s">
        <v>1086</v>
      </c>
      <c r="E127" s="788">
        <f>E128</f>
        <v>13483599</v>
      </c>
      <c r="F127" s="788">
        <f>F128</f>
        <v>13483599</v>
      </c>
      <c r="G127" s="838">
        <f t="shared" si="5"/>
        <v>100</v>
      </c>
    </row>
    <row r="128" spans="1:7" s="86" customFormat="1" ht="19.5" customHeight="1">
      <c r="A128" s="104"/>
      <c r="B128" s="105"/>
      <c r="C128" s="112" t="s">
        <v>9</v>
      </c>
      <c r="D128" s="74" t="s">
        <v>1159</v>
      </c>
      <c r="E128" s="786">
        <v>13483599</v>
      </c>
      <c r="F128" s="786">
        <v>13483599</v>
      </c>
      <c r="G128" s="837">
        <f t="shared" si="5"/>
        <v>100</v>
      </c>
    </row>
    <row r="129" spans="1:7" ht="19.5" customHeight="1">
      <c r="A129" s="108"/>
      <c r="B129" s="109" t="s">
        <v>1089</v>
      </c>
      <c r="C129" s="109"/>
      <c r="D129" s="110" t="s">
        <v>1090</v>
      </c>
      <c r="E129" s="788">
        <f>SUM(E131,E132,E133,E134,E135)</f>
        <v>2548769</v>
      </c>
      <c r="F129" s="788">
        <f>SUM(F131,F132,F133,F134,F135)</f>
        <v>2939504.04</v>
      </c>
      <c r="G129" s="838">
        <f t="shared" si="5"/>
        <v>115.33034339322236</v>
      </c>
    </row>
    <row r="130" spans="1:7" s="92" customFormat="1" ht="30" customHeight="1" hidden="1">
      <c r="A130" s="111"/>
      <c r="B130" s="112"/>
      <c r="C130" s="112" t="s">
        <v>734</v>
      </c>
      <c r="D130" s="74" t="s">
        <v>733</v>
      </c>
      <c r="E130" s="786">
        <v>0</v>
      </c>
      <c r="F130" s="786">
        <v>0</v>
      </c>
      <c r="G130" s="838" t="e">
        <f t="shared" si="5"/>
        <v>#DIV/0!</v>
      </c>
    </row>
    <row r="131" spans="1:7" s="92" customFormat="1" ht="18.75" customHeight="1">
      <c r="A131" s="111"/>
      <c r="B131" s="112"/>
      <c r="C131" s="112" t="s">
        <v>1358</v>
      </c>
      <c r="D131" s="74" t="s">
        <v>1028</v>
      </c>
      <c r="E131" s="786">
        <v>1400</v>
      </c>
      <c r="F131" s="786">
        <v>2729.01</v>
      </c>
      <c r="G131" s="1339">
        <f t="shared" si="5"/>
        <v>194.92928571428573</v>
      </c>
    </row>
    <row r="132" spans="1:7" s="791" customFormat="1" ht="18.75" customHeight="1">
      <c r="A132" s="111"/>
      <c r="B132" s="112"/>
      <c r="C132" s="112" t="s">
        <v>1328</v>
      </c>
      <c r="D132" s="93" t="s">
        <v>1327</v>
      </c>
      <c r="E132" s="786">
        <v>0</v>
      </c>
      <c r="F132" s="786">
        <v>870.07</v>
      </c>
      <c r="G132" s="837" t="s">
        <v>1081</v>
      </c>
    </row>
    <row r="133" spans="1:7" s="92" customFormat="1" ht="18.75" customHeight="1">
      <c r="A133" s="111"/>
      <c r="B133" s="112"/>
      <c r="C133" s="112" t="s">
        <v>1355</v>
      </c>
      <c r="D133" s="114" t="s">
        <v>1091</v>
      </c>
      <c r="E133" s="786">
        <v>600000</v>
      </c>
      <c r="F133" s="786">
        <v>869324.66</v>
      </c>
      <c r="G133" s="837">
        <f t="shared" si="5"/>
        <v>144.88744333333335</v>
      </c>
    </row>
    <row r="134" spans="1:7" s="92" customFormat="1" ht="21" customHeight="1">
      <c r="A134" s="111"/>
      <c r="B134" s="112"/>
      <c r="C134" s="99" t="s">
        <v>1356</v>
      </c>
      <c r="D134" s="74" t="s">
        <v>1031</v>
      </c>
      <c r="E134" s="786">
        <v>251500</v>
      </c>
      <c r="F134" s="786">
        <v>370711.3</v>
      </c>
      <c r="G134" s="837">
        <f t="shared" si="5"/>
        <v>147.40011928429425</v>
      </c>
    </row>
    <row r="135" spans="1:7" s="92" customFormat="1" ht="44.25" customHeight="1">
      <c r="A135" s="111"/>
      <c r="B135" s="112"/>
      <c r="C135" s="99" t="s">
        <v>13</v>
      </c>
      <c r="D135" s="74" t="s">
        <v>1161</v>
      </c>
      <c r="E135" s="786">
        <v>1695869</v>
      </c>
      <c r="F135" s="786">
        <v>1695869</v>
      </c>
      <c r="G135" s="837">
        <f t="shared" si="5"/>
        <v>100</v>
      </c>
    </row>
    <row r="136" spans="1:7" s="86" customFormat="1" ht="18.75" customHeight="1">
      <c r="A136" s="104" t="s">
        <v>891</v>
      </c>
      <c r="B136" s="105"/>
      <c r="C136" s="105"/>
      <c r="D136" s="107" t="s">
        <v>892</v>
      </c>
      <c r="E136" s="787">
        <f>SUM(E137,E139,E142,E145)</f>
        <v>218102</v>
      </c>
      <c r="F136" s="787">
        <f>SUM(F137,F139,F142,F145)</f>
        <v>204421.37</v>
      </c>
      <c r="G136" s="849">
        <f aca="true" t="shared" si="6" ref="G136:G141">F136/E136*100</f>
        <v>93.72741652988051</v>
      </c>
    </row>
    <row r="137" spans="1:7" ht="18.75" customHeight="1">
      <c r="A137" s="108"/>
      <c r="B137" s="109" t="s">
        <v>893</v>
      </c>
      <c r="C137" s="109"/>
      <c r="D137" s="110" t="s">
        <v>894</v>
      </c>
      <c r="E137" s="788">
        <f>SUM(E138)</f>
        <v>46060</v>
      </c>
      <c r="F137" s="788">
        <f>SUM(F138)</f>
        <v>31731.13</v>
      </c>
      <c r="G137" s="838">
        <f t="shared" si="6"/>
        <v>68.89085974815458</v>
      </c>
    </row>
    <row r="138" spans="1:7" s="92" customFormat="1" ht="47.25" customHeight="1">
      <c r="A138" s="111"/>
      <c r="B138" s="112"/>
      <c r="C138" s="99" t="s">
        <v>13</v>
      </c>
      <c r="D138" s="74" t="s">
        <v>1161</v>
      </c>
      <c r="E138" s="786">
        <v>46060</v>
      </c>
      <c r="F138" s="786">
        <v>31731.13</v>
      </c>
      <c r="G138" s="854">
        <f t="shared" si="6"/>
        <v>68.89085974815458</v>
      </c>
    </row>
    <row r="139" spans="1:7" ht="20.25" customHeight="1">
      <c r="A139" s="108"/>
      <c r="B139" s="109" t="s">
        <v>346</v>
      </c>
      <c r="C139" s="125"/>
      <c r="D139" s="113" t="s">
        <v>347</v>
      </c>
      <c r="E139" s="788">
        <f>SUM(E140,E141)</f>
        <v>7700</v>
      </c>
      <c r="F139" s="788">
        <f>SUM(F140,F141)</f>
        <v>10363.689999999999</v>
      </c>
      <c r="G139" s="1340">
        <f t="shared" si="6"/>
        <v>134.5933766233766</v>
      </c>
    </row>
    <row r="140" spans="1:7" s="92" customFormat="1" ht="29.25" customHeight="1">
      <c r="A140" s="111"/>
      <c r="B140" s="112"/>
      <c r="C140" s="99" t="s">
        <v>1357</v>
      </c>
      <c r="D140" s="74" t="s">
        <v>735</v>
      </c>
      <c r="E140" s="786">
        <v>4200</v>
      </c>
      <c r="F140" s="786">
        <v>4200</v>
      </c>
      <c r="G140" s="854">
        <f t="shared" si="6"/>
        <v>100</v>
      </c>
    </row>
    <row r="141" spans="1:7" s="92" customFormat="1" ht="39.75" customHeight="1">
      <c r="A141" s="111"/>
      <c r="B141" s="112"/>
      <c r="C141" s="99" t="s">
        <v>1211</v>
      </c>
      <c r="D141" s="74" t="s">
        <v>1212</v>
      </c>
      <c r="E141" s="786">
        <v>3500</v>
      </c>
      <c r="F141" s="786">
        <v>6163.69</v>
      </c>
      <c r="G141" s="854">
        <f t="shared" si="6"/>
        <v>176.10542857142858</v>
      </c>
    </row>
    <row r="142" spans="1:7" s="92" customFormat="1" ht="16.5" customHeight="1">
      <c r="A142" s="108"/>
      <c r="B142" s="109" t="s">
        <v>895</v>
      </c>
      <c r="C142" s="125"/>
      <c r="D142" s="113" t="s">
        <v>896</v>
      </c>
      <c r="E142" s="788">
        <f>SUM(E143,E144)</f>
        <v>0</v>
      </c>
      <c r="F142" s="788">
        <f>SUM(F143,F144)</f>
        <v>436.28</v>
      </c>
      <c r="G142" s="853" t="s">
        <v>1081</v>
      </c>
    </row>
    <row r="143" spans="1:7" s="92" customFormat="1" ht="16.5" customHeight="1">
      <c r="A143" s="111"/>
      <c r="B143" s="112"/>
      <c r="C143" s="99" t="s">
        <v>1356</v>
      </c>
      <c r="D143" s="74" t="s">
        <v>1031</v>
      </c>
      <c r="E143" s="786">
        <v>0</v>
      </c>
      <c r="F143" s="786">
        <v>436.28</v>
      </c>
      <c r="G143" s="854" t="s">
        <v>1081</v>
      </c>
    </row>
    <row r="144" spans="1:7" s="92" customFormat="1" ht="82.5" customHeight="1" hidden="1">
      <c r="A144" s="111"/>
      <c r="B144" s="112"/>
      <c r="C144" s="112" t="s">
        <v>811</v>
      </c>
      <c r="D144" s="74" t="s">
        <v>832</v>
      </c>
      <c r="E144" s="786">
        <v>0</v>
      </c>
      <c r="F144" s="786">
        <v>0</v>
      </c>
      <c r="G144" s="854" t="s">
        <v>1081</v>
      </c>
    </row>
    <row r="145" spans="1:7" s="92" customFormat="1" ht="17.25" customHeight="1">
      <c r="A145" s="108"/>
      <c r="B145" s="109" t="s">
        <v>385</v>
      </c>
      <c r="C145" s="125"/>
      <c r="D145" s="113" t="s">
        <v>840</v>
      </c>
      <c r="E145" s="788">
        <f>SUM(E146,E147,E148,E149)</f>
        <v>164342</v>
      </c>
      <c r="F145" s="788">
        <f>SUM(F146,F147,F148,F149)</f>
        <v>161890.27</v>
      </c>
      <c r="G145" s="853">
        <f>F145/E145*100</f>
        <v>98.50815372820094</v>
      </c>
    </row>
    <row r="146" spans="1:7" s="92" customFormat="1" ht="56.25" customHeight="1" hidden="1">
      <c r="A146" s="111"/>
      <c r="B146" s="112"/>
      <c r="C146" s="99" t="s">
        <v>28</v>
      </c>
      <c r="D146" s="74" t="s">
        <v>1155</v>
      </c>
      <c r="E146" s="786">
        <v>0</v>
      </c>
      <c r="F146" s="786">
        <v>0</v>
      </c>
      <c r="G146" s="854" t="e">
        <f>F146/E146*100</f>
        <v>#DIV/0!</v>
      </c>
    </row>
    <row r="147" spans="1:7" s="92" customFormat="1" ht="58.5" customHeight="1">
      <c r="A147" s="111"/>
      <c r="B147" s="112"/>
      <c r="C147" s="99" t="s">
        <v>12</v>
      </c>
      <c r="D147" s="74" t="s">
        <v>1169</v>
      </c>
      <c r="E147" s="786">
        <v>6882</v>
      </c>
      <c r="F147" s="786">
        <v>6226.27</v>
      </c>
      <c r="G147" s="854">
        <f>F147/E147*100</f>
        <v>90.47181052019762</v>
      </c>
    </row>
    <row r="148" spans="1:7" s="92" customFormat="1" ht="41.25" customHeight="1">
      <c r="A148" s="111"/>
      <c r="B148" s="112"/>
      <c r="C148" s="99" t="s">
        <v>13</v>
      </c>
      <c r="D148" s="74" t="s">
        <v>1161</v>
      </c>
      <c r="E148" s="786">
        <v>157460</v>
      </c>
      <c r="F148" s="786">
        <v>155664</v>
      </c>
      <c r="G148" s="854">
        <f>F148/E148*100</f>
        <v>98.85939286167915</v>
      </c>
    </row>
    <row r="149" spans="1:7" s="92" customFormat="1" ht="44.25" customHeight="1" hidden="1">
      <c r="A149" s="111"/>
      <c r="B149" s="112"/>
      <c r="C149" s="99" t="s">
        <v>10</v>
      </c>
      <c r="D149" s="74" t="s">
        <v>1186</v>
      </c>
      <c r="E149" s="786">
        <v>0</v>
      </c>
      <c r="F149" s="786">
        <v>0</v>
      </c>
      <c r="G149" s="854" t="e">
        <f>F149/E149*100</f>
        <v>#DIV/0!</v>
      </c>
    </row>
    <row r="150" spans="1:7" ht="19.5" customHeight="1">
      <c r="A150" s="104" t="s">
        <v>900</v>
      </c>
      <c r="B150" s="105"/>
      <c r="C150" s="106"/>
      <c r="D150" s="107" t="s">
        <v>901</v>
      </c>
      <c r="E150" s="787">
        <f>SUM(E151,E153,E155,E157)</f>
        <v>5700</v>
      </c>
      <c r="F150" s="787">
        <f>SUM(F151,F153,F155,F157)</f>
        <v>5739.43</v>
      </c>
      <c r="G150" s="849">
        <f t="shared" si="5"/>
        <v>100.69175438596491</v>
      </c>
    </row>
    <row r="151" spans="1:7" ht="18" customHeight="1" hidden="1">
      <c r="A151" s="108"/>
      <c r="B151" s="115" t="s">
        <v>390</v>
      </c>
      <c r="C151" s="115"/>
      <c r="D151" s="130" t="s">
        <v>306</v>
      </c>
      <c r="E151" s="789">
        <f>SUM(E152)</f>
        <v>0</v>
      </c>
      <c r="F151" s="789">
        <f>SUM(F152)</f>
        <v>0</v>
      </c>
      <c r="G151" s="838" t="s">
        <v>1081</v>
      </c>
    </row>
    <row r="152" spans="1:7" ht="20.25" customHeight="1" hidden="1">
      <c r="A152" s="111"/>
      <c r="B152" s="124"/>
      <c r="C152" s="124" t="s">
        <v>1356</v>
      </c>
      <c r="D152" s="114" t="s">
        <v>1031</v>
      </c>
      <c r="E152" s="796">
        <v>0</v>
      </c>
      <c r="F152" s="796">
        <v>0</v>
      </c>
      <c r="G152" s="837" t="s">
        <v>1081</v>
      </c>
    </row>
    <row r="153" spans="1:7" ht="19.5" customHeight="1">
      <c r="A153" s="108"/>
      <c r="B153" s="115" t="s">
        <v>394</v>
      </c>
      <c r="C153" s="129"/>
      <c r="D153" s="116" t="s">
        <v>395</v>
      </c>
      <c r="E153" s="789">
        <f>SUM(E154)</f>
        <v>0</v>
      </c>
      <c r="F153" s="789">
        <f>SUM(F154)</f>
        <v>40.01</v>
      </c>
      <c r="G153" s="838" t="s">
        <v>1081</v>
      </c>
    </row>
    <row r="154" spans="1:7" ht="19.5" customHeight="1">
      <c r="A154" s="108"/>
      <c r="B154" s="115"/>
      <c r="C154" s="112" t="s">
        <v>1356</v>
      </c>
      <c r="D154" s="114" t="s">
        <v>1031</v>
      </c>
      <c r="E154" s="796">
        <v>0</v>
      </c>
      <c r="F154" s="796">
        <v>40.01</v>
      </c>
      <c r="G154" s="838" t="s">
        <v>1081</v>
      </c>
    </row>
    <row r="155" spans="1:7" ht="19.5" customHeight="1" hidden="1">
      <c r="A155" s="108"/>
      <c r="B155" s="115" t="s">
        <v>902</v>
      </c>
      <c r="C155" s="129"/>
      <c r="D155" s="116" t="s">
        <v>903</v>
      </c>
      <c r="E155" s="789">
        <f>SUM(E156)</f>
        <v>0</v>
      </c>
      <c r="F155" s="789">
        <f>SUM(F156)</f>
        <v>0</v>
      </c>
      <c r="G155" s="838" t="s">
        <v>1081</v>
      </c>
    </row>
    <row r="156" spans="1:7" ht="19.5" customHeight="1" hidden="1">
      <c r="A156" s="108"/>
      <c r="B156" s="115"/>
      <c r="C156" s="112" t="s">
        <v>1356</v>
      </c>
      <c r="D156" s="114" t="s">
        <v>1031</v>
      </c>
      <c r="E156" s="796">
        <v>0</v>
      </c>
      <c r="F156" s="796">
        <v>0</v>
      </c>
      <c r="G156" s="838" t="s">
        <v>1081</v>
      </c>
    </row>
    <row r="157" spans="1:7" ht="19.5" customHeight="1">
      <c r="A157" s="108"/>
      <c r="B157" s="197" t="s">
        <v>396</v>
      </c>
      <c r="C157" s="794"/>
      <c r="D157" s="795" t="s">
        <v>840</v>
      </c>
      <c r="E157" s="797">
        <f>SUM(E158,E159)</f>
        <v>5700</v>
      </c>
      <c r="F157" s="797">
        <f>SUM(F158,F159)</f>
        <v>5699.42</v>
      </c>
      <c r="G157" s="851">
        <f t="shared" si="5"/>
        <v>99.98982456140351</v>
      </c>
    </row>
    <row r="158" spans="1:7" s="92" customFormat="1" ht="58.5" customHeight="1">
      <c r="A158" s="111"/>
      <c r="B158" s="112"/>
      <c r="C158" s="73">
        <v>2010</v>
      </c>
      <c r="D158" s="74" t="s">
        <v>1155</v>
      </c>
      <c r="E158" s="786">
        <v>2700</v>
      </c>
      <c r="F158" s="786">
        <v>2699.42</v>
      </c>
      <c r="G158" s="837">
        <f t="shared" si="5"/>
        <v>99.97851851851853</v>
      </c>
    </row>
    <row r="159" spans="1:7" s="92" customFormat="1" ht="55.5" customHeight="1">
      <c r="A159" s="111"/>
      <c r="B159" s="112"/>
      <c r="C159" s="73">
        <v>2020</v>
      </c>
      <c r="D159" s="74" t="s">
        <v>1169</v>
      </c>
      <c r="E159" s="786">
        <v>3000</v>
      </c>
      <c r="F159" s="786">
        <v>3000</v>
      </c>
      <c r="G159" s="837">
        <f t="shared" si="5"/>
        <v>100</v>
      </c>
    </row>
    <row r="160" spans="1:7" s="86" customFormat="1" ht="21.75" customHeight="1">
      <c r="A160" s="104" t="s">
        <v>19</v>
      </c>
      <c r="B160" s="105"/>
      <c r="C160" s="121"/>
      <c r="D160" s="94" t="s">
        <v>30</v>
      </c>
      <c r="E160" s="787">
        <f>SUM(E161,E163,E166,E169,E171,E176,E180,E184)</f>
        <v>7916557</v>
      </c>
      <c r="F160" s="787">
        <f>SUM(F161,F163,F166,F169,F171,F176,F180,F184)</f>
        <v>7944298.5600000005</v>
      </c>
      <c r="G160" s="849">
        <f t="shared" si="5"/>
        <v>100.35042455956548</v>
      </c>
    </row>
    <row r="161" spans="1:7" s="86" customFormat="1" ht="21.75" customHeight="1">
      <c r="A161" s="108"/>
      <c r="B161" s="109" t="s">
        <v>399</v>
      </c>
      <c r="C161" s="123"/>
      <c r="D161" s="130" t="s">
        <v>400</v>
      </c>
      <c r="E161" s="788">
        <f>SUM(E162)</f>
        <v>2100</v>
      </c>
      <c r="F161" s="788">
        <f>SUM(F162)</f>
        <v>4839.98</v>
      </c>
      <c r="G161" s="838">
        <f t="shared" si="5"/>
        <v>230.4752380952381</v>
      </c>
    </row>
    <row r="162" spans="1:7" s="86" customFormat="1" ht="21.75" customHeight="1">
      <c r="A162" s="111"/>
      <c r="B162" s="112"/>
      <c r="C162" s="99" t="s">
        <v>1356</v>
      </c>
      <c r="D162" s="128" t="s">
        <v>1031</v>
      </c>
      <c r="E162" s="796">
        <v>2100</v>
      </c>
      <c r="F162" s="786">
        <v>4839.98</v>
      </c>
      <c r="G162" s="1339">
        <f t="shared" si="5"/>
        <v>230.4752380952381</v>
      </c>
    </row>
    <row r="163" spans="1:7" ht="21.75" customHeight="1">
      <c r="A163" s="108"/>
      <c r="B163" s="109" t="s">
        <v>31</v>
      </c>
      <c r="C163" s="123"/>
      <c r="D163" s="130" t="s">
        <v>1160</v>
      </c>
      <c r="E163" s="788">
        <f>SUM(E164,E165)</f>
        <v>181750</v>
      </c>
      <c r="F163" s="788">
        <f>SUM(F164,F165)</f>
        <v>181936.55</v>
      </c>
      <c r="G163" s="838">
        <f>F163/E163*100</f>
        <v>100.10264099037138</v>
      </c>
    </row>
    <row r="164" spans="1:7" ht="23.25" customHeight="1">
      <c r="A164" s="108"/>
      <c r="B164" s="109"/>
      <c r="C164" s="99" t="s">
        <v>1354</v>
      </c>
      <c r="D164" s="74" t="s">
        <v>1093</v>
      </c>
      <c r="E164" s="796">
        <v>12000</v>
      </c>
      <c r="F164" s="786">
        <v>12186.55</v>
      </c>
      <c r="G164" s="837">
        <f>F164/E164*100</f>
        <v>101.55458333333334</v>
      </c>
    </row>
    <row r="165" spans="1:7" s="92" customFormat="1" ht="58.5" customHeight="1">
      <c r="A165" s="111"/>
      <c r="B165" s="112"/>
      <c r="C165" s="73">
        <v>2010</v>
      </c>
      <c r="D165" s="74" t="s">
        <v>1155</v>
      </c>
      <c r="E165" s="796">
        <v>169750</v>
      </c>
      <c r="F165" s="786">
        <v>169750</v>
      </c>
      <c r="G165" s="837">
        <f>F165/E165*100</f>
        <v>100</v>
      </c>
    </row>
    <row r="166" spans="1:7" ht="46.5" customHeight="1">
      <c r="A166" s="108"/>
      <c r="B166" s="109" t="s">
        <v>21</v>
      </c>
      <c r="C166" s="123"/>
      <c r="D166" s="131" t="s">
        <v>326</v>
      </c>
      <c r="E166" s="789">
        <f>SUM(E167,E168)</f>
        <v>5354455</v>
      </c>
      <c r="F166" s="789">
        <f>SUM(F167,F168)</f>
        <v>5347125.54</v>
      </c>
      <c r="G166" s="838">
        <f t="shared" si="5"/>
        <v>99.86311473343225</v>
      </c>
    </row>
    <row r="167" spans="1:7" s="1093" customFormat="1" ht="18" customHeight="1">
      <c r="A167" s="108"/>
      <c r="B167" s="109"/>
      <c r="C167" s="99" t="s">
        <v>1356</v>
      </c>
      <c r="D167" s="74" t="s">
        <v>1031</v>
      </c>
      <c r="E167" s="786">
        <v>0</v>
      </c>
      <c r="F167" s="786">
        <v>512.42</v>
      </c>
      <c r="G167" s="837" t="s">
        <v>1081</v>
      </c>
    </row>
    <row r="168" spans="1:7" s="127" customFormat="1" ht="58.5" customHeight="1">
      <c r="A168" s="111"/>
      <c r="B168" s="112"/>
      <c r="C168" s="73">
        <v>2010</v>
      </c>
      <c r="D168" s="74" t="s">
        <v>1155</v>
      </c>
      <c r="E168" s="786">
        <v>5354455</v>
      </c>
      <c r="F168" s="786">
        <v>5346613.12</v>
      </c>
      <c r="G168" s="837">
        <f t="shared" si="5"/>
        <v>99.85354475852351</v>
      </c>
    </row>
    <row r="169" spans="1:7" ht="69" customHeight="1">
      <c r="A169" s="108"/>
      <c r="B169" s="109" t="s">
        <v>22</v>
      </c>
      <c r="C169" s="123"/>
      <c r="D169" s="69" t="s">
        <v>136</v>
      </c>
      <c r="E169" s="788">
        <f>E170</f>
        <v>72000</v>
      </c>
      <c r="F169" s="788">
        <f>F170</f>
        <v>71198.55</v>
      </c>
      <c r="G169" s="838">
        <f t="shared" si="5"/>
        <v>98.886875</v>
      </c>
    </row>
    <row r="170" spans="1:7" s="92" customFormat="1" ht="56.25" customHeight="1">
      <c r="A170" s="111"/>
      <c r="B170" s="112"/>
      <c r="C170" s="73">
        <v>2010</v>
      </c>
      <c r="D170" s="74" t="s">
        <v>1155</v>
      </c>
      <c r="E170" s="786">
        <v>72000</v>
      </c>
      <c r="F170" s="786">
        <v>71198.55</v>
      </c>
      <c r="G170" s="837">
        <f t="shared" si="5"/>
        <v>98.886875</v>
      </c>
    </row>
    <row r="171" spans="1:7" ht="32.25" customHeight="1">
      <c r="A171" s="111"/>
      <c r="B171" s="109" t="s">
        <v>23</v>
      </c>
      <c r="C171" s="73"/>
      <c r="D171" s="69" t="s">
        <v>274</v>
      </c>
      <c r="E171" s="788">
        <f>SUM(E172,E173,E174,E175)</f>
        <v>1008732</v>
      </c>
      <c r="F171" s="788">
        <f>SUM(F172,F173,F174,F175)</f>
        <v>996877.05</v>
      </c>
      <c r="G171" s="838">
        <f t="shared" si="5"/>
        <v>98.82476713339123</v>
      </c>
    </row>
    <row r="172" spans="1:7" s="92" customFormat="1" ht="21" customHeight="1">
      <c r="A172" s="111"/>
      <c r="B172" s="112"/>
      <c r="C172" s="99" t="s">
        <v>1356</v>
      </c>
      <c r="D172" s="74" t="s">
        <v>1031</v>
      </c>
      <c r="E172" s="786">
        <v>0</v>
      </c>
      <c r="F172" s="786">
        <v>513.14</v>
      </c>
      <c r="G172" s="837" t="s">
        <v>1081</v>
      </c>
    </row>
    <row r="173" spans="1:7" s="92" customFormat="1" ht="57" customHeight="1">
      <c r="A173" s="111"/>
      <c r="B173" s="112"/>
      <c r="C173" s="73">
        <v>2010</v>
      </c>
      <c r="D173" s="74" t="s">
        <v>1155</v>
      </c>
      <c r="E173" s="786">
        <v>741494</v>
      </c>
      <c r="F173" s="786">
        <v>729125.91</v>
      </c>
      <c r="G173" s="837">
        <f t="shared" si="5"/>
        <v>98.33200403509672</v>
      </c>
    </row>
    <row r="174" spans="1:7" s="92" customFormat="1" ht="44.25" customHeight="1">
      <c r="A174" s="111"/>
      <c r="B174" s="112"/>
      <c r="C174" s="73">
        <v>2030</v>
      </c>
      <c r="D174" s="74" t="s">
        <v>1161</v>
      </c>
      <c r="E174" s="786">
        <v>267238</v>
      </c>
      <c r="F174" s="786">
        <v>267238</v>
      </c>
      <c r="G174" s="837">
        <f t="shared" si="5"/>
        <v>100</v>
      </c>
    </row>
    <row r="175" spans="1:7" s="791" customFormat="1" ht="44.25" customHeight="1" hidden="1">
      <c r="A175" s="111"/>
      <c r="B175" s="112"/>
      <c r="C175" s="73">
        <v>2910</v>
      </c>
      <c r="D175" s="74" t="s">
        <v>1212</v>
      </c>
      <c r="E175" s="786">
        <v>0</v>
      </c>
      <c r="F175" s="786">
        <v>0</v>
      </c>
      <c r="G175" s="837" t="e">
        <f t="shared" si="5"/>
        <v>#DIV/0!</v>
      </c>
    </row>
    <row r="176" spans="1:7" ht="21.75" customHeight="1">
      <c r="A176" s="108"/>
      <c r="B176" s="109" t="s">
        <v>25</v>
      </c>
      <c r="C176" s="123"/>
      <c r="D176" s="69" t="s">
        <v>912</v>
      </c>
      <c r="E176" s="788">
        <f>SUM(E177,E178,E179)</f>
        <v>630500</v>
      </c>
      <c r="F176" s="788">
        <f>SUM(F177,F178,F179)</f>
        <v>673902.1599999999</v>
      </c>
      <c r="G176" s="838">
        <f t="shared" si="5"/>
        <v>106.8837684377478</v>
      </c>
    </row>
    <row r="177" spans="1:7" s="92" customFormat="1" ht="21.75" customHeight="1">
      <c r="A177" s="111"/>
      <c r="B177" s="112"/>
      <c r="C177" s="99" t="s">
        <v>1355</v>
      </c>
      <c r="D177" s="114" t="s">
        <v>1091</v>
      </c>
      <c r="E177" s="786">
        <v>0</v>
      </c>
      <c r="F177" s="786">
        <v>39636.33</v>
      </c>
      <c r="G177" s="837" t="s">
        <v>1081</v>
      </c>
    </row>
    <row r="178" spans="1:7" ht="21.75" customHeight="1">
      <c r="A178" s="108"/>
      <c r="B178" s="109"/>
      <c r="C178" s="99" t="s">
        <v>1356</v>
      </c>
      <c r="D178" s="74" t="s">
        <v>1031</v>
      </c>
      <c r="E178" s="786">
        <v>0</v>
      </c>
      <c r="F178" s="786">
        <v>7082.5</v>
      </c>
      <c r="G178" s="837" t="s">
        <v>1081</v>
      </c>
    </row>
    <row r="179" spans="1:7" s="92" customFormat="1" ht="43.5" customHeight="1">
      <c r="A179" s="111"/>
      <c r="B179" s="112"/>
      <c r="C179" s="99" t="s">
        <v>13</v>
      </c>
      <c r="D179" s="74" t="s">
        <v>1161</v>
      </c>
      <c r="E179" s="786">
        <v>630500</v>
      </c>
      <c r="F179" s="786">
        <v>627183.33</v>
      </c>
      <c r="G179" s="837">
        <f t="shared" si="5"/>
        <v>99.47396193497224</v>
      </c>
    </row>
    <row r="180" spans="1:7" ht="27.75" customHeight="1">
      <c r="A180" s="108"/>
      <c r="B180" s="109" t="s">
        <v>27</v>
      </c>
      <c r="C180" s="123"/>
      <c r="D180" s="69" t="s">
        <v>915</v>
      </c>
      <c r="E180" s="788">
        <f>SUM(E181,E182,E183)</f>
        <v>127000</v>
      </c>
      <c r="F180" s="788">
        <f>SUM(F181,F182,F183)</f>
        <v>128398.73</v>
      </c>
      <c r="G180" s="838">
        <f t="shared" si="5"/>
        <v>101.10136220472441</v>
      </c>
    </row>
    <row r="181" spans="1:7" s="92" customFormat="1" ht="17.25" customHeight="1">
      <c r="A181" s="111"/>
      <c r="B181" s="112"/>
      <c r="C181" s="99" t="s">
        <v>1354</v>
      </c>
      <c r="D181" s="93" t="s">
        <v>1093</v>
      </c>
      <c r="E181" s="786">
        <v>55000</v>
      </c>
      <c r="F181" s="786">
        <v>56941.68</v>
      </c>
      <c r="G181" s="837">
        <f t="shared" si="5"/>
        <v>103.53032727272726</v>
      </c>
    </row>
    <row r="182" spans="1:7" s="92" customFormat="1" ht="17.25" customHeight="1">
      <c r="A182" s="111"/>
      <c r="B182" s="112"/>
      <c r="C182" s="99" t="s">
        <v>1355</v>
      </c>
      <c r="D182" s="114" t="s">
        <v>1091</v>
      </c>
      <c r="E182" s="786">
        <v>0</v>
      </c>
      <c r="F182" s="786">
        <v>1.29</v>
      </c>
      <c r="G182" s="837" t="s">
        <v>1081</v>
      </c>
    </row>
    <row r="183" spans="1:7" ht="56.25" customHeight="1">
      <c r="A183" s="111"/>
      <c r="B183" s="112"/>
      <c r="C183" s="99" t="s">
        <v>28</v>
      </c>
      <c r="D183" s="74" t="s">
        <v>1155</v>
      </c>
      <c r="E183" s="786">
        <v>72000</v>
      </c>
      <c r="F183" s="786">
        <v>71455.76</v>
      </c>
      <c r="G183" s="837">
        <f t="shared" si="5"/>
        <v>99.2441111111111</v>
      </c>
    </row>
    <row r="184" spans="1:7" ht="18" customHeight="1">
      <c r="A184" s="108"/>
      <c r="B184" s="109" t="s">
        <v>29</v>
      </c>
      <c r="C184" s="125"/>
      <c r="D184" s="69" t="s">
        <v>840</v>
      </c>
      <c r="E184" s="788">
        <f>SUM(E185,E186,E187)</f>
        <v>540020</v>
      </c>
      <c r="F184" s="788">
        <f>SUM(F185,F186,F187)</f>
        <v>540020</v>
      </c>
      <c r="G184" s="838">
        <f t="shared" si="5"/>
        <v>100</v>
      </c>
    </row>
    <row r="185" spans="1:7" s="92" customFormat="1" ht="30.75" customHeight="1" hidden="1">
      <c r="A185" s="111"/>
      <c r="B185" s="112"/>
      <c r="C185" s="99" t="s">
        <v>1357</v>
      </c>
      <c r="D185" s="74" t="s">
        <v>735</v>
      </c>
      <c r="E185" s="786">
        <v>0</v>
      </c>
      <c r="F185" s="786"/>
      <c r="G185" s="837" t="s">
        <v>1081</v>
      </c>
    </row>
    <row r="186" spans="1:7" s="92" customFormat="1" ht="55.5" customHeight="1">
      <c r="A186" s="111"/>
      <c r="B186" s="112"/>
      <c r="C186" s="99" t="s">
        <v>12</v>
      </c>
      <c r="D186" s="93" t="s">
        <v>995</v>
      </c>
      <c r="E186" s="786">
        <v>10020</v>
      </c>
      <c r="F186" s="786">
        <v>10020</v>
      </c>
      <c r="G186" s="837">
        <f t="shared" si="5"/>
        <v>100</v>
      </c>
    </row>
    <row r="187" spans="1:7" ht="42" customHeight="1">
      <c r="A187" s="111"/>
      <c r="B187" s="112"/>
      <c r="C187" s="99" t="s">
        <v>13</v>
      </c>
      <c r="D187" s="74" t="s">
        <v>1161</v>
      </c>
      <c r="E187" s="786">
        <v>530000</v>
      </c>
      <c r="F187" s="786">
        <v>530000</v>
      </c>
      <c r="G187" s="837">
        <f t="shared" si="5"/>
        <v>100</v>
      </c>
    </row>
    <row r="188" spans="1:7" s="86" customFormat="1" ht="30" customHeight="1">
      <c r="A188" s="104" t="s">
        <v>904</v>
      </c>
      <c r="B188" s="105"/>
      <c r="C188" s="132"/>
      <c r="D188" s="122" t="s">
        <v>405</v>
      </c>
      <c r="E188" s="787">
        <f>SUM(E189)</f>
        <v>216774</v>
      </c>
      <c r="F188" s="787">
        <f>SUM(F189)</f>
        <v>219015.93</v>
      </c>
      <c r="G188" s="849">
        <f t="shared" si="5"/>
        <v>101.03422458412909</v>
      </c>
    </row>
    <row r="189" spans="1:7" ht="20.25" customHeight="1">
      <c r="A189" s="108"/>
      <c r="B189" s="109" t="s">
        <v>409</v>
      </c>
      <c r="C189" s="125"/>
      <c r="D189" s="69" t="s">
        <v>840</v>
      </c>
      <c r="E189" s="788">
        <f>SUM(E190,E191,E193)</f>
        <v>216774</v>
      </c>
      <c r="F189" s="788">
        <f>SUM(F190,F191,F193)</f>
        <v>219015.93</v>
      </c>
      <c r="G189" s="838">
        <f>F189/E189*100</f>
        <v>101.03422458412909</v>
      </c>
    </row>
    <row r="190" spans="1:7" s="1093" customFormat="1" ht="20.25" customHeight="1">
      <c r="A190" s="108"/>
      <c r="B190" s="109"/>
      <c r="C190" s="99" t="s">
        <v>829</v>
      </c>
      <c r="D190" s="114" t="s">
        <v>1091</v>
      </c>
      <c r="E190" s="786">
        <v>0</v>
      </c>
      <c r="F190" s="786">
        <v>3045.91</v>
      </c>
      <c r="G190" s="837" t="s">
        <v>1081</v>
      </c>
    </row>
    <row r="191" spans="1:7" ht="29.25" customHeight="1">
      <c r="A191" s="111"/>
      <c r="B191" s="112"/>
      <c r="C191" s="99" t="s">
        <v>231</v>
      </c>
      <c r="D191" s="93" t="s">
        <v>232</v>
      </c>
      <c r="E191" s="786">
        <v>204731</v>
      </c>
      <c r="F191" s="786">
        <v>203927.02</v>
      </c>
      <c r="G191" s="837">
        <f>F191/E191*100</f>
        <v>99.60729933424834</v>
      </c>
    </row>
    <row r="192" spans="1:7" ht="67.5" customHeight="1">
      <c r="A192" s="111"/>
      <c r="B192" s="112"/>
      <c r="C192" s="99"/>
      <c r="D192" s="74" t="s">
        <v>116</v>
      </c>
      <c r="E192" s="786"/>
      <c r="F192" s="786"/>
      <c r="G192" s="837"/>
    </row>
    <row r="193" spans="1:7" ht="30.75" customHeight="1">
      <c r="A193" s="111"/>
      <c r="B193" s="112"/>
      <c r="C193" s="99" t="s">
        <v>233</v>
      </c>
      <c r="D193" s="93" t="s">
        <v>232</v>
      </c>
      <c r="E193" s="786">
        <v>12043</v>
      </c>
      <c r="F193" s="786">
        <v>12043</v>
      </c>
      <c r="G193" s="837">
        <f>F193/E193*100</f>
        <v>100</v>
      </c>
    </row>
    <row r="194" spans="1:7" ht="75.75" customHeight="1">
      <c r="A194" s="111"/>
      <c r="B194" s="112"/>
      <c r="C194" s="99"/>
      <c r="D194" s="74" t="s">
        <v>1266</v>
      </c>
      <c r="E194" s="786"/>
      <c r="F194" s="786"/>
      <c r="G194" s="837"/>
    </row>
    <row r="195" spans="1:7" ht="21" customHeight="1">
      <c r="A195" s="104" t="s">
        <v>916</v>
      </c>
      <c r="B195" s="105"/>
      <c r="C195" s="105"/>
      <c r="D195" s="122" t="s">
        <v>920</v>
      </c>
      <c r="E195" s="787">
        <f>SUM(E196)</f>
        <v>197714</v>
      </c>
      <c r="F195" s="787">
        <f>SUM(F196)</f>
        <v>134085.72</v>
      </c>
      <c r="G195" s="849">
        <f aca="true" t="shared" si="7" ref="G195:G211">F195/E195*100</f>
        <v>67.81801996823695</v>
      </c>
    </row>
    <row r="196" spans="1:7" ht="20.25" customHeight="1">
      <c r="A196" s="108"/>
      <c r="B196" s="109" t="s">
        <v>973</v>
      </c>
      <c r="C196" s="109"/>
      <c r="D196" s="113" t="s">
        <v>974</v>
      </c>
      <c r="E196" s="788">
        <f>SUM(E197)</f>
        <v>197714</v>
      </c>
      <c r="F196" s="788">
        <f>SUM(F197)</f>
        <v>134085.72</v>
      </c>
      <c r="G196" s="838">
        <f t="shared" si="7"/>
        <v>67.81801996823695</v>
      </c>
    </row>
    <row r="197" spans="1:7" s="92" customFormat="1" ht="46.5" customHeight="1">
      <c r="A197" s="111"/>
      <c r="B197" s="112"/>
      <c r="C197" s="112" t="s">
        <v>13</v>
      </c>
      <c r="D197" s="74" t="s">
        <v>1161</v>
      </c>
      <c r="E197" s="786">
        <v>197714</v>
      </c>
      <c r="F197" s="786">
        <v>134085.72</v>
      </c>
      <c r="G197" s="837">
        <f t="shared" si="7"/>
        <v>67.81801996823695</v>
      </c>
    </row>
    <row r="198" spans="1:7" s="92" customFormat="1" ht="29.25" customHeight="1">
      <c r="A198" s="104" t="s">
        <v>976</v>
      </c>
      <c r="B198" s="105"/>
      <c r="C198" s="105"/>
      <c r="D198" s="122" t="s">
        <v>1094</v>
      </c>
      <c r="E198" s="787">
        <f>SUM(E199,E203,E209,E207,E211)</f>
        <v>7044502</v>
      </c>
      <c r="F198" s="787">
        <f>SUM(F199,F203,F209,F207,F211)</f>
        <v>6650555.82</v>
      </c>
      <c r="G198" s="849">
        <f t="shared" si="7"/>
        <v>94.40774976002562</v>
      </c>
    </row>
    <row r="199" spans="1:7" ht="21.75" customHeight="1">
      <c r="A199" s="108"/>
      <c r="B199" s="109" t="s">
        <v>32</v>
      </c>
      <c r="C199" s="125"/>
      <c r="D199" s="113" t="s">
        <v>33</v>
      </c>
      <c r="E199" s="788">
        <f>SUM(E200,E201,E202)</f>
        <v>785254</v>
      </c>
      <c r="F199" s="788">
        <f>SUM(F200,F201,F202)</f>
        <v>726702.65</v>
      </c>
      <c r="G199" s="1336">
        <f t="shared" si="7"/>
        <v>92.54364192987238</v>
      </c>
    </row>
    <row r="200" spans="1:7" s="92" customFormat="1" ht="21.75" customHeight="1">
      <c r="A200" s="111"/>
      <c r="B200" s="112"/>
      <c r="C200" s="99" t="s">
        <v>1328</v>
      </c>
      <c r="D200" s="74" t="s">
        <v>1327</v>
      </c>
      <c r="E200" s="786">
        <v>276000</v>
      </c>
      <c r="F200" s="786">
        <v>276024.59</v>
      </c>
      <c r="G200" s="1339">
        <f t="shared" si="7"/>
        <v>100.00890942028985</v>
      </c>
    </row>
    <row r="201" spans="1:7" s="92" customFormat="1" ht="21.75" customHeight="1">
      <c r="A201" s="111"/>
      <c r="B201" s="112"/>
      <c r="C201" s="99" t="s">
        <v>1356</v>
      </c>
      <c r="D201" s="74" t="s">
        <v>1031</v>
      </c>
      <c r="E201" s="786">
        <v>487554</v>
      </c>
      <c r="F201" s="786">
        <v>429052.06</v>
      </c>
      <c r="G201" s="1339">
        <f t="shared" si="7"/>
        <v>88.0009311789053</v>
      </c>
    </row>
    <row r="202" spans="1:7" ht="30.75" customHeight="1">
      <c r="A202" s="111"/>
      <c r="B202" s="112"/>
      <c r="C202" s="99" t="s">
        <v>1362</v>
      </c>
      <c r="D202" s="74" t="s">
        <v>1168</v>
      </c>
      <c r="E202" s="786">
        <v>21700</v>
      </c>
      <c r="F202" s="786">
        <v>21626</v>
      </c>
      <c r="G202" s="1339">
        <f t="shared" si="7"/>
        <v>99.6589861751152</v>
      </c>
    </row>
    <row r="203" spans="1:7" ht="18" customHeight="1">
      <c r="A203" s="108"/>
      <c r="B203" s="109" t="s">
        <v>430</v>
      </c>
      <c r="C203" s="125"/>
      <c r="D203" s="113" t="s">
        <v>431</v>
      </c>
      <c r="E203" s="788">
        <f>SUM(E204,E205)</f>
        <v>1240848</v>
      </c>
      <c r="F203" s="788">
        <f>SUM(F204,F205)</f>
        <v>887657.37</v>
      </c>
      <c r="G203" s="838">
        <f t="shared" si="7"/>
        <v>71.53635014119376</v>
      </c>
    </row>
    <row r="204" spans="1:7" s="793" customFormat="1" ht="27" customHeight="1">
      <c r="A204" s="111"/>
      <c r="B204" s="112"/>
      <c r="C204" s="99" t="s">
        <v>1357</v>
      </c>
      <c r="D204" s="93" t="s">
        <v>735</v>
      </c>
      <c r="E204" s="786">
        <v>0</v>
      </c>
      <c r="F204" s="786">
        <v>2781.35</v>
      </c>
      <c r="G204" s="837" t="s">
        <v>1081</v>
      </c>
    </row>
    <row r="205" spans="1:7" ht="53.25" customHeight="1">
      <c r="A205" s="111"/>
      <c r="B205" s="112"/>
      <c r="C205" s="99" t="s">
        <v>706</v>
      </c>
      <c r="D205" s="93" t="s">
        <v>51</v>
      </c>
      <c r="E205" s="786">
        <v>1240848</v>
      </c>
      <c r="F205" s="786">
        <v>884876.02</v>
      </c>
      <c r="G205" s="837">
        <f t="shared" si="7"/>
        <v>71.31220101092156</v>
      </c>
    </row>
    <row r="206" spans="1:7" ht="66" customHeight="1">
      <c r="A206" s="111"/>
      <c r="B206" s="112"/>
      <c r="C206" s="99"/>
      <c r="D206" s="74" t="s">
        <v>116</v>
      </c>
      <c r="E206" s="786"/>
      <c r="F206" s="786"/>
      <c r="G206" s="837"/>
    </row>
    <row r="207" spans="1:7" ht="23.25" customHeight="1">
      <c r="A207" s="67"/>
      <c r="B207" s="87" t="s">
        <v>978</v>
      </c>
      <c r="C207" s="145"/>
      <c r="D207" s="69" t="s">
        <v>979</v>
      </c>
      <c r="E207" s="780">
        <f>SUM(E208)</f>
        <v>0</v>
      </c>
      <c r="F207" s="780">
        <f>SUM(F208)</f>
        <v>6561.04</v>
      </c>
      <c r="G207" s="838" t="s">
        <v>1081</v>
      </c>
    </row>
    <row r="208" spans="1:7" ht="21" customHeight="1">
      <c r="A208" s="71"/>
      <c r="B208" s="90"/>
      <c r="C208" s="146" t="s">
        <v>1356</v>
      </c>
      <c r="D208" s="93" t="s">
        <v>1031</v>
      </c>
      <c r="E208" s="781">
        <v>0</v>
      </c>
      <c r="F208" s="781">
        <v>6561.04</v>
      </c>
      <c r="G208" s="838" t="s">
        <v>1081</v>
      </c>
    </row>
    <row r="209" spans="1:7" s="92" customFormat="1" ht="30.75" customHeight="1">
      <c r="A209" s="108"/>
      <c r="B209" s="109" t="s">
        <v>1196</v>
      </c>
      <c r="C209" s="123"/>
      <c r="D209" s="113" t="s">
        <v>1197</v>
      </c>
      <c r="E209" s="788">
        <f>E210</f>
        <v>9000</v>
      </c>
      <c r="F209" s="788">
        <f>F210</f>
        <v>13977.57</v>
      </c>
      <c r="G209" s="838">
        <f t="shared" si="7"/>
        <v>155.30633333333333</v>
      </c>
    </row>
    <row r="210" spans="1:7" s="92" customFormat="1" ht="22.5" customHeight="1">
      <c r="A210" s="111"/>
      <c r="B210" s="112"/>
      <c r="C210" s="99" t="s">
        <v>14</v>
      </c>
      <c r="D210" s="74" t="s">
        <v>1198</v>
      </c>
      <c r="E210" s="786">
        <v>9000</v>
      </c>
      <c r="F210" s="786">
        <v>13977.57</v>
      </c>
      <c r="G210" s="837">
        <f t="shared" si="7"/>
        <v>155.30633333333333</v>
      </c>
    </row>
    <row r="211" spans="1:7" ht="20.25" customHeight="1">
      <c r="A211" s="1342"/>
      <c r="B211" s="197" t="s">
        <v>980</v>
      </c>
      <c r="C211" s="197"/>
      <c r="D211" s="1341" t="s">
        <v>840</v>
      </c>
      <c r="E211" s="788">
        <f>SUM(E212,E213,E214,E215)</f>
        <v>5009400</v>
      </c>
      <c r="F211" s="797">
        <f>SUM(F212,F213,F214,F215)</f>
        <v>5015657.19</v>
      </c>
      <c r="G211" s="851">
        <f t="shared" si="7"/>
        <v>100.12490897113429</v>
      </c>
    </row>
    <row r="212" spans="1:7" ht="69.75" customHeight="1">
      <c r="A212" s="111"/>
      <c r="B212" s="112"/>
      <c r="C212" s="99" t="s">
        <v>1359</v>
      </c>
      <c r="D212" s="74" t="s">
        <v>38</v>
      </c>
      <c r="E212" s="786">
        <v>2200</v>
      </c>
      <c r="F212" s="786">
        <v>2209.75</v>
      </c>
      <c r="G212" s="837">
        <f aca="true" t="shared" si="8" ref="G212:G227">F212/E212*100</f>
        <v>100.44318181818181</v>
      </c>
    </row>
    <row r="213" spans="1:7" s="92" customFormat="1" ht="21.75" customHeight="1">
      <c r="A213" s="111"/>
      <c r="B213" s="112"/>
      <c r="C213" s="99" t="s">
        <v>1328</v>
      </c>
      <c r="D213" s="74" t="s">
        <v>1327</v>
      </c>
      <c r="E213" s="786">
        <v>57200</v>
      </c>
      <c r="F213" s="786">
        <v>57157.98</v>
      </c>
      <c r="G213" s="837">
        <f t="shared" si="8"/>
        <v>99.92653846153847</v>
      </c>
    </row>
    <row r="214" spans="1:7" s="92" customFormat="1" ht="18.75" customHeight="1">
      <c r="A214" s="111"/>
      <c r="B214" s="112"/>
      <c r="C214" s="112" t="s">
        <v>1355</v>
      </c>
      <c r="D214" s="114" t="s">
        <v>1091</v>
      </c>
      <c r="E214" s="786">
        <v>0</v>
      </c>
      <c r="F214" s="786">
        <v>1.21</v>
      </c>
      <c r="G214" s="837" t="s">
        <v>1081</v>
      </c>
    </row>
    <row r="215" spans="1:7" s="92" customFormat="1" ht="21.75" customHeight="1">
      <c r="A215" s="111"/>
      <c r="B215" s="112"/>
      <c r="C215" s="112" t="s">
        <v>1356</v>
      </c>
      <c r="D215" s="114" t="s">
        <v>1031</v>
      </c>
      <c r="E215" s="786">
        <v>4950000</v>
      </c>
      <c r="F215" s="786">
        <v>4956288.25</v>
      </c>
      <c r="G215" s="837">
        <f t="shared" si="8"/>
        <v>100.12703535353535</v>
      </c>
    </row>
    <row r="216" spans="1:7" s="86" customFormat="1" ht="27.75" customHeight="1">
      <c r="A216" s="104" t="s">
        <v>1008</v>
      </c>
      <c r="B216" s="105"/>
      <c r="C216" s="105"/>
      <c r="D216" s="122" t="s">
        <v>436</v>
      </c>
      <c r="E216" s="787">
        <f>SUM(E217)</f>
        <v>49800</v>
      </c>
      <c r="F216" s="787">
        <f>SUM(F217)</f>
        <v>49757.89</v>
      </c>
      <c r="G216" s="849">
        <f t="shared" si="8"/>
        <v>99.91544176706827</v>
      </c>
    </row>
    <row r="217" spans="1:7" ht="21.75" customHeight="1">
      <c r="A217" s="108"/>
      <c r="B217" s="109" t="s">
        <v>437</v>
      </c>
      <c r="C217" s="109"/>
      <c r="D217" s="110" t="s">
        <v>438</v>
      </c>
      <c r="E217" s="788">
        <f>SUM(E218)</f>
        <v>49800</v>
      </c>
      <c r="F217" s="788">
        <f>SUM(F218)</f>
        <v>49757.89</v>
      </c>
      <c r="G217" s="838">
        <f t="shared" si="8"/>
        <v>99.91544176706827</v>
      </c>
    </row>
    <row r="218" spans="1:7" s="92" customFormat="1" ht="38.25" customHeight="1">
      <c r="A218" s="111"/>
      <c r="B218" s="112"/>
      <c r="C218" s="112" t="s">
        <v>1211</v>
      </c>
      <c r="D218" s="74" t="s">
        <v>1212</v>
      </c>
      <c r="E218" s="786">
        <v>49800</v>
      </c>
      <c r="F218" s="786">
        <v>49757.89</v>
      </c>
      <c r="G218" s="837">
        <f t="shared" si="8"/>
        <v>99.91544176706827</v>
      </c>
    </row>
    <row r="219" spans="1:7" ht="21" customHeight="1">
      <c r="A219" s="104" t="s">
        <v>1009</v>
      </c>
      <c r="B219" s="105"/>
      <c r="C219" s="132"/>
      <c r="D219" s="122" t="s">
        <v>1010</v>
      </c>
      <c r="E219" s="787">
        <f>SUM(E220,E224,E226)</f>
        <v>2319723</v>
      </c>
      <c r="F219" s="787">
        <f>SUM(F220,F224,F226)</f>
        <v>2319766.66</v>
      </c>
      <c r="G219" s="849">
        <f t="shared" si="8"/>
        <v>100.00188212127053</v>
      </c>
    </row>
    <row r="220" spans="1:7" s="92" customFormat="1" ht="18" customHeight="1">
      <c r="A220" s="108"/>
      <c r="B220" s="109" t="s">
        <v>1014</v>
      </c>
      <c r="C220" s="125"/>
      <c r="D220" s="113" t="s">
        <v>1015</v>
      </c>
      <c r="E220" s="788">
        <f>SUM(E221,E222,E223)</f>
        <v>2166000</v>
      </c>
      <c r="F220" s="788">
        <f>SUM(F221,F222,F223)</f>
        <v>2166000</v>
      </c>
      <c r="G220" s="838">
        <f t="shared" si="8"/>
        <v>100</v>
      </c>
    </row>
    <row r="221" spans="1:7" s="798" customFormat="1" ht="52.5" customHeight="1">
      <c r="A221" s="108"/>
      <c r="B221" s="109"/>
      <c r="C221" s="112" t="s">
        <v>421</v>
      </c>
      <c r="D221" s="74" t="s">
        <v>425</v>
      </c>
      <c r="E221" s="786">
        <v>1500000</v>
      </c>
      <c r="F221" s="786">
        <v>1500000</v>
      </c>
      <c r="G221" s="837">
        <f t="shared" si="8"/>
        <v>100</v>
      </c>
    </row>
    <row r="222" spans="1:7" s="798" customFormat="1" ht="54" customHeight="1">
      <c r="A222" s="108"/>
      <c r="B222" s="109"/>
      <c r="C222" s="112" t="s">
        <v>422</v>
      </c>
      <c r="D222" s="74" t="s">
        <v>426</v>
      </c>
      <c r="E222" s="786">
        <v>333000</v>
      </c>
      <c r="F222" s="786">
        <v>333000</v>
      </c>
      <c r="G222" s="837">
        <f t="shared" si="8"/>
        <v>100</v>
      </c>
    </row>
    <row r="223" spans="1:7" s="799" customFormat="1" ht="42" customHeight="1">
      <c r="A223" s="111"/>
      <c r="B223" s="112"/>
      <c r="C223" s="99" t="s">
        <v>10</v>
      </c>
      <c r="D223" s="74" t="s">
        <v>1186</v>
      </c>
      <c r="E223" s="786">
        <v>333000</v>
      </c>
      <c r="F223" s="786">
        <v>333000</v>
      </c>
      <c r="G223" s="837">
        <f t="shared" si="8"/>
        <v>100</v>
      </c>
    </row>
    <row r="224" spans="1:7" ht="19.5" customHeight="1">
      <c r="A224" s="108"/>
      <c r="B224" s="197" t="s">
        <v>1016</v>
      </c>
      <c r="C224" s="198"/>
      <c r="D224" s="199" t="s">
        <v>1017</v>
      </c>
      <c r="E224" s="797">
        <f>SUM(E225)</f>
        <v>143323</v>
      </c>
      <c r="F224" s="797">
        <f>SUM(F225)</f>
        <v>143366.66</v>
      </c>
      <c r="G224" s="851">
        <f t="shared" si="8"/>
        <v>100.03046266126164</v>
      </c>
    </row>
    <row r="225" spans="1:7" ht="41.25" customHeight="1">
      <c r="A225" s="111"/>
      <c r="B225" s="118"/>
      <c r="C225" s="800" t="s">
        <v>1211</v>
      </c>
      <c r="D225" s="74" t="s">
        <v>1212</v>
      </c>
      <c r="E225" s="790">
        <v>143323</v>
      </c>
      <c r="F225" s="790">
        <v>143366.66</v>
      </c>
      <c r="G225" s="95">
        <f t="shared" si="8"/>
        <v>100.03046266126164</v>
      </c>
    </row>
    <row r="226" spans="1:7" s="671" customFormat="1" ht="21.75" customHeight="1">
      <c r="A226" s="108"/>
      <c r="B226" s="197" t="s">
        <v>423</v>
      </c>
      <c r="C226" s="198"/>
      <c r="D226" s="199" t="s">
        <v>840</v>
      </c>
      <c r="E226" s="797">
        <f>SUM(E227)</f>
        <v>10400</v>
      </c>
      <c r="F226" s="797">
        <f>SUM(F227)</f>
        <v>10400</v>
      </c>
      <c r="G226" s="851">
        <f t="shared" si="8"/>
        <v>100</v>
      </c>
    </row>
    <row r="227" spans="1:7" s="792" customFormat="1" ht="44.25" customHeight="1">
      <c r="A227" s="1132"/>
      <c r="B227" s="808"/>
      <c r="C227" s="1128" t="s">
        <v>424</v>
      </c>
      <c r="D227" s="1129" t="s">
        <v>427</v>
      </c>
      <c r="E227" s="1130">
        <v>10400</v>
      </c>
      <c r="F227" s="1130">
        <v>10400</v>
      </c>
      <c r="G227" s="1131">
        <f t="shared" si="8"/>
        <v>100</v>
      </c>
    </row>
    <row r="228" spans="1:7" s="247" customFormat="1" ht="19.5" customHeight="1">
      <c r="A228" s="1464" t="s">
        <v>1030</v>
      </c>
      <c r="B228" s="1465"/>
      <c r="C228" s="1465"/>
      <c r="D228" s="1466"/>
      <c r="E228" s="801">
        <f>SUM(E229,E232,E245,E249,E257,E268,E272,E278,E292,E295,E288,E307,E319,E333)</f>
        <v>57162679</v>
      </c>
      <c r="F228" s="801">
        <f>SUM(F229,F232,F245,F249,F257,F268,F272,F278,F292,F295,F288,F307,F319,F333)</f>
        <v>56999849.83</v>
      </c>
      <c r="G228" s="848">
        <f aca="true" t="shared" si="9" ref="G228:G242">F228/E228*100</f>
        <v>99.71514776275619</v>
      </c>
    </row>
    <row r="229" spans="1:7" s="200" customFormat="1" ht="16.5" customHeight="1" hidden="1">
      <c r="A229" s="63" t="s">
        <v>839</v>
      </c>
      <c r="B229" s="64"/>
      <c r="C229" s="64"/>
      <c r="D229" s="65" t="s">
        <v>285</v>
      </c>
      <c r="E229" s="776">
        <f>SUM(E230)</f>
        <v>0</v>
      </c>
      <c r="F229" s="776">
        <f>SUM(F230)</f>
        <v>0</v>
      </c>
      <c r="G229" s="849" t="e">
        <f t="shared" si="9"/>
        <v>#DIV/0!</v>
      </c>
    </row>
    <row r="230" spans="1:7" s="135" customFormat="1" ht="30.75" customHeight="1" hidden="1">
      <c r="A230" s="67"/>
      <c r="B230" s="68" t="s">
        <v>1324</v>
      </c>
      <c r="C230" s="68"/>
      <c r="D230" s="201" t="s">
        <v>1326</v>
      </c>
      <c r="E230" s="777">
        <f>SUM(E231)</f>
        <v>0</v>
      </c>
      <c r="F230" s="777">
        <f>SUM(F231)</f>
        <v>0</v>
      </c>
      <c r="G230" s="838" t="e">
        <f t="shared" si="9"/>
        <v>#DIV/0!</v>
      </c>
    </row>
    <row r="231" spans="1:7" s="135" customFormat="1" ht="59.25" customHeight="1" hidden="1">
      <c r="A231" s="71"/>
      <c r="B231" s="72"/>
      <c r="C231" s="72" t="s">
        <v>1325</v>
      </c>
      <c r="D231" s="93" t="s">
        <v>1150</v>
      </c>
      <c r="E231" s="778">
        <v>0</v>
      </c>
      <c r="F231" s="778">
        <v>0</v>
      </c>
      <c r="G231" s="837" t="e">
        <f t="shared" si="9"/>
        <v>#DIV/0!</v>
      </c>
    </row>
    <row r="232" spans="1:7" s="134" customFormat="1" ht="21.75" customHeight="1">
      <c r="A232" s="63" t="s">
        <v>844</v>
      </c>
      <c r="B232" s="84"/>
      <c r="C232" s="84"/>
      <c r="D232" s="94" t="s">
        <v>845</v>
      </c>
      <c r="E232" s="779">
        <f>SUM(E233,E237)</f>
        <v>2996097</v>
      </c>
      <c r="F232" s="779">
        <f>SUM(F233,F237)</f>
        <v>2350642.4</v>
      </c>
      <c r="G232" s="849">
        <f t="shared" si="9"/>
        <v>78.45681898817027</v>
      </c>
    </row>
    <row r="233" spans="1:7" s="135" customFormat="1" ht="19.5" customHeight="1">
      <c r="A233" s="67"/>
      <c r="B233" s="87" t="s">
        <v>875</v>
      </c>
      <c r="C233" s="87"/>
      <c r="D233" s="69" t="s">
        <v>707</v>
      </c>
      <c r="E233" s="780">
        <f>SUM(E235)</f>
        <v>429847</v>
      </c>
      <c r="F233" s="780">
        <f>SUM(F234,F235)</f>
        <v>428465.42</v>
      </c>
      <c r="G233" s="838">
        <f t="shared" si="9"/>
        <v>99.6785879626937</v>
      </c>
    </row>
    <row r="234" spans="1:7" s="805" customFormat="1" ht="30" customHeight="1">
      <c r="A234" s="71"/>
      <c r="B234" s="90"/>
      <c r="C234" s="90" t="s">
        <v>1357</v>
      </c>
      <c r="D234" s="93" t="s">
        <v>735</v>
      </c>
      <c r="E234" s="781">
        <v>0</v>
      </c>
      <c r="F234" s="781">
        <v>76.35</v>
      </c>
      <c r="G234" s="838" t="s">
        <v>1081</v>
      </c>
    </row>
    <row r="235" spans="1:7" s="98" customFormat="1" ht="54" customHeight="1">
      <c r="A235" s="71"/>
      <c r="B235" s="90"/>
      <c r="C235" s="90" t="s">
        <v>706</v>
      </c>
      <c r="D235" s="93" t="s">
        <v>874</v>
      </c>
      <c r="E235" s="781">
        <v>429847</v>
      </c>
      <c r="F235" s="781">
        <v>428389.07</v>
      </c>
      <c r="G235" s="1339">
        <f t="shared" si="9"/>
        <v>99.66082582872511</v>
      </c>
    </row>
    <row r="236" spans="1:7" s="98" customFormat="1" ht="65.25" customHeight="1">
      <c r="A236" s="71"/>
      <c r="B236" s="90"/>
      <c r="C236" s="90"/>
      <c r="D236" s="93" t="s">
        <v>116</v>
      </c>
      <c r="E236" s="781"/>
      <c r="F236" s="781"/>
      <c r="G236" s="838"/>
    </row>
    <row r="237" spans="1:7" s="135" customFormat="1" ht="39" customHeight="1">
      <c r="A237" s="67"/>
      <c r="B237" s="87" t="s">
        <v>846</v>
      </c>
      <c r="C237" s="87"/>
      <c r="D237" s="69" t="s">
        <v>0</v>
      </c>
      <c r="E237" s="780">
        <f>SUM(E238,E239,E240,E241,E242,E244)</f>
        <v>2566250</v>
      </c>
      <c r="F237" s="780">
        <f>SUM(F238,F239,F240,F241,F242,F244)</f>
        <v>1922176.98</v>
      </c>
      <c r="G237" s="838">
        <f t="shared" si="9"/>
        <v>74.90217165124209</v>
      </c>
    </row>
    <row r="238" spans="1:7" s="98" customFormat="1" ht="27" customHeight="1">
      <c r="A238" s="71"/>
      <c r="B238" s="90"/>
      <c r="C238" s="90" t="s">
        <v>1357</v>
      </c>
      <c r="D238" s="93" t="s">
        <v>735</v>
      </c>
      <c r="E238" s="781">
        <v>8000</v>
      </c>
      <c r="F238" s="781">
        <v>8045.17</v>
      </c>
      <c r="G238" s="1339">
        <f t="shared" si="9"/>
        <v>100.564625</v>
      </c>
    </row>
    <row r="239" spans="1:7" s="98" customFormat="1" ht="27.75" customHeight="1">
      <c r="A239" s="71"/>
      <c r="B239" s="90"/>
      <c r="C239" s="90" t="s">
        <v>734</v>
      </c>
      <c r="D239" s="93" t="s">
        <v>733</v>
      </c>
      <c r="E239" s="781">
        <v>140000</v>
      </c>
      <c r="F239" s="781">
        <v>0</v>
      </c>
      <c r="G239" s="1339">
        <f t="shared" si="9"/>
        <v>0</v>
      </c>
    </row>
    <row r="240" spans="1:7" s="98" customFormat="1" ht="18" customHeight="1">
      <c r="A240" s="71"/>
      <c r="B240" s="90"/>
      <c r="C240" s="90" t="s">
        <v>1356</v>
      </c>
      <c r="D240" s="93" t="s">
        <v>1031</v>
      </c>
      <c r="E240" s="781">
        <v>0</v>
      </c>
      <c r="F240" s="781">
        <v>145.23</v>
      </c>
      <c r="G240" s="838" t="s">
        <v>1081</v>
      </c>
    </row>
    <row r="241" spans="1:7" s="98" customFormat="1" ht="51" customHeight="1">
      <c r="A241" s="71"/>
      <c r="B241" s="90"/>
      <c r="C241" s="90" t="s">
        <v>15</v>
      </c>
      <c r="D241" s="93" t="s">
        <v>51</v>
      </c>
      <c r="E241" s="778">
        <v>504250</v>
      </c>
      <c r="F241" s="778">
        <v>0</v>
      </c>
      <c r="G241" s="95">
        <f t="shared" si="9"/>
        <v>0</v>
      </c>
    </row>
    <row r="242" spans="1:7" s="98" customFormat="1" ht="57" customHeight="1">
      <c r="A242" s="71"/>
      <c r="B242" s="96"/>
      <c r="C242" s="90" t="s">
        <v>605</v>
      </c>
      <c r="D242" s="93" t="s">
        <v>267</v>
      </c>
      <c r="E242" s="778">
        <v>878500</v>
      </c>
      <c r="F242" s="778">
        <v>878500</v>
      </c>
      <c r="G242" s="95">
        <f t="shared" si="9"/>
        <v>100</v>
      </c>
    </row>
    <row r="243" spans="1:7" s="98" customFormat="1" ht="30" customHeight="1">
      <c r="A243" s="71"/>
      <c r="B243" s="96"/>
      <c r="C243" s="90"/>
      <c r="D243" s="93" t="s">
        <v>268</v>
      </c>
      <c r="E243" s="778"/>
      <c r="F243" s="778"/>
      <c r="G243" s="837"/>
    </row>
    <row r="244" spans="1:7" s="98" customFormat="1" ht="40.5" customHeight="1">
      <c r="A244" s="71"/>
      <c r="B244" s="96"/>
      <c r="C244" s="90" t="s">
        <v>999</v>
      </c>
      <c r="D244" s="93" t="s">
        <v>1000</v>
      </c>
      <c r="E244" s="778">
        <v>1035500</v>
      </c>
      <c r="F244" s="778">
        <v>1035486.58</v>
      </c>
      <c r="G244" s="837">
        <f>F244/E244*100</f>
        <v>99.99870400772573</v>
      </c>
    </row>
    <row r="245" spans="1:7" s="134" customFormat="1" ht="20.25" customHeight="1">
      <c r="A245" s="63" t="s">
        <v>851</v>
      </c>
      <c r="B245" s="101"/>
      <c r="C245" s="84"/>
      <c r="D245" s="85" t="s">
        <v>852</v>
      </c>
      <c r="E245" s="779">
        <f>SUM(E246)</f>
        <v>127000</v>
      </c>
      <c r="F245" s="779">
        <f>SUM(F246)</f>
        <v>112594.66</v>
      </c>
      <c r="G245" s="849">
        <f>F245/E245*100</f>
        <v>88.65721259842519</v>
      </c>
    </row>
    <row r="246" spans="1:7" s="135" customFormat="1" ht="21" customHeight="1">
      <c r="A246" s="71"/>
      <c r="B246" s="102" t="s">
        <v>853</v>
      </c>
      <c r="C246" s="102"/>
      <c r="D246" s="103" t="s">
        <v>854</v>
      </c>
      <c r="E246" s="783">
        <f>SUM(E247,E248)</f>
        <v>127000</v>
      </c>
      <c r="F246" s="783">
        <f>SUM(F247,F248)</f>
        <v>112594.66</v>
      </c>
      <c r="G246" s="851">
        <f>F246/E246*100</f>
        <v>88.65721259842519</v>
      </c>
    </row>
    <row r="247" spans="1:7" s="140" customFormat="1" ht="57" customHeight="1">
      <c r="A247" s="136"/>
      <c r="B247" s="102"/>
      <c r="C247" s="137">
        <v>2110</v>
      </c>
      <c r="D247" s="138" t="s">
        <v>1150</v>
      </c>
      <c r="E247" s="139">
        <v>123735</v>
      </c>
      <c r="F247" s="139">
        <v>109329.66</v>
      </c>
      <c r="G247" s="95">
        <f>F247/E247*100</f>
        <v>88.357910049703</v>
      </c>
    </row>
    <row r="248" spans="1:7" s="802" customFormat="1" ht="57" customHeight="1">
      <c r="A248" s="136"/>
      <c r="B248" s="102"/>
      <c r="C248" s="137">
        <v>6410</v>
      </c>
      <c r="D248" s="138" t="s">
        <v>723</v>
      </c>
      <c r="E248" s="139">
        <v>3265</v>
      </c>
      <c r="F248" s="139">
        <v>3265</v>
      </c>
      <c r="G248" s="95">
        <f>F248/E248*100</f>
        <v>100</v>
      </c>
    </row>
    <row r="249" spans="1:7" s="135" customFormat="1" ht="19.5" customHeight="1">
      <c r="A249" s="63" t="s">
        <v>855</v>
      </c>
      <c r="B249" s="84"/>
      <c r="C249" s="141"/>
      <c r="D249" s="85" t="s">
        <v>856</v>
      </c>
      <c r="E249" s="779">
        <f>SUM(E250,E252,E255)</f>
        <v>421358</v>
      </c>
      <c r="F249" s="779">
        <f>SUM(F250,F252,F255)</f>
        <v>417354.79</v>
      </c>
      <c r="G249" s="849">
        <f aca="true" t="shared" si="10" ref="G249:G255">F249/E249*100</f>
        <v>99.0499266656857</v>
      </c>
    </row>
    <row r="250" spans="1:7" s="135" customFormat="1" ht="19.5" customHeight="1">
      <c r="A250" s="67"/>
      <c r="B250" s="87" t="s">
        <v>857</v>
      </c>
      <c r="C250" s="87"/>
      <c r="D250" s="88" t="s">
        <v>1152</v>
      </c>
      <c r="E250" s="780">
        <f>E251</f>
        <v>51000</v>
      </c>
      <c r="F250" s="780">
        <f>F251</f>
        <v>51000</v>
      </c>
      <c r="G250" s="838">
        <f t="shared" si="10"/>
        <v>100</v>
      </c>
    </row>
    <row r="251" spans="1:7" s="98" customFormat="1" ht="54.75" customHeight="1">
      <c r="A251" s="71"/>
      <c r="B251" s="90"/>
      <c r="C251" s="90" t="s">
        <v>1325</v>
      </c>
      <c r="D251" s="93" t="s">
        <v>1150</v>
      </c>
      <c r="E251" s="781">
        <v>51000</v>
      </c>
      <c r="F251" s="781">
        <v>51000</v>
      </c>
      <c r="G251" s="837">
        <f t="shared" si="10"/>
        <v>100</v>
      </c>
    </row>
    <row r="252" spans="1:7" s="135" customFormat="1" ht="19.5" customHeight="1">
      <c r="A252" s="67"/>
      <c r="B252" s="87" t="s">
        <v>858</v>
      </c>
      <c r="C252" s="87"/>
      <c r="D252" s="69" t="s">
        <v>859</v>
      </c>
      <c r="E252" s="780">
        <f>SUM(E253,E254)</f>
        <v>14000</v>
      </c>
      <c r="F252" s="780">
        <f>SUM(F253,F254)</f>
        <v>14000</v>
      </c>
      <c r="G252" s="838">
        <f t="shared" si="10"/>
        <v>100</v>
      </c>
    </row>
    <row r="253" spans="1:7" s="98" customFormat="1" ht="28.5" customHeight="1" hidden="1">
      <c r="A253" s="71"/>
      <c r="B253" s="90"/>
      <c r="C253" s="90" t="s">
        <v>1357</v>
      </c>
      <c r="D253" s="93" t="s">
        <v>735</v>
      </c>
      <c r="E253" s="781"/>
      <c r="F253" s="781"/>
      <c r="G253" s="837" t="s">
        <v>1081</v>
      </c>
    </row>
    <row r="254" spans="1:7" s="98" customFormat="1" ht="60.75" customHeight="1">
      <c r="A254" s="71"/>
      <c r="B254" s="90"/>
      <c r="C254" s="90" t="s">
        <v>1325</v>
      </c>
      <c r="D254" s="93" t="s">
        <v>1150</v>
      </c>
      <c r="E254" s="781">
        <v>14000</v>
      </c>
      <c r="F254" s="781">
        <v>14000</v>
      </c>
      <c r="G254" s="837">
        <f t="shared" si="10"/>
        <v>100</v>
      </c>
    </row>
    <row r="255" spans="1:7" s="135" customFormat="1" ht="19.5" customHeight="1">
      <c r="A255" s="67"/>
      <c r="B255" s="87" t="s">
        <v>860</v>
      </c>
      <c r="C255" s="87"/>
      <c r="D255" s="88" t="s">
        <v>864</v>
      </c>
      <c r="E255" s="780">
        <f>SUM(E256)</f>
        <v>356358</v>
      </c>
      <c r="F255" s="780">
        <f>SUM(F256)</f>
        <v>352354.79</v>
      </c>
      <c r="G255" s="838">
        <f t="shared" si="10"/>
        <v>98.87663248755464</v>
      </c>
    </row>
    <row r="256" spans="1:7" s="98" customFormat="1" ht="60" customHeight="1">
      <c r="A256" s="71"/>
      <c r="B256" s="90"/>
      <c r="C256" s="90" t="s">
        <v>1325</v>
      </c>
      <c r="D256" s="93" t="s">
        <v>1150</v>
      </c>
      <c r="E256" s="781">
        <v>356358</v>
      </c>
      <c r="F256" s="781">
        <v>352354.79</v>
      </c>
      <c r="G256" s="837">
        <f>F256/E256*100</f>
        <v>98.87663248755464</v>
      </c>
    </row>
    <row r="257" spans="1:7" s="134" customFormat="1" ht="19.5" customHeight="1">
      <c r="A257" s="63" t="s">
        <v>867</v>
      </c>
      <c r="B257" s="84"/>
      <c r="C257" s="84"/>
      <c r="D257" s="85" t="s">
        <v>869</v>
      </c>
      <c r="E257" s="779">
        <f>SUM(E258,E260,E265)</f>
        <v>1022545</v>
      </c>
      <c r="F257" s="779">
        <f>SUM(F258,F260,F265)</f>
        <v>883284.14</v>
      </c>
      <c r="G257" s="849">
        <f>F257/E257*100</f>
        <v>86.38095536137774</v>
      </c>
    </row>
    <row r="258" spans="1:7" s="135" customFormat="1" ht="19.5" customHeight="1">
      <c r="A258" s="67"/>
      <c r="B258" s="87" t="s">
        <v>870</v>
      </c>
      <c r="C258" s="87"/>
      <c r="D258" s="88" t="s">
        <v>876</v>
      </c>
      <c r="E258" s="780">
        <f>SUM(E259)</f>
        <v>80000</v>
      </c>
      <c r="F258" s="780">
        <f>SUM(F259)</f>
        <v>80000</v>
      </c>
      <c r="G258" s="838">
        <f>F258/E258*100</f>
        <v>100</v>
      </c>
    </row>
    <row r="259" spans="1:7" s="98" customFormat="1" ht="59.25" customHeight="1">
      <c r="A259" s="71"/>
      <c r="B259" s="90"/>
      <c r="C259" s="90" t="s">
        <v>1325</v>
      </c>
      <c r="D259" s="93" t="s">
        <v>1150</v>
      </c>
      <c r="E259" s="781">
        <v>80000</v>
      </c>
      <c r="F259" s="781">
        <v>80000</v>
      </c>
      <c r="G259" s="837">
        <f>F259/E259*100</f>
        <v>100</v>
      </c>
    </row>
    <row r="260" spans="1:7" s="135" customFormat="1" ht="19.5" customHeight="1">
      <c r="A260" s="67"/>
      <c r="B260" s="87" t="s">
        <v>877</v>
      </c>
      <c r="C260" s="87"/>
      <c r="D260" s="88" t="s">
        <v>878</v>
      </c>
      <c r="E260" s="780">
        <f>SUM(E261,E262,E263,E264)</f>
        <v>921000</v>
      </c>
      <c r="F260" s="780">
        <f>SUM(F261,F262,F263,F264)</f>
        <v>781740.46</v>
      </c>
      <c r="G260" s="838">
        <f>F260/E260*100</f>
        <v>84.87952877307275</v>
      </c>
    </row>
    <row r="261" spans="1:7" s="135" customFormat="1" ht="19.5" customHeight="1">
      <c r="A261" s="71"/>
      <c r="B261" s="90"/>
      <c r="C261" s="90" t="s">
        <v>1358</v>
      </c>
      <c r="D261" s="93" t="s">
        <v>1028</v>
      </c>
      <c r="E261" s="781">
        <v>1400</v>
      </c>
      <c r="F261" s="781">
        <v>2125</v>
      </c>
      <c r="G261" s="837">
        <f aca="true" t="shared" si="11" ref="G261:G273">F261/E261*100</f>
        <v>151.78571428571428</v>
      </c>
    </row>
    <row r="262" spans="1:7" s="135" customFormat="1" ht="69" customHeight="1">
      <c r="A262" s="71"/>
      <c r="B262" s="90"/>
      <c r="C262" s="90" t="s">
        <v>1359</v>
      </c>
      <c r="D262" s="93" t="s">
        <v>38</v>
      </c>
      <c r="E262" s="781">
        <v>47100</v>
      </c>
      <c r="F262" s="781">
        <v>45908.37</v>
      </c>
      <c r="G262" s="837">
        <f t="shared" si="11"/>
        <v>97.47</v>
      </c>
    </row>
    <row r="263" spans="1:8" s="135" customFormat="1" ht="20.25" customHeight="1">
      <c r="A263" s="71"/>
      <c r="B263" s="90"/>
      <c r="C263" s="90" t="s">
        <v>1355</v>
      </c>
      <c r="D263" s="91" t="s">
        <v>1091</v>
      </c>
      <c r="E263" s="781">
        <v>0</v>
      </c>
      <c r="F263" s="781">
        <v>429.59</v>
      </c>
      <c r="G263" s="837" t="s">
        <v>1081</v>
      </c>
      <c r="H263" s="98"/>
    </row>
    <row r="264" spans="1:7" s="135" customFormat="1" ht="51.75" customHeight="1">
      <c r="A264" s="71"/>
      <c r="B264" s="90"/>
      <c r="C264" s="90" t="s">
        <v>16</v>
      </c>
      <c r="D264" s="93" t="s">
        <v>36</v>
      </c>
      <c r="E264" s="781">
        <v>872500</v>
      </c>
      <c r="F264" s="781">
        <v>733277.5</v>
      </c>
      <c r="G264" s="837">
        <f t="shared" si="11"/>
        <v>84.0432664756447</v>
      </c>
    </row>
    <row r="265" spans="1:7" s="135" customFormat="1" ht="19.5" customHeight="1">
      <c r="A265" s="67"/>
      <c r="B265" s="87" t="s">
        <v>880</v>
      </c>
      <c r="C265" s="141"/>
      <c r="D265" s="88" t="s">
        <v>881</v>
      </c>
      <c r="E265" s="780">
        <f>E266+E267</f>
        <v>21545</v>
      </c>
      <c r="F265" s="780">
        <f>F266+F267</f>
        <v>21543.68</v>
      </c>
      <c r="G265" s="838">
        <f t="shared" si="11"/>
        <v>99.993873288466</v>
      </c>
    </row>
    <row r="266" spans="1:7" s="98" customFormat="1" ht="56.25" customHeight="1">
      <c r="A266" s="71"/>
      <c r="B266" s="90"/>
      <c r="C266" s="142">
        <v>2110</v>
      </c>
      <c r="D266" s="93" t="s">
        <v>1150</v>
      </c>
      <c r="E266" s="781">
        <v>19000</v>
      </c>
      <c r="F266" s="781">
        <v>18998.68</v>
      </c>
      <c r="G266" s="837">
        <f t="shared" si="11"/>
        <v>99.99305263157895</v>
      </c>
    </row>
    <row r="267" spans="1:7" s="98" customFormat="1" ht="56.25" customHeight="1">
      <c r="A267" s="71"/>
      <c r="B267" s="90"/>
      <c r="C267" s="142">
        <v>2120</v>
      </c>
      <c r="D267" s="93" t="s">
        <v>1037</v>
      </c>
      <c r="E267" s="781">
        <v>2545</v>
      </c>
      <c r="F267" s="781">
        <v>2545</v>
      </c>
      <c r="G267" s="837">
        <f t="shared" si="11"/>
        <v>100</v>
      </c>
    </row>
    <row r="268" spans="1:7" s="135" customFormat="1" ht="29.25" customHeight="1">
      <c r="A268" s="63" t="s">
        <v>884</v>
      </c>
      <c r="B268" s="84"/>
      <c r="C268" s="141"/>
      <c r="D268" s="94" t="s">
        <v>971</v>
      </c>
      <c r="E268" s="779">
        <f>SUM(E269)</f>
        <v>3590683</v>
      </c>
      <c r="F268" s="779">
        <f>SUM(F269)</f>
        <v>3590683</v>
      </c>
      <c r="G268" s="849">
        <f t="shared" si="11"/>
        <v>100</v>
      </c>
    </row>
    <row r="269" spans="1:7" s="135" customFormat="1" ht="19.5" customHeight="1">
      <c r="A269" s="67"/>
      <c r="B269" s="87" t="s">
        <v>885</v>
      </c>
      <c r="C269" s="141"/>
      <c r="D269" s="69" t="s">
        <v>1158</v>
      </c>
      <c r="E269" s="780">
        <f>SUM(E270,E271)</f>
        <v>3590683</v>
      </c>
      <c r="F269" s="780">
        <f>SUM(F270,F271)</f>
        <v>3590683</v>
      </c>
      <c r="G269" s="838">
        <f t="shared" si="11"/>
        <v>100</v>
      </c>
    </row>
    <row r="270" spans="1:7" s="98" customFormat="1" ht="56.25" customHeight="1">
      <c r="A270" s="71"/>
      <c r="B270" s="72"/>
      <c r="C270" s="143">
        <v>2110</v>
      </c>
      <c r="D270" s="93" t="s">
        <v>1150</v>
      </c>
      <c r="E270" s="785">
        <v>3577683</v>
      </c>
      <c r="F270" s="785">
        <v>3577683</v>
      </c>
      <c r="G270" s="837">
        <f t="shared" si="11"/>
        <v>100</v>
      </c>
    </row>
    <row r="271" spans="1:7" s="98" customFormat="1" ht="57.75" customHeight="1">
      <c r="A271" s="71"/>
      <c r="B271" s="72"/>
      <c r="C271" s="143">
        <v>6410</v>
      </c>
      <c r="D271" s="93" t="s">
        <v>723</v>
      </c>
      <c r="E271" s="785">
        <v>13000</v>
      </c>
      <c r="F271" s="785">
        <v>13000</v>
      </c>
      <c r="G271" s="837">
        <f t="shared" si="11"/>
        <v>100</v>
      </c>
    </row>
    <row r="272" spans="1:7" s="134" customFormat="1" ht="69" customHeight="1">
      <c r="A272" s="144" t="s">
        <v>1142</v>
      </c>
      <c r="B272" s="84"/>
      <c r="C272" s="84"/>
      <c r="D272" s="94" t="s">
        <v>276</v>
      </c>
      <c r="E272" s="779">
        <f>SUM(E273,E275)</f>
        <v>6722915</v>
      </c>
      <c r="F272" s="779">
        <f>SUM(F273,F275)</f>
        <v>7382430.06</v>
      </c>
      <c r="G272" s="849">
        <f t="shared" si="11"/>
        <v>109.80995684163788</v>
      </c>
    </row>
    <row r="273" spans="1:7" s="135" customFormat="1" ht="41.25" customHeight="1">
      <c r="A273" s="67"/>
      <c r="B273" s="87" t="s">
        <v>1051</v>
      </c>
      <c r="C273" s="87"/>
      <c r="D273" s="69" t="s">
        <v>1164</v>
      </c>
      <c r="E273" s="780">
        <f>SUM(E274)</f>
        <v>683240</v>
      </c>
      <c r="F273" s="780">
        <f>SUM(F274)</f>
        <v>745493.5</v>
      </c>
      <c r="G273" s="838">
        <f t="shared" si="11"/>
        <v>109.11151279199109</v>
      </c>
    </row>
    <row r="274" spans="1:7" s="98" customFormat="1" ht="19.5" customHeight="1">
      <c r="A274" s="71"/>
      <c r="B274" s="90"/>
      <c r="C274" s="90" t="s">
        <v>3</v>
      </c>
      <c r="D274" s="91" t="s">
        <v>1036</v>
      </c>
      <c r="E274" s="781">
        <v>683240</v>
      </c>
      <c r="F274" s="781">
        <v>745493.5</v>
      </c>
      <c r="G274" s="837">
        <f aca="true" t="shared" si="12" ref="G274:G292">F274/E274*100</f>
        <v>109.11151279199109</v>
      </c>
    </row>
    <row r="275" spans="1:7" s="135" customFormat="1" ht="30.75" customHeight="1">
      <c r="A275" s="67"/>
      <c r="B275" s="87" t="s">
        <v>1083</v>
      </c>
      <c r="C275" s="87"/>
      <c r="D275" s="69" t="s">
        <v>1323</v>
      </c>
      <c r="E275" s="780">
        <f>+E276+E277</f>
        <v>6039675</v>
      </c>
      <c r="F275" s="780">
        <f>F276+F277</f>
        <v>6636936.56</v>
      </c>
      <c r="G275" s="838">
        <f t="shared" si="12"/>
        <v>109.88896852893575</v>
      </c>
    </row>
    <row r="276" spans="1:7" s="98" customFormat="1" ht="19.5" customHeight="1">
      <c r="A276" s="71"/>
      <c r="B276" s="90"/>
      <c r="C276" s="90" t="s">
        <v>7</v>
      </c>
      <c r="D276" s="93" t="s">
        <v>1077</v>
      </c>
      <c r="E276" s="781">
        <v>5799675</v>
      </c>
      <c r="F276" s="781">
        <v>6432547</v>
      </c>
      <c r="G276" s="837">
        <f t="shared" si="12"/>
        <v>110.91219766624853</v>
      </c>
    </row>
    <row r="277" spans="1:7" s="98" customFormat="1" ht="19.5" customHeight="1">
      <c r="A277" s="71"/>
      <c r="B277" s="90"/>
      <c r="C277" s="90" t="s">
        <v>8</v>
      </c>
      <c r="D277" s="91" t="s">
        <v>1082</v>
      </c>
      <c r="E277" s="781">
        <v>240000</v>
      </c>
      <c r="F277" s="781">
        <v>204389.56</v>
      </c>
      <c r="G277" s="837">
        <f t="shared" si="12"/>
        <v>85.16231666666667</v>
      </c>
    </row>
    <row r="278" spans="1:7" s="134" customFormat="1" ht="19.5" customHeight="1">
      <c r="A278" s="63" t="s">
        <v>889</v>
      </c>
      <c r="B278" s="84"/>
      <c r="C278" s="84"/>
      <c r="D278" s="85" t="s">
        <v>890</v>
      </c>
      <c r="E278" s="779">
        <f>SUM(E279,E281,E284,E286)</f>
        <v>40654837</v>
      </c>
      <c r="F278" s="779">
        <f>SUM(F279,F281,F284,F286)</f>
        <v>40654837</v>
      </c>
      <c r="G278" s="849">
        <f t="shared" si="12"/>
        <v>100</v>
      </c>
    </row>
    <row r="279" spans="1:7" s="135" customFormat="1" ht="33.75" customHeight="1">
      <c r="A279" s="67"/>
      <c r="B279" s="87" t="s">
        <v>1084</v>
      </c>
      <c r="C279" s="87"/>
      <c r="D279" s="69" t="s">
        <v>1086</v>
      </c>
      <c r="E279" s="780">
        <f>E280</f>
        <v>16189586</v>
      </c>
      <c r="F279" s="780">
        <f>F280</f>
        <v>16189586</v>
      </c>
      <c r="G279" s="838">
        <f t="shared" si="12"/>
        <v>100</v>
      </c>
    </row>
    <row r="280" spans="1:7" s="134" customFormat="1" ht="19.5" customHeight="1">
      <c r="A280" s="63"/>
      <c r="B280" s="84"/>
      <c r="C280" s="90" t="s">
        <v>9</v>
      </c>
      <c r="D280" s="93" t="s">
        <v>1159</v>
      </c>
      <c r="E280" s="781">
        <v>16189586</v>
      </c>
      <c r="F280" s="781">
        <v>16189586</v>
      </c>
      <c r="G280" s="837">
        <f t="shared" si="12"/>
        <v>100</v>
      </c>
    </row>
    <row r="281" spans="1:7" s="135" customFormat="1" ht="30" customHeight="1">
      <c r="A281" s="67"/>
      <c r="B281" s="87" t="s">
        <v>1088</v>
      </c>
      <c r="C281" s="87"/>
      <c r="D281" s="69" t="s">
        <v>279</v>
      </c>
      <c r="E281" s="780">
        <f>SUM(E283,E282)</f>
        <v>23131000</v>
      </c>
      <c r="F281" s="780">
        <f>SUM(F283,F282)</f>
        <v>23131000</v>
      </c>
      <c r="G281" s="838">
        <f t="shared" si="12"/>
        <v>100</v>
      </c>
    </row>
    <row r="282" spans="1:7" s="98" customFormat="1" ht="55.5" customHeight="1">
      <c r="A282" s="71"/>
      <c r="B282" s="90"/>
      <c r="C282" s="90" t="s">
        <v>17</v>
      </c>
      <c r="D282" s="93" t="s">
        <v>1267</v>
      </c>
      <c r="E282" s="781">
        <v>22000000</v>
      </c>
      <c r="F282" s="781">
        <v>22000000</v>
      </c>
      <c r="G282" s="837">
        <f t="shared" si="12"/>
        <v>100</v>
      </c>
    </row>
    <row r="283" spans="1:7" s="98" customFormat="1" ht="53.25" customHeight="1">
      <c r="A283" s="71"/>
      <c r="B283" s="90"/>
      <c r="C283" s="90" t="s">
        <v>226</v>
      </c>
      <c r="D283" s="93" t="s">
        <v>138</v>
      </c>
      <c r="E283" s="781">
        <v>1131000</v>
      </c>
      <c r="F283" s="781">
        <v>1131000</v>
      </c>
      <c r="G283" s="837">
        <f>F283/E283*100</f>
        <v>100</v>
      </c>
    </row>
    <row r="284" spans="1:7" s="135" customFormat="1" ht="26.25" customHeight="1">
      <c r="A284" s="67"/>
      <c r="B284" s="87" t="s">
        <v>227</v>
      </c>
      <c r="C284" s="87"/>
      <c r="D284" s="69" t="s">
        <v>230</v>
      </c>
      <c r="E284" s="780">
        <f>SUM(E285)</f>
        <v>67964</v>
      </c>
      <c r="F284" s="780">
        <f>SUM(F285)</f>
        <v>67964</v>
      </c>
      <c r="G284" s="838">
        <f>F284/E284*100</f>
        <v>100</v>
      </c>
    </row>
    <row r="285" spans="1:7" s="98" customFormat="1" ht="19.5" customHeight="1">
      <c r="A285" s="71"/>
      <c r="B285" s="90"/>
      <c r="C285" s="90" t="s">
        <v>9</v>
      </c>
      <c r="D285" s="93" t="s">
        <v>1159</v>
      </c>
      <c r="E285" s="781">
        <v>67964</v>
      </c>
      <c r="F285" s="781">
        <v>67964</v>
      </c>
      <c r="G285" s="837">
        <f>F285/E285*100</f>
        <v>100</v>
      </c>
    </row>
    <row r="286" spans="1:7" s="135" customFormat="1" ht="25.5" customHeight="1">
      <c r="A286" s="67"/>
      <c r="B286" s="87" t="s">
        <v>18</v>
      </c>
      <c r="C286" s="145"/>
      <c r="D286" s="69" t="s">
        <v>34</v>
      </c>
      <c r="E286" s="780">
        <f>E287</f>
        <v>1266287</v>
      </c>
      <c r="F286" s="780">
        <f>F287</f>
        <v>1266287</v>
      </c>
      <c r="G286" s="838">
        <f t="shared" si="12"/>
        <v>100</v>
      </c>
    </row>
    <row r="287" spans="1:7" s="98" customFormat="1" ht="21" customHeight="1">
      <c r="A287" s="71"/>
      <c r="B287" s="90"/>
      <c r="C287" s="146" t="s">
        <v>9</v>
      </c>
      <c r="D287" s="147" t="s">
        <v>1087</v>
      </c>
      <c r="E287" s="781">
        <v>1266287</v>
      </c>
      <c r="F287" s="781">
        <v>1266287</v>
      </c>
      <c r="G287" s="837">
        <f t="shared" si="12"/>
        <v>100</v>
      </c>
    </row>
    <row r="288" spans="1:7" s="135" customFormat="1" ht="19.5" customHeight="1">
      <c r="A288" s="63" t="s">
        <v>891</v>
      </c>
      <c r="B288" s="84"/>
      <c r="C288" s="141"/>
      <c r="D288" s="85" t="s">
        <v>892</v>
      </c>
      <c r="E288" s="779">
        <f>SUM(E289)</f>
        <v>9964</v>
      </c>
      <c r="F288" s="779">
        <f>SUM(F289)</f>
        <v>9964</v>
      </c>
      <c r="G288" s="849">
        <f>F288/E288*100</f>
        <v>100</v>
      </c>
    </row>
    <row r="289" spans="1:7" s="135" customFormat="1" ht="21" customHeight="1">
      <c r="A289" s="67"/>
      <c r="B289" s="145" t="s">
        <v>385</v>
      </c>
      <c r="C289" s="141"/>
      <c r="D289" s="69" t="s">
        <v>840</v>
      </c>
      <c r="E289" s="780">
        <f>SUM(E290,E291)</f>
        <v>9964</v>
      </c>
      <c r="F289" s="780">
        <f>SUM(F290,F291)</f>
        <v>9964</v>
      </c>
      <c r="G289" s="838">
        <f>F289/E289*100</f>
        <v>100</v>
      </c>
    </row>
    <row r="290" spans="1:7" s="98" customFormat="1" ht="31.5" customHeight="1">
      <c r="A290" s="71"/>
      <c r="B290" s="90"/>
      <c r="C290" s="142">
        <v>2130</v>
      </c>
      <c r="D290" s="93" t="s">
        <v>724</v>
      </c>
      <c r="E290" s="781">
        <v>9964</v>
      </c>
      <c r="F290" s="781">
        <v>9964</v>
      </c>
      <c r="G290" s="837">
        <f>F290/E290*100</f>
        <v>100</v>
      </c>
    </row>
    <row r="291" spans="1:7" s="98" customFormat="1" ht="45" customHeight="1" hidden="1">
      <c r="A291" s="71"/>
      <c r="B291" s="90"/>
      <c r="C291" s="146" t="s">
        <v>999</v>
      </c>
      <c r="D291" s="147" t="s">
        <v>1000</v>
      </c>
      <c r="E291" s="781">
        <v>0</v>
      </c>
      <c r="F291" s="781">
        <v>0</v>
      </c>
      <c r="G291" s="837" t="e">
        <f>F291/E291*100</f>
        <v>#DIV/0!</v>
      </c>
    </row>
    <row r="292" spans="1:7" s="135" customFormat="1" ht="19.5" customHeight="1">
      <c r="A292" s="63" t="s">
        <v>900</v>
      </c>
      <c r="B292" s="84"/>
      <c r="C292" s="141"/>
      <c r="D292" s="85" t="s">
        <v>901</v>
      </c>
      <c r="E292" s="779">
        <f>SUM(E293)</f>
        <v>600000</v>
      </c>
      <c r="F292" s="779">
        <f>SUM(F293)</f>
        <v>600000</v>
      </c>
      <c r="G292" s="849">
        <f t="shared" si="12"/>
        <v>100</v>
      </c>
    </row>
    <row r="293" spans="1:7" s="135" customFormat="1" ht="43.5" customHeight="1">
      <c r="A293" s="67"/>
      <c r="B293" s="145" t="s">
        <v>1092</v>
      </c>
      <c r="C293" s="141"/>
      <c r="D293" s="69" t="s">
        <v>282</v>
      </c>
      <c r="E293" s="780">
        <f>SUM(E294)</f>
        <v>600000</v>
      </c>
      <c r="F293" s="780">
        <f>SUM(F294)</f>
        <v>600000</v>
      </c>
      <c r="G293" s="838">
        <f aca="true" t="shared" si="13" ref="G293:G332">F293/E293*100</f>
        <v>100</v>
      </c>
    </row>
    <row r="294" spans="1:7" s="98" customFormat="1" ht="58.5" customHeight="1">
      <c r="A294" s="71"/>
      <c r="B294" s="90"/>
      <c r="C294" s="142">
        <v>2110</v>
      </c>
      <c r="D294" s="93" t="s">
        <v>1150</v>
      </c>
      <c r="E294" s="781">
        <v>600000</v>
      </c>
      <c r="F294" s="781">
        <v>600000</v>
      </c>
      <c r="G294" s="837">
        <f t="shared" si="13"/>
        <v>100</v>
      </c>
    </row>
    <row r="295" spans="1:7" s="134" customFormat="1" ht="21.75" customHeight="1">
      <c r="A295" s="63" t="s">
        <v>19</v>
      </c>
      <c r="B295" s="84"/>
      <c r="C295" s="149"/>
      <c r="D295" s="94" t="s">
        <v>30</v>
      </c>
      <c r="E295" s="779">
        <f>SUM(E296,E298,E300,E303,E305)</f>
        <v>443129</v>
      </c>
      <c r="F295" s="779">
        <f>SUM(F296,F298,F300,F303,F305)</f>
        <v>416110.5</v>
      </c>
      <c r="G295" s="849">
        <f t="shared" si="13"/>
        <v>93.90279128651025</v>
      </c>
    </row>
    <row r="296" spans="1:7" s="135" customFormat="1" ht="21.75" customHeight="1">
      <c r="A296" s="67"/>
      <c r="B296" s="87" t="s">
        <v>20</v>
      </c>
      <c r="C296" s="150"/>
      <c r="D296" s="151" t="s">
        <v>765</v>
      </c>
      <c r="E296" s="780">
        <f>SUM(E297)</f>
        <v>1500</v>
      </c>
      <c r="F296" s="780">
        <f>SUM(F297)</f>
        <v>2701.12</v>
      </c>
      <c r="G296" s="837">
        <f t="shared" si="13"/>
        <v>180.07466666666664</v>
      </c>
    </row>
    <row r="297" spans="1:7" s="98" customFormat="1" ht="21.75" customHeight="1">
      <c r="A297" s="71"/>
      <c r="B297" s="90"/>
      <c r="C297" s="146" t="s">
        <v>1356</v>
      </c>
      <c r="D297" s="147" t="s">
        <v>1031</v>
      </c>
      <c r="E297" s="781">
        <v>1500</v>
      </c>
      <c r="F297" s="781">
        <v>2701.12</v>
      </c>
      <c r="G297" s="837">
        <f t="shared" si="13"/>
        <v>180.07466666666664</v>
      </c>
    </row>
    <row r="298" spans="1:7" s="135" customFormat="1" ht="21.75" customHeight="1">
      <c r="A298" s="67"/>
      <c r="B298" s="87" t="s">
        <v>31</v>
      </c>
      <c r="C298" s="150"/>
      <c r="D298" s="151" t="s">
        <v>1160</v>
      </c>
      <c r="E298" s="780">
        <f>SUM(E299)</f>
        <v>361400</v>
      </c>
      <c r="F298" s="780">
        <f>SUM(F299)</f>
        <v>337007.41</v>
      </c>
      <c r="G298" s="838">
        <f t="shared" si="13"/>
        <v>93.2505285002767</v>
      </c>
    </row>
    <row r="299" spans="1:7" s="98" customFormat="1" ht="54" customHeight="1">
      <c r="A299" s="71"/>
      <c r="B299" s="90"/>
      <c r="C299" s="142">
        <v>2110</v>
      </c>
      <c r="D299" s="93" t="s">
        <v>1150</v>
      </c>
      <c r="E299" s="785">
        <v>361400</v>
      </c>
      <c r="F299" s="781">
        <v>337007.41</v>
      </c>
      <c r="G299" s="837">
        <f t="shared" si="13"/>
        <v>93.2505285002767</v>
      </c>
    </row>
    <row r="300" spans="1:7" s="135" customFormat="1" ht="20.25" customHeight="1">
      <c r="A300" s="67"/>
      <c r="B300" s="87" t="s">
        <v>401</v>
      </c>
      <c r="C300" s="150"/>
      <c r="D300" s="69" t="s">
        <v>402</v>
      </c>
      <c r="E300" s="803">
        <f>SUM(E301,E302)</f>
        <v>64229</v>
      </c>
      <c r="F300" s="803">
        <f>SUM(F301,F302)</f>
        <v>60901.97</v>
      </c>
      <c r="G300" s="838">
        <f t="shared" si="13"/>
        <v>94.82005013311743</v>
      </c>
    </row>
    <row r="301" spans="1:7" s="98" customFormat="1" ht="20.25" customHeight="1">
      <c r="A301" s="71"/>
      <c r="B301" s="90"/>
      <c r="C301" s="146" t="s">
        <v>1356</v>
      </c>
      <c r="D301" s="93" t="s">
        <v>1031</v>
      </c>
      <c r="E301" s="785">
        <v>0</v>
      </c>
      <c r="F301" s="781">
        <v>628.78</v>
      </c>
      <c r="G301" s="837" t="s">
        <v>1081</v>
      </c>
    </row>
    <row r="302" spans="1:7" s="98" customFormat="1" ht="54.75" customHeight="1">
      <c r="A302" s="71"/>
      <c r="B302" s="90"/>
      <c r="C302" s="90" t="s">
        <v>1347</v>
      </c>
      <c r="D302" s="93" t="s">
        <v>1348</v>
      </c>
      <c r="E302" s="785">
        <v>64229</v>
      </c>
      <c r="F302" s="781">
        <v>60273.19</v>
      </c>
      <c r="G302" s="837">
        <f t="shared" si="13"/>
        <v>93.84108424543432</v>
      </c>
    </row>
    <row r="303" spans="1:7" s="135" customFormat="1" ht="21.75" customHeight="1">
      <c r="A303" s="67"/>
      <c r="B303" s="87" t="s">
        <v>403</v>
      </c>
      <c r="C303" s="145"/>
      <c r="D303" s="69" t="s">
        <v>404</v>
      </c>
      <c r="E303" s="780">
        <f>SUM(E304)</f>
        <v>6000</v>
      </c>
      <c r="F303" s="780">
        <f>SUM(F304)</f>
        <v>5500</v>
      </c>
      <c r="G303" s="838">
        <f t="shared" si="13"/>
        <v>91.66666666666666</v>
      </c>
    </row>
    <row r="304" spans="1:7" s="98" customFormat="1" ht="31.5" customHeight="1">
      <c r="A304" s="71"/>
      <c r="B304" s="90"/>
      <c r="C304" s="146" t="s">
        <v>11</v>
      </c>
      <c r="D304" s="93" t="s">
        <v>1027</v>
      </c>
      <c r="E304" s="781">
        <v>6000</v>
      </c>
      <c r="F304" s="781">
        <v>5500</v>
      </c>
      <c r="G304" s="837">
        <f t="shared" si="13"/>
        <v>91.66666666666666</v>
      </c>
    </row>
    <row r="305" spans="1:7" s="98" customFormat="1" ht="39" customHeight="1">
      <c r="A305" s="67"/>
      <c r="B305" s="87" t="s">
        <v>533</v>
      </c>
      <c r="C305" s="145"/>
      <c r="D305" s="69" t="s">
        <v>534</v>
      </c>
      <c r="E305" s="780">
        <f>SUM(E306)</f>
        <v>10000</v>
      </c>
      <c r="F305" s="780">
        <f>SUM(F306)</f>
        <v>10000</v>
      </c>
      <c r="G305" s="838">
        <f>F305/E305*100</f>
        <v>100</v>
      </c>
    </row>
    <row r="306" spans="1:7" s="98" customFormat="1" ht="31.5" customHeight="1">
      <c r="A306" s="71"/>
      <c r="B306" s="90"/>
      <c r="C306" s="146" t="s">
        <v>11</v>
      </c>
      <c r="D306" s="93" t="s">
        <v>1027</v>
      </c>
      <c r="E306" s="781">
        <v>10000</v>
      </c>
      <c r="F306" s="781">
        <v>10000</v>
      </c>
      <c r="G306" s="837">
        <f>F306/E306*100</f>
        <v>100</v>
      </c>
    </row>
    <row r="307" spans="1:7" s="98" customFormat="1" ht="32.25" customHeight="1">
      <c r="A307" s="63" t="s">
        <v>904</v>
      </c>
      <c r="B307" s="84"/>
      <c r="C307" s="84"/>
      <c r="D307" s="94" t="s">
        <v>277</v>
      </c>
      <c r="E307" s="779">
        <f>SUM(E308,E310,E312,E314)</f>
        <v>519768</v>
      </c>
      <c r="F307" s="779">
        <f>SUM(F308,F310,F312,F314)</f>
        <v>511306.88</v>
      </c>
      <c r="G307" s="849">
        <f t="shared" si="13"/>
        <v>98.37213526034692</v>
      </c>
    </row>
    <row r="308" spans="1:7" s="98" customFormat="1" ht="22.5" customHeight="1">
      <c r="A308" s="67"/>
      <c r="B308" s="145" t="s">
        <v>914</v>
      </c>
      <c r="C308" s="141"/>
      <c r="D308" s="69" t="s">
        <v>1166</v>
      </c>
      <c r="E308" s="780">
        <f>E309</f>
        <v>31000</v>
      </c>
      <c r="F308" s="780">
        <f>F309</f>
        <v>31000</v>
      </c>
      <c r="G308" s="838">
        <f t="shared" si="13"/>
        <v>100</v>
      </c>
    </row>
    <row r="309" spans="1:7" s="134" customFormat="1" ht="57.75" customHeight="1">
      <c r="A309" s="71"/>
      <c r="B309" s="90"/>
      <c r="C309" s="142">
        <v>2110</v>
      </c>
      <c r="D309" s="93" t="s">
        <v>1150</v>
      </c>
      <c r="E309" s="781">
        <v>31000</v>
      </c>
      <c r="F309" s="781">
        <v>31000</v>
      </c>
      <c r="G309" s="837">
        <f t="shared" si="13"/>
        <v>100</v>
      </c>
    </row>
    <row r="310" spans="1:7" s="135" customFormat="1" ht="28.5" customHeight="1" hidden="1">
      <c r="A310" s="67"/>
      <c r="B310" s="87" t="s">
        <v>812</v>
      </c>
      <c r="C310" s="150"/>
      <c r="D310" s="69" t="s">
        <v>813</v>
      </c>
      <c r="E310" s="780">
        <f>SUM(E311)</f>
        <v>0</v>
      </c>
      <c r="F310" s="780">
        <f>SUM(F311)</f>
        <v>0</v>
      </c>
      <c r="G310" s="838" t="s">
        <v>1081</v>
      </c>
    </row>
    <row r="311" spans="1:7" s="98" customFormat="1" ht="21" customHeight="1" hidden="1">
      <c r="A311" s="71"/>
      <c r="B311" s="90"/>
      <c r="C311" s="146" t="s">
        <v>1356</v>
      </c>
      <c r="D311" s="93" t="s">
        <v>1031</v>
      </c>
      <c r="E311" s="781">
        <v>0</v>
      </c>
      <c r="F311" s="781">
        <v>0</v>
      </c>
      <c r="G311" s="837" t="s">
        <v>1081</v>
      </c>
    </row>
    <row r="312" spans="1:7" s="98" customFormat="1" ht="20.25" customHeight="1">
      <c r="A312" s="67"/>
      <c r="B312" s="87" t="s">
        <v>407</v>
      </c>
      <c r="C312" s="145"/>
      <c r="D312" s="69" t="s">
        <v>408</v>
      </c>
      <c r="E312" s="780">
        <f>SUM(E313)</f>
        <v>115500</v>
      </c>
      <c r="F312" s="780">
        <f>SUM(F313)</f>
        <v>115500</v>
      </c>
      <c r="G312" s="838">
        <f t="shared" si="13"/>
        <v>100</v>
      </c>
    </row>
    <row r="313" spans="1:7" s="98" customFormat="1" ht="63" customHeight="1">
      <c r="A313" s="71"/>
      <c r="B313" s="90"/>
      <c r="C313" s="146" t="s">
        <v>767</v>
      </c>
      <c r="D313" s="93" t="s">
        <v>1080</v>
      </c>
      <c r="E313" s="781">
        <v>115500</v>
      </c>
      <c r="F313" s="781">
        <v>115500</v>
      </c>
      <c r="G313" s="837">
        <f t="shared" si="13"/>
        <v>100</v>
      </c>
    </row>
    <row r="314" spans="1:7" s="135" customFormat="1" ht="18.75" customHeight="1">
      <c r="A314" s="67"/>
      <c r="B314" s="87" t="s">
        <v>409</v>
      </c>
      <c r="C314" s="145"/>
      <c r="D314" s="69" t="s">
        <v>840</v>
      </c>
      <c r="E314" s="780">
        <f>SUM(E315,E317)</f>
        <v>373268</v>
      </c>
      <c r="F314" s="780">
        <f>SUM(F315,F317)</f>
        <v>364806.88</v>
      </c>
      <c r="G314" s="837">
        <f t="shared" si="13"/>
        <v>97.7332318870088</v>
      </c>
    </row>
    <row r="315" spans="1:7" s="98" customFormat="1" ht="27.75" customHeight="1">
      <c r="A315" s="71"/>
      <c r="B315" s="90"/>
      <c r="C315" s="146" t="s">
        <v>231</v>
      </c>
      <c r="D315" s="93" t="s">
        <v>232</v>
      </c>
      <c r="E315" s="781">
        <v>327115</v>
      </c>
      <c r="F315" s="781">
        <v>318654.22</v>
      </c>
      <c r="G315" s="837">
        <f t="shared" si="13"/>
        <v>97.41351512465035</v>
      </c>
    </row>
    <row r="316" spans="1:7" s="98" customFormat="1" ht="66" customHeight="1">
      <c r="A316" s="71"/>
      <c r="B316" s="90"/>
      <c r="C316" s="146"/>
      <c r="D316" s="93" t="s">
        <v>116</v>
      </c>
      <c r="E316" s="781"/>
      <c r="F316" s="781"/>
      <c r="G316" s="837"/>
    </row>
    <row r="317" spans="1:7" s="98" customFormat="1" ht="30" customHeight="1">
      <c r="A317" s="71"/>
      <c r="B317" s="90"/>
      <c r="C317" s="99" t="s">
        <v>233</v>
      </c>
      <c r="D317" s="74" t="s">
        <v>232</v>
      </c>
      <c r="E317" s="786">
        <v>46153</v>
      </c>
      <c r="F317" s="786">
        <v>46152.66</v>
      </c>
      <c r="G317" s="837">
        <f>F317/E317*100</f>
        <v>99.99926331982753</v>
      </c>
    </row>
    <row r="318" spans="1:7" s="98" customFormat="1" ht="78" customHeight="1">
      <c r="A318" s="71"/>
      <c r="B318" s="90"/>
      <c r="C318" s="99"/>
      <c r="D318" s="74" t="s">
        <v>1266</v>
      </c>
      <c r="E318" s="786"/>
      <c r="F318" s="786"/>
      <c r="G318" s="837"/>
    </row>
    <row r="319" spans="1:7" s="135" customFormat="1" ht="21" customHeight="1">
      <c r="A319" s="63" t="s">
        <v>916</v>
      </c>
      <c r="B319" s="84"/>
      <c r="C319" s="84"/>
      <c r="D319" s="94" t="s">
        <v>920</v>
      </c>
      <c r="E319" s="779">
        <f>SUM(E320,E322,E324,E330)</f>
        <v>54383</v>
      </c>
      <c r="F319" s="779">
        <f>SUM(F320,F322,F324,F330)</f>
        <v>54383</v>
      </c>
      <c r="G319" s="849">
        <f t="shared" si="13"/>
        <v>100</v>
      </c>
    </row>
    <row r="320" spans="1:7" s="135" customFormat="1" ht="30" customHeight="1">
      <c r="A320" s="67"/>
      <c r="B320" s="87" t="s">
        <v>922</v>
      </c>
      <c r="C320" s="87"/>
      <c r="D320" s="69" t="s">
        <v>908</v>
      </c>
      <c r="E320" s="780">
        <f>SUM(E321)</f>
        <v>29831</v>
      </c>
      <c r="F320" s="780">
        <f>SUM(F321)</f>
        <v>29831</v>
      </c>
      <c r="G320" s="838">
        <f>F320/E320*100</f>
        <v>100</v>
      </c>
    </row>
    <row r="321" spans="1:7" s="135" customFormat="1" ht="33" customHeight="1">
      <c r="A321" s="71"/>
      <c r="B321" s="90"/>
      <c r="C321" s="90" t="s">
        <v>11</v>
      </c>
      <c r="D321" s="93" t="s">
        <v>1027</v>
      </c>
      <c r="E321" s="781">
        <v>29831</v>
      </c>
      <c r="F321" s="781">
        <v>29831</v>
      </c>
      <c r="G321" s="837">
        <f>F321/E321*100</f>
        <v>100</v>
      </c>
    </row>
    <row r="322" spans="1:7" s="135" customFormat="1" ht="20.25" customHeight="1" hidden="1">
      <c r="A322" s="67"/>
      <c r="B322" s="87" t="s">
        <v>970</v>
      </c>
      <c r="C322" s="87"/>
      <c r="D322" s="69" t="s">
        <v>413</v>
      </c>
      <c r="E322" s="780">
        <f>SUM(E323)</f>
        <v>0</v>
      </c>
      <c r="F322" s="780">
        <f>SUM(F323)</f>
        <v>0</v>
      </c>
      <c r="G322" s="838" t="e">
        <f>F322/E322*100</f>
        <v>#DIV/0!</v>
      </c>
    </row>
    <row r="323" spans="1:7" s="135" customFormat="1" ht="33" customHeight="1" hidden="1">
      <c r="A323" s="71"/>
      <c r="B323" s="90"/>
      <c r="C323" s="90" t="s">
        <v>11</v>
      </c>
      <c r="D323" s="93" t="s">
        <v>1027</v>
      </c>
      <c r="E323" s="781">
        <v>0</v>
      </c>
      <c r="F323" s="781"/>
      <c r="G323" s="837" t="e">
        <f>F323/E323*100</f>
        <v>#DIV/0!</v>
      </c>
    </row>
    <row r="324" spans="1:7" s="135" customFormat="1" ht="20.25" customHeight="1">
      <c r="A324" s="67"/>
      <c r="B324" s="87" t="s">
        <v>973</v>
      </c>
      <c r="C324" s="87"/>
      <c r="D324" s="69" t="s">
        <v>974</v>
      </c>
      <c r="E324" s="780">
        <f>SUM(E325,E326,E328)</f>
        <v>1600</v>
      </c>
      <c r="F324" s="780">
        <f>SUM(F325,F326,F328)</f>
        <v>1600</v>
      </c>
      <c r="G324" s="838">
        <f t="shared" si="13"/>
        <v>100</v>
      </c>
    </row>
    <row r="325" spans="1:7" s="135" customFormat="1" ht="30.75" customHeight="1">
      <c r="A325" s="71"/>
      <c r="B325" s="90"/>
      <c r="C325" s="90" t="s">
        <v>11</v>
      </c>
      <c r="D325" s="93" t="s">
        <v>1027</v>
      </c>
      <c r="E325" s="781">
        <v>1600</v>
      </c>
      <c r="F325" s="781">
        <v>1600</v>
      </c>
      <c r="G325" s="837">
        <f t="shared" si="13"/>
        <v>100</v>
      </c>
    </row>
    <row r="326" spans="1:7" s="98" customFormat="1" ht="67.5" customHeight="1" hidden="1">
      <c r="A326" s="71"/>
      <c r="B326" s="90"/>
      <c r="C326" s="90" t="s">
        <v>1349</v>
      </c>
      <c r="D326" s="93" t="s">
        <v>1351</v>
      </c>
      <c r="E326" s="781">
        <v>0</v>
      </c>
      <c r="F326" s="781">
        <v>0</v>
      </c>
      <c r="G326" s="837" t="e">
        <f t="shared" si="13"/>
        <v>#DIV/0!</v>
      </c>
    </row>
    <row r="327" spans="1:7" s="98" customFormat="1" ht="55.5" customHeight="1" hidden="1">
      <c r="A327" s="71"/>
      <c r="B327" s="90"/>
      <c r="C327" s="90"/>
      <c r="D327" s="93" t="s">
        <v>116</v>
      </c>
      <c r="E327" s="781"/>
      <c r="F327" s="781"/>
      <c r="G327" s="837" t="e">
        <f t="shared" si="13"/>
        <v>#DIV/0!</v>
      </c>
    </row>
    <row r="328" spans="1:7" s="148" customFormat="1" ht="67.5" customHeight="1" hidden="1">
      <c r="A328" s="71"/>
      <c r="B328" s="90"/>
      <c r="C328" s="90" t="s">
        <v>1350</v>
      </c>
      <c r="D328" s="93" t="s">
        <v>1351</v>
      </c>
      <c r="E328" s="1462">
        <v>0</v>
      </c>
      <c r="F328" s="1462">
        <v>0</v>
      </c>
      <c r="G328" s="837" t="e">
        <f t="shared" si="13"/>
        <v>#DIV/0!</v>
      </c>
    </row>
    <row r="329" spans="1:7" s="98" customFormat="1" ht="66.75" customHeight="1" hidden="1">
      <c r="A329" s="71"/>
      <c r="B329" s="90"/>
      <c r="C329" s="90"/>
      <c r="D329" s="93" t="s">
        <v>144</v>
      </c>
      <c r="E329" s="1462"/>
      <c r="F329" s="1462"/>
      <c r="G329" s="837" t="e">
        <f t="shared" si="13"/>
        <v>#DIV/0!</v>
      </c>
    </row>
    <row r="330" spans="1:7" s="804" customFormat="1" ht="21" customHeight="1">
      <c r="A330" s="67"/>
      <c r="B330" s="87" t="s">
        <v>418</v>
      </c>
      <c r="C330" s="87"/>
      <c r="D330" s="69" t="s">
        <v>840</v>
      </c>
      <c r="E330" s="777">
        <f>SUM(E331,E332)</f>
        <v>22952</v>
      </c>
      <c r="F330" s="777">
        <f>SUM(F331,F332)</f>
        <v>22952</v>
      </c>
      <c r="G330" s="838">
        <f t="shared" si="13"/>
        <v>100</v>
      </c>
    </row>
    <row r="331" spans="1:7" s="805" customFormat="1" ht="30" customHeight="1">
      <c r="A331" s="71"/>
      <c r="B331" s="90"/>
      <c r="C331" s="90" t="s">
        <v>11</v>
      </c>
      <c r="D331" s="93" t="s">
        <v>1027</v>
      </c>
      <c r="E331" s="778">
        <v>2801</v>
      </c>
      <c r="F331" s="778">
        <v>2801</v>
      </c>
      <c r="G331" s="837">
        <f t="shared" si="13"/>
        <v>100</v>
      </c>
    </row>
    <row r="332" spans="1:7" s="805" customFormat="1" ht="44.25" customHeight="1">
      <c r="A332" s="71"/>
      <c r="B332" s="90"/>
      <c r="C332" s="90" t="s">
        <v>999</v>
      </c>
      <c r="D332" s="93" t="s">
        <v>428</v>
      </c>
      <c r="E332" s="778">
        <v>20151</v>
      </c>
      <c r="F332" s="778">
        <v>20151</v>
      </c>
      <c r="G332" s="837">
        <f t="shared" si="13"/>
        <v>100</v>
      </c>
    </row>
    <row r="333" spans="1:7" s="98" customFormat="1" ht="29.25" customHeight="1">
      <c r="A333" s="63" t="s">
        <v>976</v>
      </c>
      <c r="B333" s="84"/>
      <c r="C333" s="84"/>
      <c r="D333" s="94" t="s">
        <v>1094</v>
      </c>
      <c r="E333" s="779">
        <f>SUM(E334)</f>
        <v>0</v>
      </c>
      <c r="F333" s="779">
        <f>SUM(F334)</f>
        <v>16259.4</v>
      </c>
      <c r="G333" s="849" t="s">
        <v>1081</v>
      </c>
    </row>
    <row r="334" spans="1:7" s="135" customFormat="1" ht="20.25" customHeight="1">
      <c r="A334" s="67"/>
      <c r="B334" s="87" t="s">
        <v>978</v>
      </c>
      <c r="C334" s="145"/>
      <c r="D334" s="69" t="s">
        <v>979</v>
      </c>
      <c r="E334" s="780">
        <f>SUM(E335)</f>
        <v>0</v>
      </c>
      <c r="F334" s="780">
        <f>SUM(F335)</f>
        <v>16259.4</v>
      </c>
      <c r="G334" s="838" t="s">
        <v>1081</v>
      </c>
    </row>
    <row r="335" spans="1:7" s="135" customFormat="1" ht="21" customHeight="1" thickBot="1">
      <c r="A335" s="152"/>
      <c r="B335" s="153"/>
      <c r="C335" s="154" t="s">
        <v>1356</v>
      </c>
      <c r="D335" s="155" t="s">
        <v>1031</v>
      </c>
      <c r="E335" s="806">
        <v>0</v>
      </c>
      <c r="F335" s="806">
        <v>16259.4</v>
      </c>
      <c r="G335" s="857" t="s">
        <v>1081</v>
      </c>
    </row>
    <row r="336" spans="1:7" s="248" customFormat="1" ht="21" customHeight="1" thickBot="1">
      <c r="A336" s="1459" t="s">
        <v>923</v>
      </c>
      <c r="B336" s="1460"/>
      <c r="C336" s="1460"/>
      <c r="D336" s="1461"/>
      <c r="E336" s="807">
        <f>SUM(E7,E228)</f>
        <v>199875894.56</v>
      </c>
      <c r="F336" s="807">
        <f>SUM(F7,F228)</f>
        <v>198402842.07</v>
      </c>
      <c r="G336" s="858">
        <f>F336/E336*100</f>
        <v>99.26301643665299</v>
      </c>
    </row>
    <row r="337" spans="1:6" ht="19.5" customHeight="1">
      <c r="A337" s="202"/>
      <c r="B337" s="202"/>
      <c r="C337" s="202"/>
      <c r="D337" s="203" t="s">
        <v>924</v>
      </c>
      <c r="E337" s="387">
        <v>199875894.56</v>
      </c>
      <c r="F337" s="387">
        <v>198402842.07</v>
      </c>
    </row>
    <row r="338" spans="1:6" ht="19.5" customHeight="1">
      <c r="A338" s="202"/>
      <c r="B338" s="202"/>
      <c r="C338" s="202"/>
      <c r="D338" s="203" t="s">
        <v>925</v>
      </c>
      <c r="E338" s="204">
        <f>E337-E336</f>
        <v>0</v>
      </c>
      <c r="F338" s="204">
        <f>F337-F336</f>
        <v>0</v>
      </c>
    </row>
    <row r="339" spans="1:7" s="92" customFormat="1" ht="19.5" customHeight="1">
      <c r="A339" s="207"/>
      <c r="B339" s="207"/>
      <c r="C339" s="207"/>
      <c r="D339" s="208"/>
      <c r="E339" s="209"/>
      <c r="F339" s="210"/>
      <c r="G339" s="211"/>
    </row>
    <row r="340" spans="1:7" s="92" customFormat="1" ht="19.5" customHeight="1">
      <c r="A340" s="207"/>
      <c r="B340" s="207"/>
      <c r="C340" s="207"/>
      <c r="D340" s="208"/>
      <c r="E340" s="209"/>
      <c r="F340" s="209"/>
      <c r="G340" s="211"/>
    </row>
    <row r="341" spans="1:6" ht="19.5" customHeight="1">
      <c r="A341" s="202"/>
      <c r="B341" s="202"/>
      <c r="C341" s="202"/>
      <c r="D341" s="203"/>
      <c r="E341" s="212"/>
      <c r="F341" s="213"/>
    </row>
    <row r="342" spans="1:6" ht="19.5" customHeight="1">
      <c r="A342" s="202"/>
      <c r="B342" s="202"/>
      <c r="C342" s="202"/>
      <c r="D342" s="203"/>
      <c r="E342" s="212"/>
      <c r="F342" s="213"/>
    </row>
    <row r="343" spans="1:6" ht="19.5" customHeight="1">
      <c r="A343" s="202"/>
      <c r="B343" s="202"/>
      <c r="C343" s="202"/>
      <c r="D343" s="203"/>
      <c r="E343" s="212"/>
      <c r="F343" s="213"/>
    </row>
    <row r="344" spans="1:6" ht="19.5" customHeight="1">
      <c r="A344" s="202"/>
      <c r="B344" s="202"/>
      <c r="C344" s="202"/>
      <c r="D344" s="203"/>
      <c r="E344" s="212"/>
      <c r="F344" s="213"/>
    </row>
    <row r="345" spans="1:6" ht="19.5" customHeight="1">
      <c r="A345" s="202"/>
      <c r="B345" s="202"/>
      <c r="C345" s="202"/>
      <c r="D345" s="203"/>
      <c r="E345" s="212"/>
      <c r="F345" s="213"/>
    </row>
    <row r="346" spans="1:6" ht="19.5" customHeight="1">
      <c r="A346" s="202"/>
      <c r="B346" s="202"/>
      <c r="C346" s="202"/>
      <c r="D346" s="203"/>
      <c r="E346" s="212"/>
      <c r="F346" s="213"/>
    </row>
    <row r="347" spans="1:6" ht="19.5" customHeight="1">
      <c r="A347" s="202"/>
      <c r="B347" s="202"/>
      <c r="C347" s="202"/>
      <c r="D347" s="203"/>
      <c r="E347" s="212"/>
      <c r="F347" s="213"/>
    </row>
    <row r="348" spans="1:6" ht="19.5" customHeight="1">
      <c r="A348" s="202"/>
      <c r="B348" s="202"/>
      <c r="C348" s="202"/>
      <c r="D348" s="203"/>
      <c r="E348" s="212"/>
      <c r="F348" s="213"/>
    </row>
    <row r="349" spans="1:6" ht="19.5" customHeight="1">
      <c r="A349" s="202"/>
      <c r="B349" s="202"/>
      <c r="C349" s="202"/>
      <c r="D349" s="203"/>
      <c r="E349" s="212"/>
      <c r="F349" s="213"/>
    </row>
    <row r="350" spans="1:6" ht="19.5" customHeight="1">
      <c r="A350" s="202"/>
      <c r="B350" s="202"/>
      <c r="C350" s="202"/>
      <c r="D350" s="203"/>
      <c r="E350" s="212"/>
      <c r="F350" s="213"/>
    </row>
    <row r="351" spans="1:6" ht="19.5" customHeight="1">
      <c r="A351" s="202"/>
      <c r="B351" s="202"/>
      <c r="C351" s="202"/>
      <c r="D351" s="203"/>
      <c r="E351" s="212"/>
      <c r="F351" s="213"/>
    </row>
    <row r="352" spans="1:6" ht="19.5" customHeight="1">
      <c r="A352" s="202"/>
      <c r="B352" s="202"/>
      <c r="C352" s="202"/>
      <c r="D352" s="203"/>
      <c r="E352" s="212"/>
      <c r="F352" s="213"/>
    </row>
    <row r="353" spans="1:6" ht="19.5" customHeight="1">
      <c r="A353" s="202"/>
      <c r="B353" s="202"/>
      <c r="C353" s="202"/>
      <c r="D353" s="203"/>
      <c r="E353" s="212"/>
      <c r="F353" s="213"/>
    </row>
    <row r="354" spans="1:6" ht="19.5" customHeight="1">
      <c r="A354" s="202"/>
      <c r="B354" s="202"/>
      <c r="C354" s="202"/>
      <c r="D354" s="203"/>
      <c r="E354" s="212"/>
      <c r="F354" s="213"/>
    </row>
    <row r="355" spans="1:6" ht="19.5" customHeight="1">
      <c r="A355" s="202"/>
      <c r="B355" s="202"/>
      <c r="C355" s="202"/>
      <c r="D355" s="203"/>
      <c r="E355" s="212"/>
      <c r="F355" s="213"/>
    </row>
    <row r="356" spans="1:6" ht="19.5" customHeight="1">
      <c r="A356" s="202"/>
      <c r="B356" s="202"/>
      <c r="C356" s="202"/>
      <c r="D356" s="203"/>
      <c r="E356" s="212"/>
      <c r="F356" s="213"/>
    </row>
    <row r="357" spans="1:6" ht="19.5" customHeight="1">
      <c r="A357" s="202"/>
      <c r="B357" s="202"/>
      <c r="C357" s="202"/>
      <c r="D357" s="203"/>
      <c r="E357" s="212"/>
      <c r="F357" s="213"/>
    </row>
    <row r="358" spans="1:6" ht="19.5" customHeight="1">
      <c r="A358" s="202"/>
      <c r="B358" s="202"/>
      <c r="C358" s="202"/>
      <c r="D358" s="203"/>
      <c r="E358" s="212"/>
      <c r="F358" s="213"/>
    </row>
    <row r="359" spans="1:6" ht="19.5" customHeight="1">
      <c r="A359" s="202"/>
      <c r="B359" s="202"/>
      <c r="C359" s="202"/>
      <c r="D359" s="203"/>
      <c r="E359" s="212"/>
      <c r="F359" s="213"/>
    </row>
    <row r="360" spans="1:6" ht="19.5" customHeight="1">
      <c r="A360" s="202"/>
      <c r="B360" s="202"/>
      <c r="C360" s="202"/>
      <c r="D360" s="203"/>
      <c r="E360" s="212"/>
      <c r="F360" s="213"/>
    </row>
    <row r="361" spans="1:6" ht="19.5" customHeight="1">
      <c r="A361" s="202"/>
      <c r="B361" s="202"/>
      <c r="C361" s="202"/>
      <c r="D361" s="203"/>
      <c r="E361" s="212"/>
      <c r="F361" s="213"/>
    </row>
    <row r="362" spans="1:6" ht="19.5" customHeight="1">
      <c r="A362" s="202"/>
      <c r="B362" s="202"/>
      <c r="C362" s="202"/>
      <c r="D362" s="203"/>
      <c r="E362" s="212"/>
      <c r="F362" s="213"/>
    </row>
    <row r="363" spans="1:6" ht="19.5" customHeight="1">
      <c r="A363" s="202"/>
      <c r="B363" s="202"/>
      <c r="C363" s="202"/>
      <c r="D363" s="203"/>
      <c r="E363" s="212"/>
      <c r="F363" s="213"/>
    </row>
    <row r="364" spans="1:6" ht="19.5" customHeight="1">
      <c r="A364" s="202"/>
      <c r="B364" s="202"/>
      <c r="C364" s="202"/>
      <c r="D364" s="203"/>
      <c r="E364" s="212"/>
      <c r="F364" s="213"/>
    </row>
    <row r="365" spans="1:6" ht="19.5" customHeight="1">
      <c r="A365" s="202"/>
      <c r="B365" s="202"/>
      <c r="C365" s="202"/>
      <c r="D365" s="203"/>
      <c r="E365" s="212"/>
      <c r="F365" s="213"/>
    </row>
    <row r="366" spans="1:6" ht="19.5" customHeight="1">
      <c r="A366" s="202"/>
      <c r="B366" s="202"/>
      <c r="C366" s="202"/>
      <c r="D366" s="203"/>
      <c r="E366" s="212"/>
      <c r="F366" s="213"/>
    </row>
    <row r="367" spans="1:6" ht="19.5" customHeight="1">
      <c r="A367" s="202"/>
      <c r="B367" s="202"/>
      <c r="C367" s="202"/>
      <c r="D367" s="203"/>
      <c r="E367" s="212"/>
      <c r="F367" s="213"/>
    </row>
    <row r="368" spans="1:6" ht="19.5" customHeight="1">
      <c r="A368" s="202"/>
      <c r="B368" s="202"/>
      <c r="C368" s="202"/>
      <c r="D368" s="203"/>
      <c r="E368" s="212"/>
      <c r="F368" s="213"/>
    </row>
    <row r="369" spans="1:6" ht="19.5" customHeight="1">
      <c r="A369" s="202"/>
      <c r="B369" s="202"/>
      <c r="C369" s="202"/>
      <c r="D369" s="203"/>
      <c r="E369" s="212"/>
      <c r="F369" s="213"/>
    </row>
    <row r="370" spans="1:6" ht="19.5" customHeight="1">
      <c r="A370" s="202"/>
      <c r="B370" s="202"/>
      <c r="C370" s="202"/>
      <c r="D370" s="203"/>
      <c r="E370" s="212"/>
      <c r="F370" s="213"/>
    </row>
    <row r="371" spans="1:6" ht="19.5" customHeight="1">
      <c r="A371" s="202"/>
      <c r="B371" s="202"/>
      <c r="C371" s="202"/>
      <c r="D371" s="203"/>
      <c r="E371" s="212"/>
      <c r="F371" s="213"/>
    </row>
    <row r="372" spans="1:6" ht="19.5" customHeight="1">
      <c r="A372" s="202"/>
      <c r="B372" s="202"/>
      <c r="C372" s="202"/>
      <c r="D372" s="203"/>
      <c r="E372" s="212"/>
      <c r="F372" s="213"/>
    </row>
    <row r="373" spans="1:6" ht="19.5" customHeight="1">
      <c r="A373" s="202"/>
      <c r="B373" s="202"/>
      <c r="C373" s="202"/>
      <c r="D373" s="203"/>
      <c r="E373" s="212"/>
      <c r="F373" s="213"/>
    </row>
    <row r="374" spans="1:6" ht="19.5" customHeight="1">
      <c r="A374" s="202"/>
      <c r="B374" s="202"/>
      <c r="C374" s="202"/>
      <c r="D374" s="203"/>
      <c r="E374" s="212"/>
      <c r="F374" s="213"/>
    </row>
    <row r="375" spans="1:6" ht="19.5" customHeight="1">
      <c r="A375" s="202"/>
      <c r="B375" s="202"/>
      <c r="C375" s="202"/>
      <c r="D375" s="203"/>
      <c r="E375" s="212"/>
      <c r="F375" s="213"/>
    </row>
    <row r="376" spans="1:6" ht="19.5" customHeight="1">
      <c r="A376" s="202"/>
      <c r="B376" s="202"/>
      <c r="C376" s="202"/>
      <c r="D376" s="203"/>
      <c r="E376" s="212"/>
      <c r="F376" s="213"/>
    </row>
    <row r="377" spans="1:6" ht="19.5" customHeight="1">
      <c r="A377" s="202"/>
      <c r="B377" s="202"/>
      <c r="C377" s="202"/>
      <c r="D377" s="203"/>
      <c r="E377" s="212"/>
      <c r="F377" s="213"/>
    </row>
    <row r="378" spans="1:6" ht="19.5" customHeight="1">
      <c r="A378" s="202"/>
      <c r="B378" s="202"/>
      <c r="C378" s="202"/>
      <c r="D378" s="203"/>
      <c r="E378" s="212"/>
      <c r="F378" s="213"/>
    </row>
    <row r="379" spans="1:6" ht="19.5" customHeight="1">
      <c r="A379" s="202"/>
      <c r="B379" s="202"/>
      <c r="C379" s="202"/>
      <c r="D379" s="203"/>
      <c r="E379" s="212"/>
      <c r="F379" s="213"/>
    </row>
    <row r="380" spans="1:6" ht="19.5" customHeight="1">
      <c r="A380" s="202"/>
      <c r="B380" s="202"/>
      <c r="C380" s="202"/>
      <c r="D380" s="203"/>
      <c r="E380" s="212"/>
      <c r="F380" s="213"/>
    </row>
    <row r="381" spans="1:6" ht="19.5" customHeight="1">
      <c r="A381" s="202"/>
      <c r="B381" s="202"/>
      <c r="C381" s="202"/>
      <c r="D381" s="203"/>
      <c r="E381" s="212"/>
      <c r="F381" s="213"/>
    </row>
    <row r="382" spans="1:6" ht="19.5" customHeight="1">
      <c r="A382" s="202"/>
      <c r="B382" s="202"/>
      <c r="C382" s="202"/>
      <c r="D382" s="203"/>
      <c r="E382" s="212"/>
      <c r="F382" s="213"/>
    </row>
    <row r="383" spans="1:6" ht="19.5" customHeight="1">
      <c r="A383" s="202"/>
      <c r="B383" s="202"/>
      <c r="C383" s="202"/>
      <c r="D383" s="203"/>
      <c r="E383" s="212"/>
      <c r="F383" s="213"/>
    </row>
    <row r="384" spans="1:6" ht="19.5" customHeight="1">
      <c r="A384" s="202"/>
      <c r="B384" s="202"/>
      <c r="C384" s="202"/>
      <c r="D384" s="203"/>
      <c r="E384" s="212"/>
      <c r="F384" s="213"/>
    </row>
    <row r="385" spans="1:6" ht="19.5" customHeight="1">
      <c r="A385" s="202"/>
      <c r="B385" s="202"/>
      <c r="C385" s="202"/>
      <c r="D385" s="203"/>
      <c r="E385" s="212"/>
      <c r="F385" s="213"/>
    </row>
    <row r="386" spans="1:6" ht="19.5" customHeight="1">
      <c r="A386" s="202"/>
      <c r="B386" s="202"/>
      <c r="C386" s="202"/>
      <c r="D386" s="203"/>
      <c r="E386" s="212"/>
      <c r="F386" s="213"/>
    </row>
    <row r="387" spans="1:6" ht="19.5" customHeight="1">
      <c r="A387" s="202"/>
      <c r="B387" s="202"/>
      <c r="C387" s="202"/>
      <c r="D387" s="203"/>
      <c r="E387" s="212"/>
      <c r="F387" s="213"/>
    </row>
    <row r="388" spans="1:6" ht="19.5" customHeight="1">
      <c r="A388" s="202"/>
      <c r="B388" s="202"/>
      <c r="C388" s="202"/>
      <c r="D388" s="203"/>
      <c r="E388" s="212"/>
      <c r="F388" s="213"/>
    </row>
    <row r="389" spans="1:6" ht="19.5" customHeight="1">
      <c r="A389" s="202"/>
      <c r="B389" s="202"/>
      <c r="C389" s="202"/>
      <c r="D389" s="203"/>
      <c r="E389" s="212"/>
      <c r="F389" s="213"/>
    </row>
    <row r="390" spans="1:6" ht="19.5" customHeight="1">
      <c r="A390" s="202"/>
      <c r="B390" s="202"/>
      <c r="C390" s="202"/>
      <c r="D390" s="203"/>
      <c r="E390" s="212"/>
      <c r="F390" s="213"/>
    </row>
    <row r="391" spans="1:6" ht="19.5" customHeight="1">
      <c r="A391" s="202"/>
      <c r="B391" s="202"/>
      <c r="C391" s="202"/>
      <c r="D391" s="203"/>
      <c r="E391" s="212"/>
      <c r="F391" s="213"/>
    </row>
    <row r="392" spans="1:6" ht="19.5" customHeight="1">
      <c r="A392" s="202"/>
      <c r="B392" s="202"/>
      <c r="C392" s="202"/>
      <c r="D392" s="203"/>
      <c r="E392" s="212"/>
      <c r="F392" s="213"/>
    </row>
    <row r="393" spans="1:6" ht="19.5" customHeight="1">
      <c r="A393" s="202"/>
      <c r="B393" s="202"/>
      <c r="C393" s="202"/>
      <c r="D393" s="203"/>
      <c r="E393" s="212"/>
      <c r="F393" s="213"/>
    </row>
    <row r="394" spans="1:6" ht="19.5" customHeight="1">
      <c r="A394" s="202"/>
      <c r="B394" s="202"/>
      <c r="C394" s="202"/>
      <c r="D394" s="203"/>
      <c r="E394" s="212"/>
      <c r="F394" s="213"/>
    </row>
    <row r="395" spans="1:6" ht="19.5" customHeight="1">
      <c r="A395" s="202"/>
      <c r="B395" s="202"/>
      <c r="C395" s="202"/>
      <c r="D395" s="203"/>
      <c r="E395" s="212"/>
      <c r="F395" s="213"/>
    </row>
    <row r="396" spans="1:6" ht="19.5" customHeight="1">
      <c r="A396" s="202"/>
      <c r="B396" s="202"/>
      <c r="C396" s="202"/>
      <c r="D396" s="203"/>
      <c r="E396" s="212"/>
      <c r="F396" s="213"/>
    </row>
    <row r="397" spans="1:6" ht="19.5" customHeight="1">
      <c r="A397" s="202"/>
      <c r="B397" s="202"/>
      <c r="C397" s="202"/>
      <c r="D397" s="203"/>
      <c r="E397" s="212"/>
      <c r="F397" s="213"/>
    </row>
    <row r="398" spans="1:6" ht="19.5" customHeight="1">
      <c r="A398" s="202"/>
      <c r="B398" s="202"/>
      <c r="C398" s="202"/>
      <c r="D398" s="203"/>
      <c r="E398" s="212"/>
      <c r="F398" s="213"/>
    </row>
    <row r="399" spans="1:6" ht="19.5" customHeight="1">
      <c r="A399" s="202"/>
      <c r="B399" s="202"/>
      <c r="C399" s="202"/>
      <c r="D399" s="203"/>
      <c r="E399" s="212"/>
      <c r="F399" s="213"/>
    </row>
    <row r="400" spans="1:6" ht="19.5" customHeight="1">
      <c r="A400" s="202"/>
      <c r="B400" s="202"/>
      <c r="C400" s="202"/>
      <c r="D400" s="203"/>
      <c r="E400" s="212"/>
      <c r="F400" s="213"/>
    </row>
    <row r="401" spans="1:6" ht="19.5" customHeight="1">
      <c r="A401" s="202"/>
      <c r="B401" s="202"/>
      <c r="C401" s="202"/>
      <c r="D401" s="203"/>
      <c r="E401" s="212"/>
      <c r="F401" s="213"/>
    </row>
    <row r="402" spans="1:6" ht="19.5" customHeight="1">
      <c r="A402" s="202"/>
      <c r="B402" s="202"/>
      <c r="C402" s="202"/>
      <c r="D402" s="203"/>
      <c r="E402" s="212"/>
      <c r="F402" s="213"/>
    </row>
    <row r="403" spans="1:6" ht="19.5" customHeight="1">
      <c r="A403" s="202"/>
      <c r="B403" s="202"/>
      <c r="C403" s="202"/>
      <c r="D403" s="203"/>
      <c r="E403" s="212"/>
      <c r="F403" s="213"/>
    </row>
    <row r="404" spans="1:6" ht="19.5" customHeight="1">
      <c r="A404" s="202"/>
      <c r="B404" s="202"/>
      <c r="C404" s="202"/>
      <c r="D404" s="203"/>
      <c r="E404" s="212"/>
      <c r="F404" s="213"/>
    </row>
    <row r="405" spans="1:6" ht="19.5" customHeight="1">
      <c r="A405" s="202"/>
      <c r="B405" s="202"/>
      <c r="C405" s="202"/>
      <c r="D405" s="203"/>
      <c r="E405" s="212"/>
      <c r="F405" s="213"/>
    </row>
    <row r="406" spans="1:6" ht="19.5" customHeight="1">
      <c r="A406" s="202"/>
      <c r="B406" s="202"/>
      <c r="C406" s="202"/>
      <c r="D406" s="203"/>
      <c r="E406" s="212"/>
      <c r="F406" s="213"/>
    </row>
    <row r="407" spans="1:6" ht="19.5" customHeight="1">
      <c r="A407" s="202"/>
      <c r="B407" s="202"/>
      <c r="C407" s="202"/>
      <c r="D407" s="203"/>
      <c r="E407" s="212"/>
      <c r="F407" s="213"/>
    </row>
    <row r="408" spans="1:6" ht="19.5" customHeight="1">
      <c r="A408" s="202"/>
      <c r="B408" s="202"/>
      <c r="C408" s="202"/>
      <c r="D408" s="203"/>
      <c r="E408" s="212"/>
      <c r="F408" s="213"/>
    </row>
    <row r="409" spans="1:6" ht="19.5" customHeight="1">
      <c r="A409" s="202"/>
      <c r="B409" s="202"/>
      <c r="C409" s="202"/>
      <c r="D409" s="203"/>
      <c r="E409" s="212"/>
      <c r="F409" s="213"/>
    </row>
    <row r="410" spans="1:6" ht="19.5" customHeight="1">
      <c r="A410" s="202"/>
      <c r="B410" s="202"/>
      <c r="C410" s="202"/>
      <c r="D410" s="203"/>
      <c r="E410" s="212"/>
      <c r="F410" s="213"/>
    </row>
    <row r="411" spans="1:6" ht="19.5" customHeight="1">
      <c r="A411" s="202"/>
      <c r="B411" s="202"/>
      <c r="C411" s="202"/>
      <c r="D411" s="203"/>
      <c r="E411" s="212"/>
      <c r="F411" s="213"/>
    </row>
    <row r="412" spans="1:6" ht="19.5" customHeight="1">
      <c r="A412" s="202"/>
      <c r="B412" s="202"/>
      <c r="C412" s="202"/>
      <c r="D412" s="203"/>
      <c r="E412" s="212"/>
      <c r="F412" s="213"/>
    </row>
    <row r="413" spans="1:6" ht="19.5" customHeight="1">
      <c r="A413" s="202"/>
      <c r="B413" s="202"/>
      <c r="C413" s="202"/>
      <c r="D413" s="203"/>
      <c r="E413" s="212"/>
      <c r="F413" s="213"/>
    </row>
    <row r="414" spans="1:6" ht="19.5" customHeight="1">
      <c r="A414" s="202"/>
      <c r="B414" s="202"/>
      <c r="C414" s="202"/>
      <c r="D414" s="203"/>
      <c r="E414" s="212"/>
      <c r="F414" s="213"/>
    </row>
    <row r="415" spans="1:6" ht="19.5" customHeight="1">
      <c r="A415" s="202"/>
      <c r="B415" s="202"/>
      <c r="C415" s="202"/>
      <c r="D415" s="203"/>
      <c r="E415" s="212"/>
      <c r="F415" s="213"/>
    </row>
    <row r="416" spans="1:6" ht="19.5" customHeight="1">
      <c r="A416" s="202"/>
      <c r="B416" s="202"/>
      <c r="C416" s="202"/>
      <c r="D416" s="203"/>
      <c r="E416" s="212"/>
      <c r="F416" s="213"/>
    </row>
    <row r="417" spans="1:6" ht="19.5" customHeight="1">
      <c r="A417" s="202"/>
      <c r="B417" s="202"/>
      <c r="C417" s="202"/>
      <c r="D417" s="203"/>
      <c r="E417" s="212"/>
      <c r="F417" s="213"/>
    </row>
    <row r="418" spans="1:6" ht="19.5" customHeight="1">
      <c r="A418" s="202"/>
      <c r="B418" s="202"/>
      <c r="C418" s="202"/>
      <c r="D418" s="203"/>
      <c r="E418" s="212"/>
      <c r="F418" s="213"/>
    </row>
    <row r="419" spans="1:6" ht="19.5" customHeight="1">
      <c r="A419" s="202"/>
      <c r="B419" s="202"/>
      <c r="C419" s="202"/>
      <c r="D419" s="203"/>
      <c r="E419" s="212"/>
      <c r="F419" s="213"/>
    </row>
    <row r="420" spans="1:6" ht="19.5" customHeight="1">
      <c r="A420" s="202"/>
      <c r="B420" s="202"/>
      <c r="C420" s="202"/>
      <c r="D420" s="203"/>
      <c r="E420" s="212"/>
      <c r="F420" s="213"/>
    </row>
    <row r="421" spans="1:6" ht="19.5" customHeight="1">
      <c r="A421" s="202"/>
      <c r="B421" s="202"/>
      <c r="C421" s="202"/>
      <c r="D421" s="203"/>
      <c r="E421" s="212"/>
      <c r="F421" s="213"/>
    </row>
    <row r="422" spans="1:6" ht="19.5" customHeight="1">
      <c r="A422" s="202"/>
      <c r="B422" s="202"/>
      <c r="C422" s="202"/>
      <c r="D422" s="203"/>
      <c r="E422" s="212"/>
      <c r="F422" s="213"/>
    </row>
    <row r="423" spans="1:6" ht="19.5" customHeight="1">
      <c r="A423" s="202"/>
      <c r="B423" s="202"/>
      <c r="C423" s="202"/>
      <c r="D423" s="203"/>
      <c r="E423" s="212"/>
      <c r="F423" s="213"/>
    </row>
    <row r="424" spans="1:6" ht="19.5" customHeight="1">
      <c r="A424" s="202"/>
      <c r="B424" s="202"/>
      <c r="C424" s="202"/>
      <c r="D424" s="203"/>
      <c r="E424" s="212"/>
      <c r="F424" s="213"/>
    </row>
    <row r="425" spans="1:6" ht="19.5" customHeight="1">
      <c r="A425" s="202"/>
      <c r="B425" s="202"/>
      <c r="C425" s="202"/>
      <c r="D425" s="203"/>
      <c r="E425" s="212"/>
      <c r="F425" s="213"/>
    </row>
    <row r="426" spans="1:6" ht="19.5" customHeight="1">
      <c r="A426" s="202"/>
      <c r="B426" s="202"/>
      <c r="C426" s="202"/>
      <c r="D426" s="203"/>
      <c r="E426" s="127"/>
      <c r="F426" s="213"/>
    </row>
    <row r="427" spans="1:6" ht="19.5" customHeight="1">
      <c r="A427" s="202"/>
      <c r="B427" s="202"/>
      <c r="C427" s="202"/>
      <c r="D427" s="203"/>
      <c r="E427" s="127"/>
      <c r="F427" s="213"/>
    </row>
    <row r="428" spans="1:6" ht="19.5" customHeight="1">
      <c r="A428" s="202"/>
      <c r="B428" s="202"/>
      <c r="C428" s="202"/>
      <c r="D428" s="203"/>
      <c r="E428" s="127"/>
      <c r="F428" s="213"/>
    </row>
    <row r="429" spans="1:6" ht="19.5" customHeight="1">
      <c r="A429" s="202"/>
      <c r="B429" s="202"/>
      <c r="C429" s="202"/>
      <c r="D429" s="203"/>
      <c r="E429" s="127"/>
      <c r="F429" s="213"/>
    </row>
    <row r="430" spans="1:6" ht="19.5" customHeight="1">
      <c r="A430" s="202"/>
      <c r="B430" s="202"/>
      <c r="C430" s="202"/>
      <c r="D430" s="203"/>
      <c r="E430" s="127"/>
      <c r="F430" s="213"/>
    </row>
    <row r="431" spans="1:6" ht="19.5" customHeight="1">
      <c r="A431" s="202"/>
      <c r="B431" s="202"/>
      <c r="C431" s="202"/>
      <c r="D431" s="203"/>
      <c r="E431" s="127"/>
      <c r="F431" s="213"/>
    </row>
    <row r="432" spans="1:6" ht="19.5" customHeight="1">
      <c r="A432" s="202"/>
      <c r="B432" s="202"/>
      <c r="C432" s="202"/>
      <c r="D432" s="203"/>
      <c r="E432" s="127"/>
      <c r="F432" s="213"/>
    </row>
    <row r="433" spans="1:6" ht="19.5" customHeight="1">
      <c r="A433" s="202"/>
      <c r="B433" s="202"/>
      <c r="C433" s="202"/>
      <c r="D433" s="203"/>
      <c r="E433" s="127"/>
      <c r="F433" s="213"/>
    </row>
    <row r="434" spans="1:6" ht="19.5" customHeight="1">
      <c r="A434" s="202"/>
      <c r="B434" s="202"/>
      <c r="C434" s="202"/>
      <c r="D434" s="203"/>
      <c r="E434" s="127"/>
      <c r="F434" s="213"/>
    </row>
    <row r="435" spans="1:6" ht="19.5" customHeight="1">
      <c r="A435" s="202"/>
      <c r="B435" s="202"/>
      <c r="C435" s="202"/>
      <c r="D435" s="203"/>
      <c r="E435" s="127"/>
      <c r="F435" s="213"/>
    </row>
    <row r="436" spans="1:6" ht="19.5" customHeight="1">
      <c r="A436" s="202"/>
      <c r="B436" s="202"/>
      <c r="C436" s="202"/>
      <c r="D436" s="203"/>
      <c r="E436" s="127"/>
      <c r="F436" s="213"/>
    </row>
    <row r="437" spans="1:6" ht="19.5" customHeight="1">
      <c r="A437" s="202"/>
      <c r="B437" s="202"/>
      <c r="C437" s="202"/>
      <c r="D437" s="203"/>
      <c r="E437" s="127"/>
      <c r="F437" s="213"/>
    </row>
    <row r="438" spans="1:6" ht="19.5" customHeight="1">
      <c r="A438" s="202"/>
      <c r="B438" s="202"/>
      <c r="C438" s="202"/>
      <c r="D438" s="203"/>
      <c r="E438" s="127"/>
      <c r="F438" s="213"/>
    </row>
    <row r="439" spans="1:6" ht="19.5" customHeight="1">
      <c r="A439" s="202"/>
      <c r="B439" s="202"/>
      <c r="C439" s="202"/>
      <c r="D439" s="203"/>
      <c r="E439" s="127"/>
      <c r="F439" s="213"/>
    </row>
    <row r="440" spans="1:6" ht="19.5" customHeight="1">
      <c r="A440" s="202"/>
      <c r="B440" s="202"/>
      <c r="C440" s="202"/>
      <c r="D440" s="203"/>
      <c r="E440" s="127"/>
      <c r="F440" s="213"/>
    </row>
    <row r="441" spans="1:6" ht="19.5" customHeight="1">
      <c r="A441" s="202"/>
      <c r="B441" s="202"/>
      <c r="C441" s="202"/>
      <c r="D441" s="203"/>
      <c r="E441" s="127"/>
      <c r="F441" s="213"/>
    </row>
    <row r="442" spans="1:6" ht="19.5" customHeight="1">
      <c r="A442" s="202"/>
      <c r="B442" s="202"/>
      <c r="C442" s="202"/>
      <c r="D442" s="203"/>
      <c r="E442" s="127"/>
      <c r="F442" s="213"/>
    </row>
    <row r="443" spans="1:6" ht="19.5" customHeight="1">
      <c r="A443" s="202"/>
      <c r="B443" s="202"/>
      <c r="C443" s="202"/>
      <c r="D443" s="203"/>
      <c r="E443" s="127"/>
      <c r="F443" s="213"/>
    </row>
    <row r="444" spans="1:6" ht="19.5" customHeight="1">
      <c r="A444" s="202"/>
      <c r="B444" s="202"/>
      <c r="C444" s="202"/>
      <c r="D444" s="203"/>
      <c r="E444" s="127"/>
      <c r="F444" s="213"/>
    </row>
    <row r="445" spans="1:6" ht="19.5" customHeight="1">
      <c r="A445" s="202"/>
      <c r="B445" s="202"/>
      <c r="C445" s="202"/>
      <c r="D445" s="203"/>
      <c r="E445" s="127"/>
      <c r="F445" s="213"/>
    </row>
    <row r="446" spans="1:6" ht="19.5" customHeight="1">
      <c r="A446" s="202"/>
      <c r="B446" s="202"/>
      <c r="C446" s="202"/>
      <c r="D446" s="203"/>
      <c r="E446" s="127"/>
      <c r="F446" s="213"/>
    </row>
    <row r="447" spans="1:6" ht="19.5" customHeight="1">
      <c r="A447" s="202"/>
      <c r="B447" s="202"/>
      <c r="C447" s="202"/>
      <c r="D447" s="203"/>
      <c r="E447" s="127"/>
      <c r="F447" s="213"/>
    </row>
    <row r="448" spans="1:6" ht="19.5" customHeight="1">
      <c r="A448" s="202"/>
      <c r="B448" s="202"/>
      <c r="C448" s="202"/>
      <c r="D448" s="203"/>
      <c r="E448" s="127"/>
      <c r="F448" s="213"/>
    </row>
    <row r="449" spans="1:6" ht="19.5" customHeight="1">
      <c r="A449" s="202"/>
      <c r="B449" s="202"/>
      <c r="C449" s="202"/>
      <c r="D449" s="203"/>
      <c r="E449" s="127"/>
      <c r="F449" s="213"/>
    </row>
    <row r="450" spans="1:6" ht="19.5" customHeight="1">
      <c r="A450" s="202"/>
      <c r="B450" s="202"/>
      <c r="C450" s="202"/>
      <c r="D450" s="203"/>
      <c r="E450" s="127"/>
      <c r="F450" s="213"/>
    </row>
    <row r="451" spans="1:6" ht="19.5" customHeight="1">
      <c r="A451" s="202"/>
      <c r="B451" s="202"/>
      <c r="C451" s="202"/>
      <c r="D451" s="203"/>
      <c r="E451" s="127"/>
      <c r="F451" s="213"/>
    </row>
    <row r="452" spans="1:6" ht="19.5" customHeight="1">
      <c r="A452" s="202"/>
      <c r="B452" s="202"/>
      <c r="C452" s="202"/>
      <c r="D452" s="203"/>
      <c r="E452" s="127"/>
      <c r="F452" s="213"/>
    </row>
    <row r="453" spans="1:6" ht="19.5" customHeight="1">
      <c r="A453" s="202"/>
      <c r="B453" s="202"/>
      <c r="C453" s="202"/>
      <c r="D453" s="203"/>
      <c r="E453" s="127"/>
      <c r="F453" s="213"/>
    </row>
    <row r="454" spans="1:6" ht="19.5" customHeight="1">
      <c r="A454" s="202"/>
      <c r="B454" s="202"/>
      <c r="C454" s="202"/>
      <c r="D454" s="203"/>
      <c r="E454" s="127"/>
      <c r="F454" s="213"/>
    </row>
    <row r="455" spans="1:5" ht="19.5" customHeight="1">
      <c r="A455" s="202"/>
      <c r="B455" s="202"/>
      <c r="C455" s="202"/>
      <c r="D455" s="203"/>
      <c r="E455" s="127"/>
    </row>
    <row r="456" spans="1:5" ht="19.5" customHeight="1">
      <c r="A456" s="202"/>
      <c r="B456" s="202"/>
      <c r="C456" s="202"/>
      <c r="D456" s="203"/>
      <c r="E456" s="127"/>
    </row>
    <row r="457" spans="1:5" ht="19.5" customHeight="1">
      <c r="A457" s="202"/>
      <c r="B457" s="202"/>
      <c r="C457" s="202"/>
      <c r="D457" s="203"/>
      <c r="E457" s="127"/>
    </row>
    <row r="458" spans="1:5" ht="19.5" customHeight="1">
      <c r="A458" s="202"/>
      <c r="B458" s="202"/>
      <c r="C458" s="202"/>
      <c r="D458" s="203"/>
      <c r="E458" s="127"/>
    </row>
    <row r="459" spans="1:5" ht="19.5" customHeight="1">
      <c r="A459" s="202"/>
      <c r="B459" s="202"/>
      <c r="C459" s="202"/>
      <c r="D459" s="203"/>
      <c r="E459" s="127"/>
    </row>
    <row r="460" spans="1:5" ht="19.5" customHeight="1">
      <c r="A460" s="202"/>
      <c r="B460" s="202"/>
      <c r="C460" s="202"/>
      <c r="D460" s="203"/>
      <c r="E460" s="127"/>
    </row>
    <row r="461" spans="1:5" ht="19.5" customHeight="1">
      <c r="A461" s="202"/>
      <c r="B461" s="202"/>
      <c r="C461" s="202"/>
      <c r="D461" s="203"/>
      <c r="E461" s="127"/>
    </row>
    <row r="462" spans="1:5" ht="19.5" customHeight="1">
      <c r="A462" s="202"/>
      <c r="B462" s="202"/>
      <c r="C462" s="202"/>
      <c r="D462" s="203"/>
      <c r="E462" s="127"/>
    </row>
    <row r="463" spans="1:5" ht="19.5" customHeight="1">
      <c r="A463" s="202"/>
      <c r="B463" s="202"/>
      <c r="C463" s="202"/>
      <c r="D463" s="203"/>
      <c r="E463" s="127"/>
    </row>
    <row r="464" spans="1:5" ht="19.5" customHeight="1">
      <c r="A464" s="202"/>
      <c r="B464" s="202"/>
      <c r="C464" s="202"/>
      <c r="D464" s="203"/>
      <c r="E464" s="127"/>
    </row>
    <row r="465" spans="1:5" ht="19.5" customHeight="1">
      <c r="A465" s="202"/>
      <c r="B465" s="202"/>
      <c r="C465" s="202"/>
      <c r="D465" s="203"/>
      <c r="E465" s="127"/>
    </row>
    <row r="466" spans="1:5" ht="19.5" customHeight="1">
      <c r="A466" s="202"/>
      <c r="B466" s="202"/>
      <c r="C466" s="202"/>
      <c r="D466" s="203"/>
      <c r="E466" s="127"/>
    </row>
    <row r="467" spans="1:5" ht="19.5" customHeight="1">
      <c r="A467" s="202"/>
      <c r="B467" s="202"/>
      <c r="C467" s="202"/>
      <c r="D467" s="203"/>
      <c r="E467" s="127"/>
    </row>
    <row r="468" spans="1:5" ht="19.5" customHeight="1">
      <c r="A468" s="202"/>
      <c r="B468" s="202"/>
      <c r="C468" s="202"/>
      <c r="D468" s="203"/>
      <c r="E468" s="127"/>
    </row>
    <row r="469" spans="1:5" ht="19.5" customHeight="1">
      <c r="A469" s="202"/>
      <c r="B469" s="202"/>
      <c r="C469" s="202"/>
      <c r="D469" s="203"/>
      <c r="E469" s="127"/>
    </row>
    <row r="470" spans="1:5" ht="19.5" customHeight="1">
      <c r="A470" s="202"/>
      <c r="B470" s="202"/>
      <c r="C470" s="202"/>
      <c r="D470" s="203"/>
      <c r="E470" s="127"/>
    </row>
    <row r="471" spans="1:5" ht="19.5" customHeight="1">
      <c r="A471" s="202"/>
      <c r="B471" s="202"/>
      <c r="C471" s="202"/>
      <c r="D471" s="203"/>
      <c r="E471" s="127"/>
    </row>
    <row r="472" spans="1:5" ht="19.5" customHeight="1">
      <c r="A472" s="202"/>
      <c r="B472" s="202"/>
      <c r="C472" s="202"/>
      <c r="D472" s="203"/>
      <c r="E472" s="127"/>
    </row>
    <row r="473" spans="1:5" ht="19.5" customHeight="1">
      <c r="A473" s="202"/>
      <c r="B473" s="202"/>
      <c r="C473" s="202"/>
      <c r="D473" s="203"/>
      <c r="E473" s="127"/>
    </row>
    <row r="474" spans="1:5" ht="19.5" customHeight="1">
      <c r="A474" s="202"/>
      <c r="B474" s="202"/>
      <c r="C474" s="202"/>
      <c r="D474" s="203"/>
      <c r="E474" s="127"/>
    </row>
    <row r="475" spans="1:5" ht="19.5" customHeight="1">
      <c r="A475" s="202"/>
      <c r="B475" s="202"/>
      <c r="C475" s="202"/>
      <c r="D475" s="203"/>
      <c r="E475" s="127"/>
    </row>
    <row r="476" spans="1:5" ht="19.5" customHeight="1">
      <c r="A476" s="202"/>
      <c r="B476" s="202"/>
      <c r="C476" s="202"/>
      <c r="D476" s="203"/>
      <c r="E476" s="127"/>
    </row>
    <row r="477" spans="1:5" ht="19.5" customHeight="1">
      <c r="A477" s="202"/>
      <c r="B477" s="202"/>
      <c r="C477" s="202"/>
      <c r="D477" s="203"/>
      <c r="E477" s="127"/>
    </row>
    <row r="478" spans="1:5" ht="19.5" customHeight="1">
      <c r="A478" s="202"/>
      <c r="B478" s="202"/>
      <c r="C478" s="202"/>
      <c r="D478" s="203"/>
      <c r="E478" s="127"/>
    </row>
    <row r="479" spans="1:5" ht="19.5" customHeight="1">
      <c r="A479" s="202"/>
      <c r="B479" s="202"/>
      <c r="C479" s="202"/>
      <c r="D479" s="203"/>
      <c r="E479" s="127"/>
    </row>
    <row r="480" spans="1:5" ht="19.5" customHeight="1">
      <c r="A480" s="202"/>
      <c r="B480" s="202"/>
      <c r="C480" s="202"/>
      <c r="D480" s="203"/>
      <c r="E480" s="127"/>
    </row>
    <row r="481" spans="1:5" ht="19.5" customHeight="1">
      <c r="A481" s="202"/>
      <c r="B481" s="202"/>
      <c r="C481" s="202"/>
      <c r="D481" s="203"/>
      <c r="E481" s="127"/>
    </row>
    <row r="482" spans="1:5" ht="19.5" customHeight="1">
      <c r="A482" s="202"/>
      <c r="B482" s="202"/>
      <c r="C482" s="202"/>
      <c r="D482" s="203"/>
      <c r="E482" s="127"/>
    </row>
    <row r="483" spans="1:5" ht="19.5" customHeight="1">
      <c r="A483" s="202"/>
      <c r="B483" s="202"/>
      <c r="C483" s="202"/>
      <c r="D483" s="203"/>
      <c r="E483" s="127"/>
    </row>
    <row r="484" spans="1:5" ht="19.5" customHeight="1">
      <c r="A484" s="202"/>
      <c r="B484" s="202"/>
      <c r="C484" s="202"/>
      <c r="D484" s="203"/>
      <c r="E484" s="127"/>
    </row>
    <row r="485" spans="1:5" ht="19.5" customHeight="1">
      <c r="A485" s="202"/>
      <c r="B485" s="202"/>
      <c r="C485" s="202"/>
      <c r="D485" s="203"/>
      <c r="E485" s="127"/>
    </row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</sheetData>
  <sheetProtection/>
  <mergeCells count="10">
    <mergeCell ref="F1:G1"/>
    <mergeCell ref="A3:G3"/>
    <mergeCell ref="A7:D7"/>
    <mergeCell ref="A336:D336"/>
    <mergeCell ref="E34:E35"/>
    <mergeCell ref="F34:F35"/>
    <mergeCell ref="G34:G35"/>
    <mergeCell ref="A228:D228"/>
    <mergeCell ref="E328:E329"/>
    <mergeCell ref="F328:F329"/>
  </mergeCells>
  <printOptions horizontalCentered="1"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indexed="42"/>
  </sheetPr>
  <dimension ref="A1:J218"/>
  <sheetViews>
    <sheetView view="pageBreakPreview" zoomScaleSheetLayoutView="100" workbookViewId="0" topLeftCell="A52">
      <selection activeCell="C78" sqref="C78"/>
    </sheetView>
  </sheetViews>
  <sheetFormatPr defaultColWidth="9.00390625" defaultRowHeight="12.75"/>
  <cols>
    <col min="1" max="1" width="5.625" style="214" customWidth="1"/>
    <col min="2" max="2" width="6.875" style="214" customWidth="1"/>
    <col min="3" max="3" width="5.125" style="214" customWidth="1"/>
    <col min="4" max="4" width="40.25390625" style="215" customWidth="1"/>
    <col min="5" max="5" width="13.00390625" style="89" customWidth="1"/>
    <col min="6" max="6" width="13.125" style="89" customWidth="1"/>
    <col min="7" max="7" width="5.625" style="206" customWidth="1"/>
    <col min="8" max="8" width="4.25390625" style="89" customWidth="1"/>
    <col min="9" max="10" width="13.25390625" style="89" customWidth="1"/>
    <col min="11" max="16384" width="9.125" style="89" customWidth="1"/>
  </cols>
  <sheetData>
    <row r="1" spans="1:7" s="78" customFormat="1" ht="12.75">
      <c r="A1" s="76"/>
      <c r="B1" s="76"/>
      <c r="C1" s="76"/>
      <c r="D1" s="77"/>
      <c r="E1" s="77"/>
      <c r="F1" s="1432" t="s">
        <v>242</v>
      </c>
      <c r="G1" s="1432"/>
    </row>
    <row r="2" spans="1:7" s="78" customFormat="1" ht="21.75" customHeight="1">
      <c r="A2" s="76"/>
      <c r="B2" s="76"/>
      <c r="C2" s="76"/>
      <c r="E2" s="77"/>
      <c r="G2" s="79"/>
    </row>
    <row r="3" spans="1:7" s="81" customFormat="1" ht="30.75" customHeight="1">
      <c r="A3" s="1469" t="s">
        <v>578</v>
      </c>
      <c r="B3" s="1469"/>
      <c r="C3" s="1469"/>
      <c r="D3" s="1469"/>
      <c r="E3" s="1469"/>
      <c r="F3" s="1469"/>
      <c r="G3" s="1469"/>
    </row>
    <row r="4" spans="1:7" s="78" customFormat="1" ht="18" customHeight="1" thickBot="1">
      <c r="A4" s="76"/>
      <c r="B4" s="76"/>
      <c r="C4" s="76"/>
      <c r="D4" s="77"/>
      <c r="G4" s="79" t="s">
        <v>833</v>
      </c>
    </row>
    <row r="5" spans="1:7" s="82" customFormat="1" ht="18" customHeight="1">
      <c r="A5" s="615" t="s">
        <v>1018</v>
      </c>
      <c r="B5" s="616" t="s">
        <v>834</v>
      </c>
      <c r="C5" s="616" t="s">
        <v>1024</v>
      </c>
      <c r="D5" s="616" t="s">
        <v>835</v>
      </c>
      <c r="E5" s="466" t="s">
        <v>836</v>
      </c>
      <c r="F5" s="617" t="s">
        <v>837</v>
      </c>
      <c r="G5" s="631" t="s">
        <v>838</v>
      </c>
    </row>
    <row r="6" spans="1:7" s="83" customFormat="1" ht="15" customHeight="1" thickBot="1">
      <c r="A6" s="558">
        <v>1</v>
      </c>
      <c r="B6" s="559">
        <v>2</v>
      </c>
      <c r="C6" s="559">
        <v>3</v>
      </c>
      <c r="D6" s="559">
        <v>4</v>
      </c>
      <c r="E6" s="560">
        <v>5</v>
      </c>
      <c r="F6" s="561">
        <v>6</v>
      </c>
      <c r="G6" s="632">
        <v>7</v>
      </c>
    </row>
    <row r="7" spans="1:7" s="246" customFormat="1" ht="22.5" customHeight="1">
      <c r="A7" s="1464" t="s">
        <v>573</v>
      </c>
      <c r="B7" s="1465"/>
      <c r="C7" s="1465"/>
      <c r="D7" s="1466"/>
      <c r="E7" s="782">
        <f>SUM(E8,E11,E19,E22,E26,E29,E37)</f>
        <v>28777766</v>
      </c>
      <c r="F7" s="782">
        <f>SUM(F8,F11,F19,F22,F26,F29,F37)</f>
        <v>23986820.840000004</v>
      </c>
      <c r="G7" s="848">
        <f>F7/E7*100</f>
        <v>83.3519212019446</v>
      </c>
    </row>
    <row r="8" spans="1:7" s="86" customFormat="1" ht="18" customHeight="1">
      <c r="A8" s="63" t="s">
        <v>841</v>
      </c>
      <c r="B8" s="84"/>
      <c r="C8" s="84"/>
      <c r="D8" s="85" t="s">
        <v>1025</v>
      </c>
      <c r="E8" s="779">
        <f>SUM(E9)</f>
        <v>145000</v>
      </c>
      <c r="F8" s="779">
        <f>SUM(F9)</f>
        <v>110588.96</v>
      </c>
      <c r="G8" s="849">
        <f>F8/E8*100</f>
        <v>76.26824827586208</v>
      </c>
    </row>
    <row r="9" spans="1:7" ht="21" customHeight="1">
      <c r="A9" s="67"/>
      <c r="B9" s="87" t="s">
        <v>842</v>
      </c>
      <c r="C9" s="87"/>
      <c r="D9" s="88" t="s">
        <v>840</v>
      </c>
      <c r="E9" s="780">
        <f>SUM(E10)</f>
        <v>145000</v>
      </c>
      <c r="F9" s="780">
        <f>SUM(F10)</f>
        <v>110588.96</v>
      </c>
      <c r="G9" s="838">
        <f>F9/E9*100</f>
        <v>76.26824827586208</v>
      </c>
    </row>
    <row r="10" spans="1:7" s="92" customFormat="1" ht="25.5" customHeight="1">
      <c r="A10" s="71"/>
      <c r="B10" s="90"/>
      <c r="C10" s="90" t="s">
        <v>1328</v>
      </c>
      <c r="D10" s="93" t="s">
        <v>1327</v>
      </c>
      <c r="E10" s="781">
        <f>SUM(6D!E14)</f>
        <v>145000</v>
      </c>
      <c r="F10" s="781">
        <f>SUM(6D!F14)</f>
        <v>110588.96</v>
      </c>
      <c r="G10" s="837">
        <f>F10/E10*100</f>
        <v>76.26824827586208</v>
      </c>
    </row>
    <row r="11" spans="1:7" ht="19.5" customHeight="1">
      <c r="A11" s="63" t="s">
        <v>844</v>
      </c>
      <c r="B11" s="84"/>
      <c r="C11" s="84"/>
      <c r="D11" s="94" t="s">
        <v>845</v>
      </c>
      <c r="E11" s="784">
        <f>SUM(E12,E14)</f>
        <v>11376196</v>
      </c>
      <c r="F11" s="787">
        <f>SUM(F12,F14)</f>
        <v>11484211.71</v>
      </c>
      <c r="G11" s="837">
        <f>F11/E11*100</f>
        <v>100.94948882737253</v>
      </c>
    </row>
    <row r="12" spans="1:7" ht="19.5" customHeight="1">
      <c r="A12" s="63"/>
      <c r="B12" s="87" t="s">
        <v>847</v>
      </c>
      <c r="C12" s="87"/>
      <c r="D12" s="69" t="s">
        <v>848</v>
      </c>
      <c r="E12" s="886">
        <f>SUM(E13)</f>
        <v>0</v>
      </c>
      <c r="F12" s="797">
        <f>SUM(F13)</f>
        <v>798</v>
      </c>
      <c r="G12" s="95" t="s">
        <v>1081</v>
      </c>
    </row>
    <row r="13" spans="1:7" ht="19.5" customHeight="1">
      <c r="A13" s="63"/>
      <c r="B13" s="101"/>
      <c r="C13" s="90" t="s">
        <v>1328</v>
      </c>
      <c r="D13" s="93" t="s">
        <v>1327</v>
      </c>
      <c r="E13" s="209">
        <f>SUM(6D!E22)</f>
        <v>0</v>
      </c>
      <c r="F13" s="790">
        <f>SUM(6D!F22)</f>
        <v>798</v>
      </c>
      <c r="G13" s="95" t="s">
        <v>1081</v>
      </c>
    </row>
    <row r="14" spans="1:7" ht="21.75" customHeight="1">
      <c r="A14" s="67"/>
      <c r="B14" s="102" t="s">
        <v>1193</v>
      </c>
      <c r="C14" s="87"/>
      <c r="D14" s="69" t="s">
        <v>1194</v>
      </c>
      <c r="E14" s="883">
        <f>SUM(E15,E17)</f>
        <v>11376196</v>
      </c>
      <c r="F14" s="883">
        <f>SUM(F15,F17)</f>
        <v>11483413.71</v>
      </c>
      <c r="G14" s="1338">
        <f>F14/E14*100</f>
        <v>100.94247418029718</v>
      </c>
    </row>
    <row r="15" spans="1:7" s="92" customFormat="1" ht="54.75" customHeight="1">
      <c r="A15" s="71"/>
      <c r="B15" s="96"/>
      <c r="C15" s="90" t="s">
        <v>706</v>
      </c>
      <c r="D15" s="93" t="s">
        <v>51</v>
      </c>
      <c r="E15" s="884">
        <f>SUM(6D!E26)</f>
        <v>11376196</v>
      </c>
      <c r="F15" s="884">
        <f>SUM(6D!F26)</f>
        <v>11483413.71</v>
      </c>
      <c r="G15" s="95">
        <f>F15/E15*100</f>
        <v>100.94247418029718</v>
      </c>
    </row>
    <row r="16" spans="1:7" s="92" customFormat="1" ht="66.75" customHeight="1">
      <c r="A16" s="71"/>
      <c r="B16" s="96"/>
      <c r="C16" s="90"/>
      <c r="D16" s="74" t="s">
        <v>116</v>
      </c>
      <c r="E16" s="778"/>
      <c r="F16" s="778"/>
      <c r="G16" s="837"/>
    </row>
    <row r="17" spans="1:7" s="92" customFormat="1" ht="54" customHeight="1" hidden="1">
      <c r="A17" s="71"/>
      <c r="B17" s="96"/>
      <c r="C17" s="90" t="s">
        <v>606</v>
      </c>
      <c r="D17" s="93" t="s">
        <v>51</v>
      </c>
      <c r="E17" s="778"/>
      <c r="F17" s="778">
        <v>0</v>
      </c>
      <c r="G17" s="837" t="s">
        <v>1081</v>
      </c>
    </row>
    <row r="18" spans="1:7" s="92" customFormat="1" ht="78" customHeight="1" hidden="1">
      <c r="A18" s="71"/>
      <c r="B18" s="96"/>
      <c r="C18" s="90"/>
      <c r="D18" s="74" t="s">
        <v>137</v>
      </c>
      <c r="E18" s="778"/>
      <c r="F18" s="778"/>
      <c r="G18" s="837"/>
    </row>
    <row r="19" spans="1:7" s="86" customFormat="1" ht="19.5" customHeight="1">
      <c r="A19" s="63" t="s">
        <v>849</v>
      </c>
      <c r="B19" s="84"/>
      <c r="C19" s="84"/>
      <c r="D19" s="94" t="s">
        <v>850</v>
      </c>
      <c r="E19" s="779">
        <f>SUM(E20)</f>
        <v>0</v>
      </c>
      <c r="F19" s="779">
        <f>SUM(F20)</f>
        <v>164.5</v>
      </c>
      <c r="G19" s="849" t="s">
        <v>1081</v>
      </c>
    </row>
    <row r="20" spans="1:7" ht="22.5" customHeight="1">
      <c r="A20" s="67"/>
      <c r="B20" s="87" t="s">
        <v>1170</v>
      </c>
      <c r="C20" s="87"/>
      <c r="D20" s="69" t="s">
        <v>1172</v>
      </c>
      <c r="E20" s="780">
        <f>SUM(E21)</f>
        <v>0</v>
      </c>
      <c r="F20" s="780">
        <f>SUM(F21)</f>
        <v>164.5</v>
      </c>
      <c r="G20" s="838" t="s">
        <v>1081</v>
      </c>
    </row>
    <row r="21" spans="1:7" ht="21" customHeight="1">
      <c r="A21" s="71"/>
      <c r="B21" s="90"/>
      <c r="C21" s="90" t="s">
        <v>1328</v>
      </c>
      <c r="D21" s="93" t="s">
        <v>1327</v>
      </c>
      <c r="E21" s="781">
        <f>SUM(6D!E32)</f>
        <v>0</v>
      </c>
      <c r="F21" s="781">
        <f>SUM(6D!F32)</f>
        <v>164.5</v>
      </c>
      <c r="G21" s="837" t="s">
        <v>1081</v>
      </c>
    </row>
    <row r="22" spans="1:7" s="86" customFormat="1" ht="21" customHeight="1">
      <c r="A22" s="63" t="s">
        <v>851</v>
      </c>
      <c r="B22" s="84"/>
      <c r="C22" s="84"/>
      <c r="D22" s="85" t="s">
        <v>852</v>
      </c>
      <c r="E22" s="779">
        <f>SUM(E23)</f>
        <v>13516522</v>
      </c>
      <c r="F22" s="779">
        <f>SUM(F23)</f>
        <v>9006927.010000002</v>
      </c>
      <c r="G22" s="849">
        <f aca="true" t="shared" si="0" ref="G22:G31">F22/E22*100</f>
        <v>66.63642474003298</v>
      </c>
    </row>
    <row r="23" spans="1:7" ht="21" customHeight="1">
      <c r="A23" s="71"/>
      <c r="B23" s="87" t="s">
        <v>853</v>
      </c>
      <c r="C23" s="87"/>
      <c r="D23" s="88" t="s">
        <v>854</v>
      </c>
      <c r="E23" s="780">
        <f>SUM(E24,E25)</f>
        <v>13516522</v>
      </c>
      <c r="F23" s="780">
        <f>SUM(F24,F25)</f>
        <v>9006927.010000002</v>
      </c>
      <c r="G23" s="838">
        <f t="shared" si="0"/>
        <v>66.63642474003298</v>
      </c>
    </row>
    <row r="24" spans="1:7" s="92" customFormat="1" ht="43.5" customHeight="1">
      <c r="A24" s="71"/>
      <c r="B24" s="90"/>
      <c r="C24" s="90" t="s">
        <v>1365</v>
      </c>
      <c r="D24" s="93" t="s">
        <v>1035</v>
      </c>
      <c r="E24" s="781">
        <f>SUM(6D!E44)</f>
        <v>350000</v>
      </c>
      <c r="F24" s="781">
        <f>SUM(6D!F44)</f>
        <v>399421.46</v>
      </c>
      <c r="G24" s="837">
        <f t="shared" si="0"/>
        <v>114.12041714285715</v>
      </c>
    </row>
    <row r="25" spans="1:7" s="98" customFormat="1" ht="48" customHeight="1">
      <c r="A25" s="71"/>
      <c r="B25" s="90"/>
      <c r="C25" s="90" t="s">
        <v>1366</v>
      </c>
      <c r="D25" s="93" t="s">
        <v>52</v>
      </c>
      <c r="E25" s="781">
        <f>SUM(6D!E45)</f>
        <v>13166522</v>
      </c>
      <c r="F25" s="781">
        <f>SUM(6D!F45)</f>
        <v>8607505.55</v>
      </c>
      <c r="G25" s="837">
        <f t="shared" si="0"/>
        <v>65.37417816185626</v>
      </c>
    </row>
    <row r="26" spans="1:7" s="98" customFormat="1" ht="23.25" customHeight="1">
      <c r="A26" s="104" t="s">
        <v>889</v>
      </c>
      <c r="B26" s="105"/>
      <c r="C26" s="105"/>
      <c r="D26" s="107" t="s">
        <v>890</v>
      </c>
      <c r="E26" s="779">
        <f>SUM(E27)</f>
        <v>0</v>
      </c>
      <c r="F26" s="779">
        <f>SUM(F27)</f>
        <v>870.07</v>
      </c>
      <c r="G26" s="849" t="s">
        <v>1081</v>
      </c>
    </row>
    <row r="27" spans="1:7" s="98" customFormat="1" ht="20.25" customHeight="1">
      <c r="A27" s="71"/>
      <c r="B27" s="109" t="s">
        <v>1089</v>
      </c>
      <c r="C27" s="109"/>
      <c r="D27" s="110" t="s">
        <v>1090</v>
      </c>
      <c r="E27" s="780">
        <f>SUM(E28)</f>
        <v>0</v>
      </c>
      <c r="F27" s="780">
        <f>SUM(F28)</f>
        <v>870.07</v>
      </c>
      <c r="G27" s="838" t="s">
        <v>1081</v>
      </c>
    </row>
    <row r="28" spans="1:7" s="98" customFormat="1" ht="21" customHeight="1">
      <c r="A28" s="71"/>
      <c r="B28" s="90"/>
      <c r="C28" s="112" t="s">
        <v>1328</v>
      </c>
      <c r="D28" s="93" t="s">
        <v>1327</v>
      </c>
      <c r="E28" s="781">
        <f>SUM(6D!E132)</f>
        <v>0</v>
      </c>
      <c r="F28" s="781">
        <f>SUM(6D!F132)</f>
        <v>870.07</v>
      </c>
      <c r="G28" s="837" t="s">
        <v>1081</v>
      </c>
    </row>
    <row r="29" spans="1:7" s="92" customFormat="1" ht="29.25" customHeight="1">
      <c r="A29" s="104" t="s">
        <v>976</v>
      </c>
      <c r="B29" s="105"/>
      <c r="C29" s="105"/>
      <c r="D29" s="122" t="s">
        <v>1094</v>
      </c>
      <c r="E29" s="787">
        <f>SUM(E30,E32,E35)</f>
        <v>1574048</v>
      </c>
      <c r="F29" s="787">
        <f>SUM(F30,F32,F35)</f>
        <v>1218058.59</v>
      </c>
      <c r="G29" s="849">
        <f t="shared" si="0"/>
        <v>77.38382755799061</v>
      </c>
    </row>
    <row r="30" spans="1:7" ht="21.75" customHeight="1">
      <c r="A30" s="108"/>
      <c r="B30" s="109" t="s">
        <v>32</v>
      </c>
      <c r="C30" s="125"/>
      <c r="D30" s="113" t="s">
        <v>33</v>
      </c>
      <c r="E30" s="788">
        <f>SUM(E31)</f>
        <v>276000</v>
      </c>
      <c r="F30" s="788">
        <f>SUM(F31)</f>
        <v>276024.59</v>
      </c>
      <c r="G30" s="838">
        <f t="shared" si="0"/>
        <v>100.00890942028985</v>
      </c>
    </row>
    <row r="31" spans="1:7" s="92" customFormat="1" ht="21.75" customHeight="1">
      <c r="A31" s="111"/>
      <c r="B31" s="112"/>
      <c r="C31" s="99" t="s">
        <v>1328</v>
      </c>
      <c r="D31" s="74" t="s">
        <v>1327</v>
      </c>
      <c r="E31" s="786">
        <f>SUM(6D!E200)</f>
        <v>276000</v>
      </c>
      <c r="F31" s="786">
        <f>SUM(6D!F200)</f>
        <v>276024.59</v>
      </c>
      <c r="G31" s="1339">
        <f t="shared" si="0"/>
        <v>100.00890942028985</v>
      </c>
    </row>
    <row r="32" spans="1:7" ht="18" customHeight="1">
      <c r="A32" s="108"/>
      <c r="B32" s="109" t="s">
        <v>430</v>
      </c>
      <c r="C32" s="125"/>
      <c r="D32" s="113" t="s">
        <v>431</v>
      </c>
      <c r="E32" s="788">
        <f>SUM(E33)</f>
        <v>1240848</v>
      </c>
      <c r="F32" s="788">
        <f>SUM(F33)</f>
        <v>884876.02</v>
      </c>
      <c r="G32" s="838">
        <f>F32/E32*100</f>
        <v>71.31220101092156</v>
      </c>
    </row>
    <row r="33" spans="1:7" ht="53.25" customHeight="1">
      <c r="A33" s="111"/>
      <c r="B33" s="112"/>
      <c r="C33" s="99" t="s">
        <v>706</v>
      </c>
      <c r="D33" s="93" t="s">
        <v>51</v>
      </c>
      <c r="E33" s="786">
        <f>SUM(6D!E205)</f>
        <v>1240848</v>
      </c>
      <c r="F33" s="786">
        <f>SUM(6D!F205)</f>
        <v>884876.02</v>
      </c>
      <c r="G33" s="837">
        <f>F33/E33*100</f>
        <v>71.31220101092156</v>
      </c>
    </row>
    <row r="34" spans="1:7" ht="64.5" customHeight="1">
      <c r="A34" s="111"/>
      <c r="B34" s="112"/>
      <c r="C34" s="99"/>
      <c r="D34" s="74" t="s">
        <v>116</v>
      </c>
      <c r="E34" s="786"/>
      <c r="F34" s="786"/>
      <c r="G34" s="837"/>
    </row>
    <row r="35" spans="1:7" ht="20.25" customHeight="1">
      <c r="A35" s="108"/>
      <c r="B35" s="109" t="s">
        <v>980</v>
      </c>
      <c r="C35" s="109"/>
      <c r="D35" s="110" t="s">
        <v>840</v>
      </c>
      <c r="E35" s="788">
        <f>SUM(E36)</f>
        <v>57200</v>
      </c>
      <c r="F35" s="788">
        <f>SUM(F36)</f>
        <v>57157.98</v>
      </c>
      <c r="G35" s="838">
        <f aca="true" t="shared" si="1" ref="G35:G45">F35/E35*100</f>
        <v>99.92653846153847</v>
      </c>
    </row>
    <row r="36" spans="1:7" s="92" customFormat="1" ht="21.75" customHeight="1">
      <c r="A36" s="111"/>
      <c r="B36" s="112"/>
      <c r="C36" s="99" t="s">
        <v>1328</v>
      </c>
      <c r="D36" s="74" t="s">
        <v>1327</v>
      </c>
      <c r="E36" s="786">
        <f>SUM(6D!E213)</f>
        <v>57200</v>
      </c>
      <c r="F36" s="786">
        <f>SUM(6D!F213)</f>
        <v>57157.98</v>
      </c>
      <c r="G36" s="837">
        <f t="shared" si="1"/>
        <v>99.92653846153847</v>
      </c>
    </row>
    <row r="37" spans="1:7" s="86" customFormat="1" ht="21.75" customHeight="1">
      <c r="A37" s="104" t="s">
        <v>1009</v>
      </c>
      <c r="B37" s="887"/>
      <c r="C37" s="888"/>
      <c r="D37" s="889" t="s">
        <v>1010</v>
      </c>
      <c r="E37" s="885">
        <f>SUM(E38)</f>
        <v>2166000</v>
      </c>
      <c r="F37" s="885">
        <f>SUM(F38)</f>
        <v>2166000</v>
      </c>
      <c r="G37" s="850">
        <f t="shared" si="1"/>
        <v>100</v>
      </c>
    </row>
    <row r="38" spans="1:7" ht="21.75" customHeight="1">
      <c r="A38" s="108"/>
      <c r="B38" s="197" t="s">
        <v>1014</v>
      </c>
      <c r="C38" s="198"/>
      <c r="D38" s="199" t="s">
        <v>1015</v>
      </c>
      <c r="E38" s="797">
        <f>SUM(E39,E40,E41)</f>
        <v>2166000</v>
      </c>
      <c r="F38" s="797">
        <f>SUM(F39,F40,F41)</f>
        <v>2166000</v>
      </c>
      <c r="G38" s="851">
        <f t="shared" si="1"/>
        <v>100</v>
      </c>
    </row>
    <row r="39" spans="1:7" s="92" customFormat="1" ht="55.5" customHeight="1">
      <c r="A39" s="111"/>
      <c r="B39" s="118"/>
      <c r="C39" s="112" t="s">
        <v>421</v>
      </c>
      <c r="D39" s="74" t="s">
        <v>425</v>
      </c>
      <c r="E39" s="786">
        <f>SUM(6D!E221)</f>
        <v>1500000</v>
      </c>
      <c r="F39" s="786">
        <f>SUM(6D!F221)</f>
        <v>1500000</v>
      </c>
      <c r="G39" s="837">
        <f t="shared" si="1"/>
        <v>100</v>
      </c>
    </row>
    <row r="40" spans="1:7" s="92" customFormat="1" ht="54.75" customHeight="1">
      <c r="A40" s="111"/>
      <c r="B40" s="118"/>
      <c r="C40" s="112" t="s">
        <v>422</v>
      </c>
      <c r="D40" s="74" t="s">
        <v>426</v>
      </c>
      <c r="E40" s="786">
        <f>SUM(6D!E222)</f>
        <v>333000</v>
      </c>
      <c r="F40" s="786">
        <f>SUM(6D!F222)</f>
        <v>333000</v>
      </c>
      <c r="G40" s="837">
        <f t="shared" si="1"/>
        <v>100</v>
      </c>
    </row>
    <row r="41" spans="1:7" s="92" customFormat="1" ht="42" customHeight="1">
      <c r="A41" s="1132"/>
      <c r="B41" s="808"/>
      <c r="C41" s="890" t="s">
        <v>10</v>
      </c>
      <c r="D41" s="859" t="s">
        <v>1186</v>
      </c>
      <c r="E41" s="847">
        <f>SUM(6D!E223)</f>
        <v>333000</v>
      </c>
      <c r="F41" s="847">
        <f>SUM(6D!F223)</f>
        <v>333000</v>
      </c>
      <c r="G41" s="891">
        <f t="shared" si="1"/>
        <v>100</v>
      </c>
    </row>
    <row r="42" spans="1:7" s="247" customFormat="1" ht="22.5" customHeight="1">
      <c r="A42" s="1464" t="s">
        <v>571</v>
      </c>
      <c r="B42" s="1465"/>
      <c r="C42" s="1465"/>
      <c r="D42" s="1466"/>
      <c r="E42" s="801">
        <f>SUM(E43,E52,E55,E58,E61)</f>
        <v>4015513</v>
      </c>
      <c r="F42" s="801">
        <f>SUM(F43,F52,F55,F58,F61)</f>
        <v>3509791.65</v>
      </c>
      <c r="G42" s="848">
        <f t="shared" si="1"/>
        <v>87.40580966865255</v>
      </c>
    </row>
    <row r="43" spans="1:7" s="134" customFormat="1" ht="21.75" customHeight="1">
      <c r="A43" s="63" t="s">
        <v>844</v>
      </c>
      <c r="B43" s="84"/>
      <c r="C43" s="84"/>
      <c r="D43" s="94" t="s">
        <v>845</v>
      </c>
      <c r="E43" s="779">
        <f>SUM(E44,E47)</f>
        <v>2848097</v>
      </c>
      <c r="F43" s="779">
        <f>SUM(F44,F47)</f>
        <v>2342375.65</v>
      </c>
      <c r="G43" s="849">
        <f t="shared" si="1"/>
        <v>82.24353489365004</v>
      </c>
    </row>
    <row r="44" spans="1:7" s="135" customFormat="1" ht="21.75" customHeight="1">
      <c r="A44" s="67"/>
      <c r="B44" s="87" t="s">
        <v>875</v>
      </c>
      <c r="C44" s="87"/>
      <c r="D44" s="69" t="s">
        <v>707</v>
      </c>
      <c r="E44" s="780">
        <f>SUM(E45)</f>
        <v>429847</v>
      </c>
      <c r="F44" s="780">
        <f>SUM(F45)</f>
        <v>428389.07</v>
      </c>
      <c r="G44" s="838">
        <f t="shared" si="1"/>
        <v>99.66082582872511</v>
      </c>
    </row>
    <row r="45" spans="1:7" s="98" customFormat="1" ht="54" customHeight="1">
      <c r="A45" s="71"/>
      <c r="B45" s="90"/>
      <c r="C45" s="90" t="s">
        <v>706</v>
      </c>
      <c r="D45" s="93" t="s">
        <v>874</v>
      </c>
      <c r="E45" s="781">
        <f>SUM(6D!E235)</f>
        <v>429847</v>
      </c>
      <c r="F45" s="781">
        <f>SUM(6D!F235)</f>
        <v>428389.07</v>
      </c>
      <c r="G45" s="1339">
        <f t="shared" si="1"/>
        <v>99.66082582872511</v>
      </c>
    </row>
    <row r="46" spans="1:7" s="98" customFormat="1" ht="67.5" customHeight="1">
      <c r="A46" s="71"/>
      <c r="B46" s="90"/>
      <c r="C46" s="90"/>
      <c r="D46" s="93" t="s">
        <v>116</v>
      </c>
      <c r="E46" s="781"/>
      <c r="F46" s="781"/>
      <c r="G46" s="838"/>
    </row>
    <row r="47" spans="1:7" s="135" customFormat="1" ht="46.5" customHeight="1">
      <c r="A47" s="67"/>
      <c r="B47" s="87" t="s">
        <v>846</v>
      </c>
      <c r="C47" s="87"/>
      <c r="D47" s="69" t="s">
        <v>0</v>
      </c>
      <c r="E47" s="780">
        <f>SUM(E48,E49,E51)</f>
        <v>2418250</v>
      </c>
      <c r="F47" s="780">
        <f>SUM(F48,F49,F51)</f>
        <v>1913986.58</v>
      </c>
      <c r="G47" s="838">
        <f>F47/E47*100</f>
        <v>79.1475893724801</v>
      </c>
    </row>
    <row r="48" spans="1:7" s="98" customFormat="1" ht="57" customHeight="1">
      <c r="A48" s="71"/>
      <c r="B48" s="90"/>
      <c r="C48" s="90" t="s">
        <v>15</v>
      </c>
      <c r="D48" s="93" t="s">
        <v>51</v>
      </c>
      <c r="E48" s="778">
        <f>SUM(6D!E241)</f>
        <v>504250</v>
      </c>
      <c r="F48" s="778">
        <f>SUM(6D!F241)</f>
        <v>0</v>
      </c>
      <c r="G48" s="95">
        <f>F48/E48*100</f>
        <v>0</v>
      </c>
    </row>
    <row r="49" spans="1:7" s="98" customFormat="1" ht="57" customHeight="1">
      <c r="A49" s="71"/>
      <c r="B49" s="96"/>
      <c r="C49" s="90" t="s">
        <v>605</v>
      </c>
      <c r="D49" s="93" t="s">
        <v>267</v>
      </c>
      <c r="E49" s="778">
        <f>SUM(6D!E242)</f>
        <v>878500</v>
      </c>
      <c r="F49" s="778">
        <f>SUM(6D!F242)</f>
        <v>878500</v>
      </c>
      <c r="G49" s="95">
        <f>F49/E49*100</f>
        <v>100</v>
      </c>
    </row>
    <row r="50" spans="1:7" s="98" customFormat="1" ht="30" customHeight="1">
      <c r="A50" s="71"/>
      <c r="B50" s="96"/>
      <c r="C50" s="90"/>
      <c r="D50" s="93" t="s">
        <v>268</v>
      </c>
      <c r="E50" s="778"/>
      <c r="F50" s="778"/>
      <c r="G50" s="837"/>
    </row>
    <row r="51" spans="1:7" s="98" customFormat="1" ht="45.75" customHeight="1">
      <c r="A51" s="71"/>
      <c r="B51" s="96"/>
      <c r="C51" s="90" t="s">
        <v>999</v>
      </c>
      <c r="D51" s="93" t="s">
        <v>1000</v>
      </c>
      <c r="E51" s="778">
        <f>SUM(6D!E244)</f>
        <v>1035500</v>
      </c>
      <c r="F51" s="778">
        <f>SUM(6D!F244)</f>
        <v>1035486.58</v>
      </c>
      <c r="G51" s="837">
        <f aca="true" t="shared" si="2" ref="G51:G64">F51/E51*100</f>
        <v>99.99870400772573</v>
      </c>
    </row>
    <row r="52" spans="1:7" s="134" customFormat="1" ht="20.25" customHeight="1">
      <c r="A52" s="63" t="s">
        <v>851</v>
      </c>
      <c r="B52" s="101"/>
      <c r="C52" s="84"/>
      <c r="D52" s="94" t="s">
        <v>852</v>
      </c>
      <c r="E52" s="776">
        <f>SUM(E53)</f>
        <v>3265</v>
      </c>
      <c r="F52" s="776">
        <f>SUM(F53)</f>
        <v>3265</v>
      </c>
      <c r="G52" s="849">
        <f t="shared" si="2"/>
        <v>100</v>
      </c>
    </row>
    <row r="53" spans="1:7" s="135" customFormat="1" ht="18.75" customHeight="1">
      <c r="A53" s="67"/>
      <c r="B53" s="102" t="s">
        <v>853</v>
      </c>
      <c r="C53" s="87"/>
      <c r="D53" s="69" t="s">
        <v>854</v>
      </c>
      <c r="E53" s="777">
        <f>SUM(E54)</f>
        <v>3265</v>
      </c>
      <c r="F53" s="777">
        <f>SUM(F54)</f>
        <v>3265</v>
      </c>
      <c r="G53" s="837">
        <f t="shared" si="2"/>
        <v>100</v>
      </c>
    </row>
    <row r="54" spans="1:7" s="98" customFormat="1" ht="53.25" customHeight="1">
      <c r="A54" s="71"/>
      <c r="B54" s="96"/>
      <c r="C54" s="90" t="s">
        <v>1022</v>
      </c>
      <c r="D54" s="93" t="s">
        <v>723</v>
      </c>
      <c r="E54" s="778">
        <f>SUM(6D!E248)</f>
        <v>3265</v>
      </c>
      <c r="F54" s="778">
        <f>SUM(6D!F248)</f>
        <v>3265</v>
      </c>
      <c r="G54" s="837">
        <f t="shared" si="2"/>
        <v>100</v>
      </c>
    </row>
    <row r="55" spans="1:7" s="134" customFormat="1" ht="27.75" customHeight="1">
      <c r="A55" s="63" t="s">
        <v>884</v>
      </c>
      <c r="B55" s="101"/>
      <c r="C55" s="84"/>
      <c r="D55" s="94" t="s">
        <v>971</v>
      </c>
      <c r="E55" s="776">
        <f>SUM(E56)</f>
        <v>13000</v>
      </c>
      <c r="F55" s="776">
        <f>SUM(F56)</f>
        <v>13000</v>
      </c>
      <c r="G55" s="849">
        <f t="shared" si="2"/>
        <v>100</v>
      </c>
    </row>
    <row r="56" spans="1:7" s="135" customFormat="1" ht="18.75" customHeight="1">
      <c r="A56" s="67"/>
      <c r="B56" s="102" t="s">
        <v>885</v>
      </c>
      <c r="C56" s="87"/>
      <c r="D56" s="69" t="s">
        <v>1158</v>
      </c>
      <c r="E56" s="777">
        <f>SUM(E57)</f>
        <v>13000</v>
      </c>
      <c r="F56" s="777">
        <f>SUM(F57)</f>
        <v>13000</v>
      </c>
      <c r="G56" s="837">
        <f t="shared" si="2"/>
        <v>100</v>
      </c>
    </row>
    <row r="57" spans="1:7" s="98" customFormat="1" ht="53.25" customHeight="1">
      <c r="A57" s="71"/>
      <c r="B57" s="96"/>
      <c r="C57" s="90" t="s">
        <v>1022</v>
      </c>
      <c r="D57" s="93" t="s">
        <v>723</v>
      </c>
      <c r="E57" s="778">
        <f>SUM(6D!E271)</f>
        <v>13000</v>
      </c>
      <c r="F57" s="778">
        <f>SUM(6D!F271)</f>
        <v>13000</v>
      </c>
      <c r="G57" s="837">
        <f t="shared" si="2"/>
        <v>100</v>
      </c>
    </row>
    <row r="58" spans="1:7" s="134" customFormat="1" ht="19.5" customHeight="1">
      <c r="A58" s="63" t="s">
        <v>889</v>
      </c>
      <c r="B58" s="84"/>
      <c r="C58" s="84"/>
      <c r="D58" s="85" t="s">
        <v>890</v>
      </c>
      <c r="E58" s="779">
        <f>SUM(E59)</f>
        <v>1131000</v>
      </c>
      <c r="F58" s="779">
        <f>SUM(F59)</f>
        <v>1131000</v>
      </c>
      <c r="G58" s="849">
        <f t="shared" si="2"/>
        <v>100</v>
      </c>
    </row>
    <row r="59" spans="1:7" s="135" customFormat="1" ht="30" customHeight="1">
      <c r="A59" s="67"/>
      <c r="B59" s="87" t="s">
        <v>1088</v>
      </c>
      <c r="C59" s="87"/>
      <c r="D59" s="69" t="s">
        <v>279</v>
      </c>
      <c r="E59" s="780">
        <f>SUM(E60)</f>
        <v>1131000</v>
      </c>
      <c r="F59" s="780">
        <f>SUM(F60)</f>
        <v>1131000</v>
      </c>
      <c r="G59" s="838">
        <f t="shared" si="2"/>
        <v>100</v>
      </c>
    </row>
    <row r="60" spans="1:7" s="98" customFormat="1" ht="56.25" customHeight="1">
      <c r="A60" s="71"/>
      <c r="B60" s="90"/>
      <c r="C60" s="90" t="s">
        <v>226</v>
      </c>
      <c r="D60" s="93" t="s">
        <v>138</v>
      </c>
      <c r="E60" s="781">
        <f>SUM(6D!E283)</f>
        <v>1131000</v>
      </c>
      <c r="F60" s="781">
        <f>SUM(6D!F283)</f>
        <v>1131000</v>
      </c>
      <c r="G60" s="837">
        <f t="shared" si="2"/>
        <v>100</v>
      </c>
    </row>
    <row r="61" spans="1:7" s="134" customFormat="1" ht="21.75" customHeight="1">
      <c r="A61" s="63" t="s">
        <v>916</v>
      </c>
      <c r="B61" s="101"/>
      <c r="C61" s="84"/>
      <c r="D61" s="94" t="s">
        <v>920</v>
      </c>
      <c r="E61" s="776">
        <f>SUM(E62)</f>
        <v>20151</v>
      </c>
      <c r="F61" s="776">
        <f>SUM(F62)</f>
        <v>20151</v>
      </c>
      <c r="G61" s="849">
        <f t="shared" si="2"/>
        <v>100</v>
      </c>
    </row>
    <row r="62" spans="1:7" s="135" customFormat="1" ht="18.75" customHeight="1">
      <c r="A62" s="67"/>
      <c r="B62" s="102" t="s">
        <v>418</v>
      </c>
      <c r="C62" s="87"/>
      <c r="D62" s="69" t="s">
        <v>840</v>
      </c>
      <c r="E62" s="777">
        <f>SUM(E63)</f>
        <v>20151</v>
      </c>
      <c r="F62" s="777">
        <f>SUM(F63)</f>
        <v>20151</v>
      </c>
      <c r="G62" s="837">
        <f t="shared" si="2"/>
        <v>100</v>
      </c>
    </row>
    <row r="63" spans="1:7" s="98" customFormat="1" ht="38.25" customHeight="1">
      <c r="A63" s="71"/>
      <c r="B63" s="96"/>
      <c r="C63" s="90" t="s">
        <v>999</v>
      </c>
      <c r="D63" s="93" t="s">
        <v>1000</v>
      </c>
      <c r="E63" s="778">
        <f>SUM(6D!E332)</f>
        <v>20151</v>
      </c>
      <c r="F63" s="778">
        <f>SUM(6D!F332)</f>
        <v>20151</v>
      </c>
      <c r="G63" s="837">
        <f t="shared" si="2"/>
        <v>100</v>
      </c>
    </row>
    <row r="64" spans="1:7" s="248" customFormat="1" ht="21" customHeight="1">
      <c r="A64" s="1467" t="s">
        <v>574</v>
      </c>
      <c r="B64" s="1468"/>
      <c r="C64" s="1468"/>
      <c r="D64" s="1468"/>
      <c r="E64" s="809">
        <f>SUM(E7,E42)</f>
        <v>32793279</v>
      </c>
      <c r="F64" s="892">
        <f>SUM(F7,F42)</f>
        <v>27496612.490000002</v>
      </c>
      <c r="G64" s="893">
        <f t="shared" si="2"/>
        <v>83.84831687615014</v>
      </c>
    </row>
    <row r="65" spans="1:7" s="898" customFormat="1" ht="20.25" customHeight="1">
      <c r="A65" s="894"/>
      <c r="B65" s="1470" t="s">
        <v>1124</v>
      </c>
      <c r="C65" s="1470"/>
      <c r="D65" s="1470"/>
      <c r="E65" s="895"/>
      <c r="F65" s="896"/>
      <c r="G65" s="897"/>
    </row>
    <row r="66" spans="1:7" s="898" customFormat="1" ht="21" customHeight="1">
      <c r="A66" s="899"/>
      <c r="B66" s="1471" t="s">
        <v>580</v>
      </c>
      <c r="C66" s="1471"/>
      <c r="D66" s="1471"/>
      <c r="E66" s="810">
        <f>SUM(E10,E13,E21,E24,E25,E28,E31,E36)</f>
        <v>13994722</v>
      </c>
      <c r="F66" s="810">
        <f>SUM(F10,F13,F21,F24,F25,F28,F31,F36)</f>
        <v>9452531.110000001</v>
      </c>
      <c r="G66" s="900">
        <f>F66/E66*100</f>
        <v>67.54354327295677</v>
      </c>
    </row>
    <row r="67" spans="1:7" s="898" customFormat="1" ht="21" customHeight="1">
      <c r="A67" s="899"/>
      <c r="B67" s="1471" t="s">
        <v>946</v>
      </c>
      <c r="C67" s="1471"/>
      <c r="D67" s="1471"/>
      <c r="E67" s="810">
        <f>SUM(E41,E49,E51,E54,E57,E63)</f>
        <v>2283416</v>
      </c>
      <c r="F67" s="810">
        <f>SUM(F41,F49,F51,F54,F57,F63)</f>
        <v>2283402.58</v>
      </c>
      <c r="G67" s="900">
        <f>F67/E67*100</f>
        <v>99.99941228405162</v>
      </c>
    </row>
    <row r="68" spans="1:7" s="898" customFormat="1" ht="21" customHeight="1">
      <c r="A68" s="899"/>
      <c r="B68" s="1471" t="s">
        <v>579</v>
      </c>
      <c r="C68" s="1471"/>
      <c r="D68" s="1471"/>
      <c r="E68" s="810">
        <f>SUM(E60)</f>
        <v>1131000</v>
      </c>
      <c r="F68" s="810">
        <f>SUM(F60)</f>
        <v>1131000</v>
      </c>
      <c r="G68" s="900">
        <f>F68/E68*100</f>
        <v>100</v>
      </c>
    </row>
    <row r="69" spans="1:10" s="898" customFormat="1" ht="21" customHeight="1" thickBot="1">
      <c r="A69" s="901"/>
      <c r="B69" s="1472" t="s">
        <v>342</v>
      </c>
      <c r="C69" s="1472"/>
      <c r="D69" s="1472"/>
      <c r="E69" s="811">
        <f>SUM(E15,E33,E39,E40,E45,E48)</f>
        <v>15384141</v>
      </c>
      <c r="F69" s="811">
        <f>SUM(F15,F33,F39,F40,F45,F48)</f>
        <v>14629678.8</v>
      </c>
      <c r="G69" s="902">
        <f>F69/E69*100</f>
        <v>95.09584448036456</v>
      </c>
      <c r="I69" s="903">
        <f>SUM(E66:E69)</f>
        <v>32793279</v>
      </c>
      <c r="J69" s="903">
        <f>SUM(F66:F69)</f>
        <v>27496612.490000002</v>
      </c>
    </row>
    <row r="70" spans="1:6" ht="19.5" customHeight="1">
      <c r="A70" s="202"/>
      <c r="B70" s="202"/>
      <c r="C70" s="202" t="s">
        <v>572</v>
      </c>
      <c r="D70" s="203"/>
      <c r="E70" s="204">
        <v>32793279</v>
      </c>
      <c r="F70" s="205">
        <v>27496612.49</v>
      </c>
    </row>
    <row r="71" spans="1:6" ht="19.5" customHeight="1">
      <c r="A71" s="202"/>
      <c r="B71" s="202"/>
      <c r="C71" s="202"/>
      <c r="D71" s="203" t="s">
        <v>925</v>
      </c>
      <c r="E71" s="204">
        <f>E70-E64</f>
        <v>0</v>
      </c>
      <c r="F71" s="204">
        <f>F70-F64</f>
        <v>0</v>
      </c>
    </row>
    <row r="72" spans="1:7" ht="19.5" customHeight="1">
      <c r="A72" s="202"/>
      <c r="B72" s="202"/>
      <c r="C72" s="202"/>
      <c r="D72" s="904" t="s">
        <v>490</v>
      </c>
      <c r="E72" s="886">
        <f>SUM(6D!E336)</f>
        <v>199875894.56</v>
      </c>
      <c r="F72" s="886">
        <v>198402842.07</v>
      </c>
      <c r="G72" s="206">
        <f>F72/E72*100</f>
        <v>99.26301643665299</v>
      </c>
    </row>
    <row r="73" spans="1:7" ht="19.5" customHeight="1">
      <c r="A73" s="202"/>
      <c r="B73" s="202"/>
      <c r="C73" s="202"/>
      <c r="D73" s="904" t="s">
        <v>491</v>
      </c>
      <c r="E73" s="886">
        <f>E72-E64</f>
        <v>167082615.56</v>
      </c>
      <c r="F73" s="886">
        <f>F72-F64</f>
        <v>170906229.57999998</v>
      </c>
      <c r="G73" s="206">
        <f>F73/E73*100</f>
        <v>102.2884571247491</v>
      </c>
    </row>
    <row r="74" spans="1:6" ht="19.5" customHeight="1">
      <c r="A74" s="202"/>
      <c r="B74" s="202"/>
      <c r="C74" s="202"/>
      <c r="D74" s="203"/>
      <c r="E74" s="212"/>
      <c r="F74" s="213"/>
    </row>
    <row r="75" spans="1:6" ht="19.5" customHeight="1">
      <c r="A75" s="202"/>
      <c r="B75" s="202"/>
      <c r="C75" s="202"/>
      <c r="D75" s="203"/>
      <c r="E75" s="212"/>
      <c r="F75" s="213"/>
    </row>
    <row r="76" spans="1:6" ht="19.5" customHeight="1">
      <c r="A76" s="202"/>
      <c r="B76" s="202"/>
      <c r="C76" s="202"/>
      <c r="D76" s="203"/>
      <c r="E76" s="212"/>
      <c r="F76" s="213"/>
    </row>
    <row r="77" spans="1:6" ht="19.5" customHeight="1">
      <c r="A77" s="202"/>
      <c r="B77" s="202"/>
      <c r="C77" s="202"/>
      <c r="D77" s="203"/>
      <c r="E77" s="212"/>
      <c r="F77" s="213"/>
    </row>
    <row r="78" spans="1:6" ht="19.5" customHeight="1">
      <c r="A78" s="202"/>
      <c r="B78" s="202"/>
      <c r="C78" s="202"/>
      <c r="D78" s="203"/>
      <c r="E78" s="212"/>
      <c r="F78" s="213"/>
    </row>
    <row r="79" spans="1:6" ht="19.5" customHeight="1">
      <c r="A79" s="202"/>
      <c r="B79" s="202"/>
      <c r="C79" s="202"/>
      <c r="D79" s="203"/>
      <c r="E79" s="212"/>
      <c r="F79" s="213"/>
    </row>
    <row r="80" spans="1:6" ht="19.5" customHeight="1">
      <c r="A80" s="202"/>
      <c r="B80" s="202"/>
      <c r="C80" s="202"/>
      <c r="D80" s="203"/>
      <c r="E80" s="212"/>
      <c r="F80" s="213"/>
    </row>
    <row r="81" spans="1:6" ht="19.5" customHeight="1">
      <c r="A81" s="202"/>
      <c r="B81" s="202"/>
      <c r="C81" s="202"/>
      <c r="D81" s="203"/>
      <c r="E81" s="212"/>
      <c r="F81" s="213"/>
    </row>
    <row r="82" spans="1:6" ht="19.5" customHeight="1">
      <c r="A82" s="202"/>
      <c r="B82" s="202"/>
      <c r="C82" s="202"/>
      <c r="D82" s="203"/>
      <c r="E82" s="212"/>
      <c r="F82" s="213"/>
    </row>
    <row r="83" spans="1:6" ht="19.5" customHeight="1">
      <c r="A83" s="202"/>
      <c r="B83" s="202"/>
      <c r="C83" s="202"/>
      <c r="D83" s="203"/>
      <c r="E83" s="212"/>
      <c r="F83" s="213"/>
    </row>
    <row r="84" spans="1:6" ht="19.5" customHeight="1">
      <c r="A84" s="202"/>
      <c r="B84" s="202"/>
      <c r="C84" s="202"/>
      <c r="D84" s="203"/>
      <c r="E84" s="212"/>
      <c r="F84" s="213"/>
    </row>
    <row r="85" spans="1:6" ht="19.5" customHeight="1">
      <c r="A85" s="202"/>
      <c r="B85" s="202"/>
      <c r="C85" s="202"/>
      <c r="D85" s="203"/>
      <c r="E85" s="212"/>
      <c r="F85" s="213"/>
    </row>
    <row r="86" spans="1:6" ht="19.5" customHeight="1">
      <c r="A86" s="202"/>
      <c r="B86" s="202"/>
      <c r="C86" s="202"/>
      <c r="D86" s="203"/>
      <c r="E86" s="212"/>
      <c r="F86" s="213"/>
    </row>
    <row r="87" spans="1:6" ht="19.5" customHeight="1">
      <c r="A87" s="202"/>
      <c r="B87" s="202"/>
      <c r="C87" s="202"/>
      <c r="D87" s="203"/>
      <c r="E87" s="212"/>
      <c r="F87" s="213"/>
    </row>
    <row r="88" spans="1:6" ht="19.5" customHeight="1">
      <c r="A88" s="202"/>
      <c r="B88" s="202"/>
      <c r="C88" s="202"/>
      <c r="D88" s="203"/>
      <c r="E88" s="212"/>
      <c r="F88" s="213"/>
    </row>
    <row r="89" spans="1:6" ht="19.5" customHeight="1">
      <c r="A89" s="202"/>
      <c r="B89" s="202"/>
      <c r="C89" s="202"/>
      <c r="D89" s="203"/>
      <c r="E89" s="212"/>
      <c r="F89" s="213"/>
    </row>
    <row r="90" spans="1:6" ht="19.5" customHeight="1">
      <c r="A90" s="202"/>
      <c r="B90" s="202"/>
      <c r="C90" s="202"/>
      <c r="D90" s="203"/>
      <c r="E90" s="212"/>
      <c r="F90" s="213"/>
    </row>
    <row r="91" spans="1:6" ht="19.5" customHeight="1">
      <c r="A91" s="202"/>
      <c r="B91" s="202"/>
      <c r="C91" s="202"/>
      <c r="D91" s="203"/>
      <c r="E91" s="212"/>
      <c r="F91" s="213"/>
    </row>
    <row r="92" spans="1:6" ht="19.5" customHeight="1">
      <c r="A92" s="202"/>
      <c r="B92" s="202"/>
      <c r="C92" s="202"/>
      <c r="D92" s="203"/>
      <c r="E92" s="212"/>
      <c r="F92" s="213"/>
    </row>
    <row r="93" spans="1:6" ht="19.5" customHeight="1">
      <c r="A93" s="202"/>
      <c r="B93" s="202"/>
      <c r="C93" s="202"/>
      <c r="D93" s="203"/>
      <c r="E93" s="212"/>
      <c r="F93" s="213"/>
    </row>
    <row r="94" spans="1:6" ht="19.5" customHeight="1">
      <c r="A94" s="202"/>
      <c r="B94" s="202"/>
      <c r="C94" s="202"/>
      <c r="D94" s="203"/>
      <c r="E94" s="212"/>
      <c r="F94" s="213"/>
    </row>
    <row r="95" spans="1:6" ht="19.5" customHeight="1">
      <c r="A95" s="202"/>
      <c r="B95" s="202"/>
      <c r="C95" s="202"/>
      <c r="D95" s="203"/>
      <c r="E95" s="212"/>
      <c r="F95" s="213"/>
    </row>
    <row r="96" spans="1:6" ht="19.5" customHeight="1">
      <c r="A96" s="202"/>
      <c r="B96" s="202"/>
      <c r="C96" s="202"/>
      <c r="D96" s="203"/>
      <c r="E96" s="212"/>
      <c r="F96" s="213"/>
    </row>
    <row r="97" spans="1:6" ht="19.5" customHeight="1">
      <c r="A97" s="202"/>
      <c r="B97" s="202"/>
      <c r="C97" s="202"/>
      <c r="D97" s="203"/>
      <c r="E97" s="212"/>
      <c r="F97" s="213"/>
    </row>
    <row r="98" spans="1:6" ht="19.5" customHeight="1">
      <c r="A98" s="202"/>
      <c r="B98" s="202"/>
      <c r="C98" s="202"/>
      <c r="D98" s="203"/>
      <c r="E98" s="212"/>
      <c r="F98" s="213"/>
    </row>
    <row r="99" spans="1:6" ht="19.5" customHeight="1">
      <c r="A99" s="202"/>
      <c r="B99" s="202"/>
      <c r="C99" s="202"/>
      <c r="D99" s="203"/>
      <c r="E99" s="212"/>
      <c r="F99" s="213"/>
    </row>
    <row r="100" spans="1:6" ht="19.5" customHeight="1">
      <c r="A100" s="202"/>
      <c r="B100" s="202"/>
      <c r="C100" s="202"/>
      <c r="D100" s="203"/>
      <c r="E100" s="212"/>
      <c r="F100" s="213"/>
    </row>
    <row r="101" spans="1:6" ht="19.5" customHeight="1">
      <c r="A101" s="202"/>
      <c r="B101" s="202"/>
      <c r="C101" s="202"/>
      <c r="D101" s="203"/>
      <c r="E101" s="212"/>
      <c r="F101" s="213"/>
    </row>
    <row r="102" spans="1:6" ht="19.5" customHeight="1">
      <c r="A102" s="202"/>
      <c r="B102" s="202"/>
      <c r="C102" s="202"/>
      <c r="D102" s="203"/>
      <c r="E102" s="212"/>
      <c r="F102" s="213"/>
    </row>
    <row r="103" spans="1:6" ht="19.5" customHeight="1">
      <c r="A103" s="202"/>
      <c r="B103" s="202"/>
      <c r="C103" s="202"/>
      <c r="D103" s="203"/>
      <c r="E103" s="212"/>
      <c r="F103" s="213"/>
    </row>
    <row r="104" spans="1:6" ht="19.5" customHeight="1">
      <c r="A104" s="202"/>
      <c r="B104" s="202"/>
      <c r="C104" s="202"/>
      <c r="D104" s="203"/>
      <c r="E104" s="212"/>
      <c r="F104" s="213"/>
    </row>
    <row r="105" spans="1:6" ht="19.5" customHeight="1">
      <c r="A105" s="202"/>
      <c r="B105" s="202"/>
      <c r="C105" s="202"/>
      <c r="D105" s="203"/>
      <c r="E105" s="212"/>
      <c r="F105" s="213"/>
    </row>
    <row r="106" spans="1:6" ht="19.5" customHeight="1">
      <c r="A106" s="202"/>
      <c r="B106" s="202"/>
      <c r="C106" s="202"/>
      <c r="D106" s="203"/>
      <c r="E106" s="212"/>
      <c r="F106" s="213"/>
    </row>
    <row r="107" spans="1:6" ht="19.5" customHeight="1">
      <c r="A107" s="202"/>
      <c r="B107" s="202"/>
      <c r="C107" s="202"/>
      <c r="D107" s="203"/>
      <c r="E107" s="212"/>
      <c r="F107" s="213"/>
    </row>
    <row r="108" spans="1:6" ht="19.5" customHeight="1">
      <c r="A108" s="202"/>
      <c r="B108" s="202"/>
      <c r="C108" s="202"/>
      <c r="D108" s="203"/>
      <c r="E108" s="212"/>
      <c r="F108" s="213"/>
    </row>
    <row r="109" spans="1:6" ht="19.5" customHeight="1">
      <c r="A109" s="202"/>
      <c r="B109" s="202"/>
      <c r="C109" s="202"/>
      <c r="D109" s="203"/>
      <c r="E109" s="212"/>
      <c r="F109" s="213"/>
    </row>
    <row r="110" spans="1:6" ht="19.5" customHeight="1">
      <c r="A110" s="202"/>
      <c r="B110" s="202"/>
      <c r="C110" s="202"/>
      <c r="D110" s="203"/>
      <c r="E110" s="212"/>
      <c r="F110" s="213"/>
    </row>
    <row r="111" spans="1:6" ht="19.5" customHeight="1">
      <c r="A111" s="202"/>
      <c r="B111" s="202"/>
      <c r="C111" s="202"/>
      <c r="D111" s="203"/>
      <c r="E111" s="212"/>
      <c r="F111" s="213"/>
    </row>
    <row r="112" spans="1:6" ht="19.5" customHeight="1">
      <c r="A112" s="202"/>
      <c r="B112" s="202"/>
      <c r="C112" s="202"/>
      <c r="D112" s="203"/>
      <c r="E112" s="212"/>
      <c r="F112" s="213"/>
    </row>
    <row r="113" spans="1:6" ht="19.5" customHeight="1">
      <c r="A113" s="202"/>
      <c r="B113" s="202"/>
      <c r="C113" s="202"/>
      <c r="D113" s="203"/>
      <c r="E113" s="212"/>
      <c r="F113" s="213"/>
    </row>
    <row r="114" spans="1:6" ht="19.5" customHeight="1">
      <c r="A114" s="202"/>
      <c r="B114" s="202"/>
      <c r="C114" s="202"/>
      <c r="D114" s="203"/>
      <c r="E114" s="212"/>
      <c r="F114" s="213"/>
    </row>
    <row r="115" spans="1:6" ht="19.5" customHeight="1">
      <c r="A115" s="202"/>
      <c r="B115" s="202"/>
      <c r="C115" s="202"/>
      <c r="D115" s="203"/>
      <c r="E115" s="212"/>
      <c r="F115" s="213"/>
    </row>
    <row r="116" spans="1:6" ht="19.5" customHeight="1">
      <c r="A116" s="202"/>
      <c r="B116" s="202"/>
      <c r="C116" s="202"/>
      <c r="D116" s="203"/>
      <c r="E116" s="212"/>
      <c r="F116" s="213"/>
    </row>
    <row r="117" spans="1:6" ht="19.5" customHeight="1">
      <c r="A117" s="202"/>
      <c r="B117" s="202"/>
      <c r="C117" s="202"/>
      <c r="D117" s="203"/>
      <c r="E117" s="212"/>
      <c r="F117" s="213"/>
    </row>
    <row r="118" spans="1:6" ht="19.5" customHeight="1">
      <c r="A118" s="202"/>
      <c r="B118" s="202"/>
      <c r="C118" s="202"/>
      <c r="D118" s="203"/>
      <c r="E118" s="212"/>
      <c r="F118" s="213"/>
    </row>
    <row r="119" spans="1:6" ht="19.5" customHeight="1">
      <c r="A119" s="202"/>
      <c r="B119" s="202"/>
      <c r="C119" s="202"/>
      <c r="D119" s="203"/>
      <c r="E119" s="212"/>
      <c r="F119" s="213"/>
    </row>
    <row r="120" spans="1:6" ht="19.5" customHeight="1">
      <c r="A120" s="202"/>
      <c r="B120" s="202"/>
      <c r="C120" s="202"/>
      <c r="D120" s="203"/>
      <c r="E120" s="212"/>
      <c r="F120" s="213"/>
    </row>
    <row r="121" spans="1:6" ht="19.5" customHeight="1">
      <c r="A121" s="202"/>
      <c r="B121" s="202"/>
      <c r="C121" s="202"/>
      <c r="D121" s="203"/>
      <c r="E121" s="212"/>
      <c r="F121" s="213"/>
    </row>
    <row r="122" spans="1:6" ht="19.5" customHeight="1">
      <c r="A122" s="202"/>
      <c r="B122" s="202"/>
      <c r="C122" s="202"/>
      <c r="D122" s="203"/>
      <c r="E122" s="212"/>
      <c r="F122" s="213"/>
    </row>
    <row r="123" spans="1:6" ht="19.5" customHeight="1">
      <c r="A123" s="202"/>
      <c r="B123" s="202"/>
      <c r="C123" s="202"/>
      <c r="D123" s="203"/>
      <c r="E123" s="212"/>
      <c r="F123" s="213"/>
    </row>
    <row r="124" spans="1:6" ht="19.5" customHeight="1">
      <c r="A124" s="202"/>
      <c r="B124" s="202"/>
      <c r="C124" s="202"/>
      <c r="D124" s="203"/>
      <c r="E124" s="212"/>
      <c r="F124" s="213"/>
    </row>
    <row r="125" spans="1:6" ht="19.5" customHeight="1">
      <c r="A125" s="202"/>
      <c r="B125" s="202"/>
      <c r="C125" s="202"/>
      <c r="D125" s="203"/>
      <c r="E125" s="212"/>
      <c r="F125" s="213"/>
    </row>
    <row r="126" spans="1:6" ht="19.5" customHeight="1">
      <c r="A126" s="202"/>
      <c r="B126" s="202"/>
      <c r="C126" s="202"/>
      <c r="D126" s="203"/>
      <c r="E126" s="212"/>
      <c r="F126" s="213"/>
    </row>
    <row r="127" spans="1:6" ht="19.5" customHeight="1">
      <c r="A127" s="202"/>
      <c r="B127" s="202"/>
      <c r="C127" s="202"/>
      <c r="D127" s="203"/>
      <c r="E127" s="212"/>
      <c r="F127" s="213"/>
    </row>
    <row r="128" spans="1:6" ht="19.5" customHeight="1">
      <c r="A128" s="202"/>
      <c r="B128" s="202"/>
      <c r="C128" s="202"/>
      <c r="D128" s="203"/>
      <c r="E128" s="212"/>
      <c r="F128" s="213"/>
    </row>
    <row r="129" spans="1:6" ht="19.5" customHeight="1">
      <c r="A129" s="202"/>
      <c r="B129" s="202"/>
      <c r="C129" s="202"/>
      <c r="D129" s="203"/>
      <c r="E129" s="212"/>
      <c r="F129" s="213"/>
    </row>
    <row r="130" spans="1:6" ht="19.5" customHeight="1">
      <c r="A130" s="202"/>
      <c r="B130" s="202"/>
      <c r="C130" s="202"/>
      <c r="D130" s="203"/>
      <c r="E130" s="212"/>
      <c r="F130" s="213"/>
    </row>
    <row r="131" spans="1:6" ht="19.5" customHeight="1">
      <c r="A131" s="202"/>
      <c r="B131" s="202"/>
      <c r="C131" s="202"/>
      <c r="D131" s="203"/>
      <c r="E131" s="212"/>
      <c r="F131" s="213"/>
    </row>
    <row r="132" spans="1:6" ht="19.5" customHeight="1">
      <c r="A132" s="202"/>
      <c r="B132" s="202"/>
      <c r="C132" s="202"/>
      <c r="D132" s="203"/>
      <c r="E132" s="212"/>
      <c r="F132" s="213"/>
    </row>
    <row r="133" spans="1:6" ht="19.5" customHeight="1">
      <c r="A133" s="202"/>
      <c r="B133" s="202"/>
      <c r="C133" s="202"/>
      <c r="D133" s="203"/>
      <c r="E133" s="212"/>
      <c r="F133" s="213"/>
    </row>
    <row r="134" spans="1:6" ht="19.5" customHeight="1">
      <c r="A134" s="202"/>
      <c r="B134" s="202"/>
      <c r="C134" s="202"/>
      <c r="D134" s="203"/>
      <c r="E134" s="212"/>
      <c r="F134" s="213"/>
    </row>
    <row r="135" spans="1:6" ht="19.5" customHeight="1">
      <c r="A135" s="202"/>
      <c r="B135" s="202"/>
      <c r="C135" s="202"/>
      <c r="D135" s="203"/>
      <c r="E135" s="212"/>
      <c r="F135" s="213"/>
    </row>
    <row r="136" spans="1:6" ht="19.5" customHeight="1">
      <c r="A136" s="202"/>
      <c r="B136" s="202"/>
      <c r="C136" s="202"/>
      <c r="D136" s="203"/>
      <c r="E136" s="212"/>
      <c r="F136" s="213"/>
    </row>
    <row r="137" spans="1:6" ht="19.5" customHeight="1">
      <c r="A137" s="202"/>
      <c r="B137" s="202"/>
      <c r="C137" s="202"/>
      <c r="D137" s="203"/>
      <c r="E137" s="212"/>
      <c r="F137" s="213"/>
    </row>
    <row r="138" spans="1:6" ht="19.5" customHeight="1">
      <c r="A138" s="202"/>
      <c r="B138" s="202"/>
      <c r="C138" s="202"/>
      <c r="D138" s="203"/>
      <c r="E138" s="212"/>
      <c r="F138" s="213"/>
    </row>
    <row r="139" spans="1:6" ht="19.5" customHeight="1">
      <c r="A139" s="202"/>
      <c r="B139" s="202"/>
      <c r="C139" s="202"/>
      <c r="D139" s="203"/>
      <c r="E139" s="212"/>
      <c r="F139" s="213"/>
    </row>
    <row r="140" spans="1:6" ht="19.5" customHeight="1">
      <c r="A140" s="202"/>
      <c r="B140" s="202"/>
      <c r="C140" s="202"/>
      <c r="D140" s="203"/>
      <c r="E140" s="212"/>
      <c r="F140" s="213"/>
    </row>
    <row r="141" spans="1:6" ht="19.5" customHeight="1">
      <c r="A141" s="202"/>
      <c r="B141" s="202"/>
      <c r="C141" s="202"/>
      <c r="D141" s="203"/>
      <c r="E141" s="212"/>
      <c r="F141" s="213"/>
    </row>
    <row r="142" spans="1:6" ht="19.5" customHeight="1">
      <c r="A142" s="202"/>
      <c r="B142" s="202"/>
      <c r="C142" s="202"/>
      <c r="D142" s="203"/>
      <c r="E142" s="212"/>
      <c r="F142" s="213"/>
    </row>
    <row r="143" spans="1:6" ht="19.5" customHeight="1">
      <c r="A143" s="202"/>
      <c r="B143" s="202"/>
      <c r="C143" s="202"/>
      <c r="D143" s="203"/>
      <c r="E143" s="212"/>
      <c r="F143" s="213"/>
    </row>
    <row r="144" spans="1:6" ht="19.5" customHeight="1">
      <c r="A144" s="202"/>
      <c r="B144" s="202"/>
      <c r="C144" s="202"/>
      <c r="D144" s="203"/>
      <c r="E144" s="212"/>
      <c r="F144" s="213"/>
    </row>
    <row r="145" spans="1:6" ht="19.5" customHeight="1">
      <c r="A145" s="202"/>
      <c r="B145" s="202"/>
      <c r="C145" s="202"/>
      <c r="D145" s="203"/>
      <c r="E145" s="212"/>
      <c r="F145" s="213"/>
    </row>
    <row r="146" spans="1:6" ht="19.5" customHeight="1">
      <c r="A146" s="202"/>
      <c r="B146" s="202"/>
      <c r="C146" s="202"/>
      <c r="D146" s="203"/>
      <c r="E146" s="212"/>
      <c r="F146" s="213"/>
    </row>
    <row r="147" spans="1:6" ht="19.5" customHeight="1">
      <c r="A147" s="202"/>
      <c r="B147" s="202"/>
      <c r="C147" s="202"/>
      <c r="D147" s="203"/>
      <c r="E147" s="212"/>
      <c r="F147" s="213"/>
    </row>
    <row r="148" spans="1:6" ht="19.5" customHeight="1">
      <c r="A148" s="202"/>
      <c r="B148" s="202"/>
      <c r="C148" s="202"/>
      <c r="D148" s="203"/>
      <c r="E148" s="212"/>
      <c r="F148" s="213"/>
    </row>
    <row r="149" spans="1:6" ht="19.5" customHeight="1">
      <c r="A149" s="202"/>
      <c r="B149" s="202"/>
      <c r="C149" s="202"/>
      <c r="D149" s="203"/>
      <c r="E149" s="212"/>
      <c r="F149" s="213"/>
    </row>
    <row r="150" spans="1:6" ht="19.5" customHeight="1">
      <c r="A150" s="202"/>
      <c r="B150" s="202"/>
      <c r="C150" s="202"/>
      <c r="D150" s="203"/>
      <c r="E150" s="212"/>
      <c r="F150" s="213"/>
    </row>
    <row r="151" spans="1:6" ht="19.5" customHeight="1">
      <c r="A151" s="202"/>
      <c r="B151" s="202"/>
      <c r="C151" s="202"/>
      <c r="D151" s="203"/>
      <c r="E151" s="212"/>
      <c r="F151" s="213"/>
    </row>
    <row r="152" spans="1:6" ht="19.5" customHeight="1">
      <c r="A152" s="202"/>
      <c r="B152" s="202"/>
      <c r="C152" s="202"/>
      <c r="D152" s="203"/>
      <c r="E152" s="212"/>
      <c r="F152" s="213"/>
    </row>
    <row r="153" spans="1:6" ht="19.5" customHeight="1">
      <c r="A153" s="202"/>
      <c r="B153" s="202"/>
      <c r="C153" s="202"/>
      <c r="D153" s="203"/>
      <c r="E153" s="212"/>
      <c r="F153" s="213"/>
    </row>
    <row r="154" spans="1:6" ht="19.5" customHeight="1">
      <c r="A154" s="202"/>
      <c r="B154" s="202"/>
      <c r="C154" s="202"/>
      <c r="D154" s="203"/>
      <c r="E154" s="212"/>
      <c r="F154" s="213"/>
    </row>
    <row r="155" spans="1:6" ht="19.5" customHeight="1">
      <c r="A155" s="202"/>
      <c r="B155" s="202"/>
      <c r="C155" s="202"/>
      <c r="D155" s="203"/>
      <c r="E155" s="212"/>
      <c r="F155" s="213"/>
    </row>
    <row r="156" spans="1:6" ht="19.5" customHeight="1">
      <c r="A156" s="202"/>
      <c r="B156" s="202"/>
      <c r="C156" s="202"/>
      <c r="D156" s="203"/>
      <c r="E156" s="212"/>
      <c r="F156" s="213"/>
    </row>
    <row r="157" spans="1:6" ht="19.5" customHeight="1">
      <c r="A157" s="202"/>
      <c r="B157" s="202"/>
      <c r="C157" s="202"/>
      <c r="D157" s="203"/>
      <c r="E157" s="212"/>
      <c r="F157" s="213"/>
    </row>
    <row r="158" spans="1:6" ht="19.5" customHeight="1">
      <c r="A158" s="202"/>
      <c r="B158" s="202"/>
      <c r="C158" s="202"/>
      <c r="D158" s="203"/>
      <c r="E158" s="212"/>
      <c r="F158" s="213"/>
    </row>
    <row r="159" spans="1:6" ht="19.5" customHeight="1">
      <c r="A159" s="202"/>
      <c r="B159" s="202"/>
      <c r="C159" s="202"/>
      <c r="D159" s="203"/>
      <c r="E159" s="127"/>
      <c r="F159" s="213"/>
    </row>
    <row r="160" spans="1:6" ht="19.5" customHeight="1">
      <c r="A160" s="202"/>
      <c r="B160" s="202"/>
      <c r="C160" s="202"/>
      <c r="D160" s="203"/>
      <c r="E160" s="127"/>
      <c r="F160" s="213"/>
    </row>
    <row r="161" spans="1:6" ht="19.5" customHeight="1">
      <c r="A161" s="202"/>
      <c r="B161" s="202"/>
      <c r="C161" s="202"/>
      <c r="D161" s="203"/>
      <c r="E161" s="127"/>
      <c r="F161" s="213"/>
    </row>
    <row r="162" spans="1:6" ht="19.5" customHeight="1">
      <c r="A162" s="202"/>
      <c r="B162" s="202"/>
      <c r="C162" s="202"/>
      <c r="D162" s="203"/>
      <c r="E162" s="127"/>
      <c r="F162" s="213"/>
    </row>
    <row r="163" spans="1:6" ht="19.5" customHeight="1">
      <c r="A163" s="202"/>
      <c r="B163" s="202"/>
      <c r="C163" s="202"/>
      <c r="D163" s="203"/>
      <c r="E163" s="127"/>
      <c r="F163" s="213"/>
    </row>
    <row r="164" spans="1:6" ht="19.5" customHeight="1">
      <c r="A164" s="202"/>
      <c r="B164" s="202"/>
      <c r="C164" s="202"/>
      <c r="D164" s="203"/>
      <c r="E164" s="127"/>
      <c r="F164" s="213"/>
    </row>
    <row r="165" spans="1:6" ht="19.5" customHeight="1">
      <c r="A165" s="202"/>
      <c r="B165" s="202"/>
      <c r="C165" s="202"/>
      <c r="D165" s="203"/>
      <c r="E165" s="127"/>
      <c r="F165" s="213"/>
    </row>
    <row r="166" spans="1:6" ht="19.5" customHeight="1">
      <c r="A166" s="202"/>
      <c r="B166" s="202"/>
      <c r="C166" s="202"/>
      <c r="D166" s="203"/>
      <c r="E166" s="127"/>
      <c r="F166" s="213"/>
    </row>
    <row r="167" spans="1:6" ht="19.5" customHeight="1">
      <c r="A167" s="202"/>
      <c r="B167" s="202"/>
      <c r="C167" s="202"/>
      <c r="D167" s="203"/>
      <c r="E167" s="127"/>
      <c r="F167" s="213"/>
    </row>
    <row r="168" spans="1:6" ht="19.5" customHeight="1">
      <c r="A168" s="202"/>
      <c r="B168" s="202"/>
      <c r="C168" s="202"/>
      <c r="D168" s="203"/>
      <c r="E168" s="127"/>
      <c r="F168" s="213"/>
    </row>
    <row r="169" spans="1:6" ht="19.5" customHeight="1">
      <c r="A169" s="202"/>
      <c r="B169" s="202"/>
      <c r="C169" s="202"/>
      <c r="D169" s="203"/>
      <c r="E169" s="127"/>
      <c r="F169" s="213"/>
    </row>
    <row r="170" spans="1:6" ht="19.5" customHeight="1">
      <c r="A170" s="202"/>
      <c r="B170" s="202"/>
      <c r="C170" s="202"/>
      <c r="D170" s="203"/>
      <c r="E170" s="127"/>
      <c r="F170" s="213"/>
    </row>
    <row r="171" spans="1:6" ht="19.5" customHeight="1">
      <c r="A171" s="202"/>
      <c r="B171" s="202"/>
      <c r="C171" s="202"/>
      <c r="D171" s="203"/>
      <c r="E171" s="127"/>
      <c r="F171" s="213"/>
    </row>
    <row r="172" spans="1:6" ht="19.5" customHeight="1">
      <c r="A172" s="202"/>
      <c r="B172" s="202"/>
      <c r="C172" s="202"/>
      <c r="D172" s="203"/>
      <c r="E172" s="127"/>
      <c r="F172" s="213"/>
    </row>
    <row r="173" spans="1:6" ht="19.5" customHeight="1">
      <c r="A173" s="202"/>
      <c r="B173" s="202"/>
      <c r="C173" s="202"/>
      <c r="D173" s="203"/>
      <c r="E173" s="127"/>
      <c r="F173" s="213"/>
    </row>
    <row r="174" spans="1:6" ht="19.5" customHeight="1">
      <c r="A174" s="202"/>
      <c r="B174" s="202"/>
      <c r="C174" s="202"/>
      <c r="D174" s="203"/>
      <c r="E174" s="127"/>
      <c r="F174" s="213"/>
    </row>
    <row r="175" spans="1:6" ht="19.5" customHeight="1">
      <c r="A175" s="202"/>
      <c r="B175" s="202"/>
      <c r="C175" s="202"/>
      <c r="D175" s="203"/>
      <c r="E175" s="127"/>
      <c r="F175" s="213"/>
    </row>
    <row r="176" spans="1:6" ht="19.5" customHeight="1">
      <c r="A176" s="202"/>
      <c r="B176" s="202"/>
      <c r="C176" s="202"/>
      <c r="D176" s="203"/>
      <c r="E176" s="127"/>
      <c r="F176" s="213"/>
    </row>
    <row r="177" spans="1:6" ht="19.5" customHeight="1">
      <c r="A177" s="202"/>
      <c r="B177" s="202"/>
      <c r="C177" s="202"/>
      <c r="D177" s="203"/>
      <c r="E177" s="127"/>
      <c r="F177" s="213"/>
    </row>
    <row r="178" spans="1:6" ht="19.5" customHeight="1">
      <c r="A178" s="202"/>
      <c r="B178" s="202"/>
      <c r="C178" s="202"/>
      <c r="D178" s="203"/>
      <c r="E178" s="127"/>
      <c r="F178" s="213"/>
    </row>
    <row r="179" spans="1:6" ht="19.5" customHeight="1">
      <c r="A179" s="202"/>
      <c r="B179" s="202"/>
      <c r="C179" s="202"/>
      <c r="D179" s="203"/>
      <c r="E179" s="127"/>
      <c r="F179" s="213"/>
    </row>
    <row r="180" spans="1:6" ht="19.5" customHeight="1">
      <c r="A180" s="202"/>
      <c r="B180" s="202"/>
      <c r="C180" s="202"/>
      <c r="D180" s="203"/>
      <c r="E180" s="127"/>
      <c r="F180" s="213"/>
    </row>
    <row r="181" spans="1:6" ht="19.5" customHeight="1">
      <c r="A181" s="202"/>
      <c r="B181" s="202"/>
      <c r="C181" s="202"/>
      <c r="D181" s="203"/>
      <c r="E181" s="127"/>
      <c r="F181" s="213"/>
    </row>
    <row r="182" spans="1:6" ht="19.5" customHeight="1">
      <c r="A182" s="202"/>
      <c r="B182" s="202"/>
      <c r="C182" s="202"/>
      <c r="D182" s="203"/>
      <c r="E182" s="127"/>
      <c r="F182" s="213"/>
    </row>
    <row r="183" spans="1:6" ht="19.5" customHeight="1">
      <c r="A183" s="202"/>
      <c r="B183" s="202"/>
      <c r="C183" s="202"/>
      <c r="D183" s="203"/>
      <c r="E183" s="127"/>
      <c r="F183" s="213"/>
    </row>
    <row r="184" spans="1:6" ht="19.5" customHeight="1">
      <c r="A184" s="202"/>
      <c r="B184" s="202"/>
      <c r="C184" s="202"/>
      <c r="D184" s="203"/>
      <c r="E184" s="127"/>
      <c r="F184" s="213"/>
    </row>
    <row r="185" spans="1:6" ht="19.5" customHeight="1">
      <c r="A185" s="202"/>
      <c r="B185" s="202"/>
      <c r="C185" s="202"/>
      <c r="D185" s="203"/>
      <c r="E185" s="127"/>
      <c r="F185" s="213"/>
    </row>
    <row r="186" spans="1:6" ht="19.5" customHeight="1">
      <c r="A186" s="202"/>
      <c r="B186" s="202"/>
      <c r="C186" s="202"/>
      <c r="D186" s="203"/>
      <c r="E186" s="127"/>
      <c r="F186" s="213"/>
    </row>
    <row r="187" spans="1:6" ht="19.5" customHeight="1">
      <c r="A187" s="202"/>
      <c r="B187" s="202"/>
      <c r="C187" s="202"/>
      <c r="D187" s="203"/>
      <c r="E187" s="127"/>
      <c r="F187" s="213"/>
    </row>
    <row r="188" spans="1:5" ht="19.5" customHeight="1">
      <c r="A188" s="202"/>
      <c r="B188" s="202"/>
      <c r="C188" s="202"/>
      <c r="D188" s="203"/>
      <c r="E188" s="127"/>
    </row>
    <row r="189" spans="1:5" ht="19.5" customHeight="1">
      <c r="A189" s="202"/>
      <c r="B189" s="202"/>
      <c r="C189" s="202"/>
      <c r="D189" s="203"/>
      <c r="E189" s="127"/>
    </row>
    <row r="190" spans="1:5" ht="19.5" customHeight="1">
      <c r="A190" s="202"/>
      <c r="B190" s="202"/>
      <c r="C190" s="202"/>
      <c r="D190" s="203"/>
      <c r="E190" s="127"/>
    </row>
    <row r="191" spans="1:5" ht="19.5" customHeight="1">
      <c r="A191" s="202"/>
      <c r="B191" s="202"/>
      <c r="C191" s="202"/>
      <c r="D191" s="203"/>
      <c r="E191" s="127"/>
    </row>
    <row r="192" spans="1:5" ht="19.5" customHeight="1">
      <c r="A192" s="202"/>
      <c r="B192" s="202"/>
      <c r="C192" s="202"/>
      <c r="D192" s="203"/>
      <c r="E192" s="127"/>
    </row>
    <row r="193" spans="1:5" ht="19.5" customHeight="1">
      <c r="A193" s="202"/>
      <c r="B193" s="202"/>
      <c r="C193" s="202"/>
      <c r="D193" s="203"/>
      <c r="E193" s="127"/>
    </row>
    <row r="194" spans="1:5" ht="19.5" customHeight="1">
      <c r="A194" s="202"/>
      <c r="B194" s="202"/>
      <c r="C194" s="202"/>
      <c r="D194" s="203"/>
      <c r="E194" s="127"/>
    </row>
    <row r="195" spans="1:5" ht="19.5" customHeight="1">
      <c r="A195" s="202"/>
      <c r="B195" s="202"/>
      <c r="C195" s="202"/>
      <c r="D195" s="203"/>
      <c r="E195" s="127"/>
    </row>
    <row r="196" spans="1:5" ht="19.5" customHeight="1">
      <c r="A196" s="202"/>
      <c r="B196" s="202"/>
      <c r="C196" s="202"/>
      <c r="D196" s="203"/>
      <c r="E196" s="127"/>
    </row>
    <row r="197" spans="1:5" ht="19.5" customHeight="1">
      <c r="A197" s="202"/>
      <c r="B197" s="202"/>
      <c r="C197" s="202"/>
      <c r="D197" s="203"/>
      <c r="E197" s="127"/>
    </row>
    <row r="198" spans="1:5" ht="19.5" customHeight="1">
      <c r="A198" s="202"/>
      <c r="B198" s="202"/>
      <c r="C198" s="202"/>
      <c r="D198" s="203"/>
      <c r="E198" s="127"/>
    </row>
    <row r="199" spans="1:5" ht="19.5" customHeight="1">
      <c r="A199" s="202"/>
      <c r="B199" s="202"/>
      <c r="C199" s="202"/>
      <c r="D199" s="203"/>
      <c r="E199" s="127"/>
    </row>
    <row r="200" spans="1:5" ht="19.5" customHeight="1">
      <c r="A200" s="202"/>
      <c r="B200" s="202"/>
      <c r="C200" s="202"/>
      <c r="D200" s="203"/>
      <c r="E200" s="127"/>
    </row>
    <row r="201" spans="1:5" ht="19.5" customHeight="1">
      <c r="A201" s="202"/>
      <c r="B201" s="202"/>
      <c r="C201" s="202"/>
      <c r="D201" s="203"/>
      <c r="E201" s="127"/>
    </row>
    <row r="202" spans="1:5" ht="19.5" customHeight="1">
      <c r="A202" s="202"/>
      <c r="B202" s="202"/>
      <c r="C202" s="202"/>
      <c r="D202" s="203"/>
      <c r="E202" s="127"/>
    </row>
    <row r="203" spans="1:5" ht="19.5" customHeight="1">
      <c r="A203" s="202"/>
      <c r="B203" s="202"/>
      <c r="C203" s="202"/>
      <c r="D203" s="203"/>
      <c r="E203" s="127"/>
    </row>
    <row r="204" spans="1:5" ht="19.5" customHeight="1">
      <c r="A204" s="202"/>
      <c r="B204" s="202"/>
      <c r="C204" s="202"/>
      <c r="D204" s="203"/>
      <c r="E204" s="127"/>
    </row>
    <row r="205" spans="1:5" ht="19.5" customHeight="1">
      <c r="A205" s="202"/>
      <c r="B205" s="202"/>
      <c r="C205" s="202"/>
      <c r="D205" s="203"/>
      <c r="E205" s="127"/>
    </row>
    <row r="206" spans="1:5" ht="19.5" customHeight="1">
      <c r="A206" s="202"/>
      <c r="B206" s="202"/>
      <c r="C206" s="202"/>
      <c r="D206" s="203"/>
      <c r="E206" s="127"/>
    </row>
    <row r="207" spans="1:5" ht="19.5" customHeight="1">
      <c r="A207" s="202"/>
      <c r="B207" s="202"/>
      <c r="C207" s="202"/>
      <c r="D207" s="203"/>
      <c r="E207" s="127"/>
    </row>
    <row r="208" spans="1:5" ht="19.5" customHeight="1">
      <c r="A208" s="202"/>
      <c r="B208" s="202"/>
      <c r="C208" s="202"/>
      <c r="D208" s="203"/>
      <c r="E208" s="127"/>
    </row>
    <row r="209" spans="1:5" ht="19.5" customHeight="1">
      <c r="A209" s="202"/>
      <c r="B209" s="202"/>
      <c r="C209" s="202"/>
      <c r="D209" s="203"/>
      <c r="E209" s="127"/>
    </row>
    <row r="210" spans="1:5" ht="19.5" customHeight="1">
      <c r="A210" s="202"/>
      <c r="B210" s="202"/>
      <c r="C210" s="202"/>
      <c r="D210" s="203"/>
      <c r="E210" s="127"/>
    </row>
    <row r="211" spans="1:5" ht="19.5" customHeight="1">
      <c r="A211" s="202"/>
      <c r="B211" s="202"/>
      <c r="C211" s="202"/>
      <c r="D211" s="203"/>
      <c r="E211" s="127"/>
    </row>
    <row r="212" spans="1:5" ht="19.5" customHeight="1">
      <c r="A212" s="202"/>
      <c r="B212" s="202"/>
      <c r="C212" s="202"/>
      <c r="D212" s="203"/>
      <c r="E212" s="127"/>
    </row>
    <row r="213" spans="1:5" ht="19.5" customHeight="1">
      <c r="A213" s="202"/>
      <c r="B213" s="202"/>
      <c r="C213" s="202"/>
      <c r="D213" s="203"/>
      <c r="E213" s="127"/>
    </row>
    <row r="214" spans="1:5" ht="19.5" customHeight="1">
      <c r="A214" s="202"/>
      <c r="B214" s="202"/>
      <c r="C214" s="202"/>
      <c r="D214" s="203"/>
      <c r="E214" s="127"/>
    </row>
    <row r="215" spans="1:5" ht="19.5" customHeight="1">
      <c r="A215" s="202"/>
      <c r="B215" s="202"/>
      <c r="C215" s="202"/>
      <c r="D215" s="203"/>
      <c r="E215" s="127"/>
    </row>
    <row r="216" spans="1:5" ht="19.5" customHeight="1">
      <c r="A216" s="202"/>
      <c r="B216" s="202"/>
      <c r="C216" s="202"/>
      <c r="D216" s="203"/>
      <c r="E216" s="127"/>
    </row>
    <row r="217" spans="1:5" ht="19.5" customHeight="1">
      <c r="A217" s="202"/>
      <c r="B217" s="202"/>
      <c r="C217" s="202"/>
      <c r="D217" s="203"/>
      <c r="E217" s="127"/>
    </row>
    <row r="218" spans="1:5" ht="19.5" customHeight="1">
      <c r="A218" s="202"/>
      <c r="B218" s="202"/>
      <c r="C218" s="202"/>
      <c r="D218" s="203"/>
      <c r="E218" s="127"/>
    </row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</sheetData>
  <sheetProtection/>
  <mergeCells count="10">
    <mergeCell ref="B65:D65"/>
    <mergeCell ref="B66:D66"/>
    <mergeCell ref="B67:D67"/>
    <mergeCell ref="B69:D69"/>
    <mergeCell ref="B68:D68"/>
    <mergeCell ref="A64:D64"/>
    <mergeCell ref="A42:D42"/>
    <mergeCell ref="F1:G1"/>
    <mergeCell ref="A3:G3"/>
    <mergeCell ref="A7:D7"/>
  </mergeCells>
  <printOptions horizontalCentered="1"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F83"/>
  <sheetViews>
    <sheetView view="pageBreakPreview" zoomScaleSheetLayoutView="100" workbookViewId="0" topLeftCell="A1">
      <selection activeCell="G40" sqref="G40"/>
    </sheetView>
  </sheetViews>
  <sheetFormatPr defaultColWidth="9.00390625" defaultRowHeight="12.75"/>
  <cols>
    <col min="1" max="1" width="45.125" style="217" customWidth="1"/>
    <col min="2" max="2" width="13.125" style="217" customWidth="1"/>
    <col min="3" max="3" width="13.00390625" style="217" customWidth="1"/>
    <col min="4" max="4" width="7.125" style="217" customWidth="1"/>
    <col min="5" max="5" width="8.25390625" style="217" customWidth="1"/>
    <col min="6" max="6" width="9.125" style="245" customWidth="1"/>
    <col min="7" max="16384" width="9.125" style="217" customWidth="1"/>
  </cols>
  <sheetData>
    <row r="1" spans="1:6" ht="12.75">
      <c r="A1" s="221"/>
      <c r="B1" s="221"/>
      <c r="D1" s="1473" t="s">
        <v>303</v>
      </c>
      <c r="E1" s="1473"/>
      <c r="F1" s="217"/>
    </row>
    <row r="2" spans="1:6" ht="13.5" customHeight="1">
      <c r="A2" s="221"/>
      <c r="B2" s="221"/>
      <c r="F2" s="217"/>
    </row>
    <row r="3" spans="1:5" s="222" customFormat="1" ht="12.75">
      <c r="A3" s="1474" t="s">
        <v>1054</v>
      </c>
      <c r="B3" s="1474"/>
      <c r="C3" s="1474"/>
      <c r="D3" s="1474"/>
      <c r="E3" s="1474"/>
    </row>
    <row r="4" spans="4:5" s="222" customFormat="1" ht="13.5" thickBot="1">
      <c r="D4" s="223"/>
      <c r="E4" s="223" t="s">
        <v>833</v>
      </c>
    </row>
    <row r="5" spans="1:6" ht="26.25" customHeight="1">
      <c r="A5" s="633" t="s">
        <v>775</v>
      </c>
      <c r="B5" s="634" t="s">
        <v>836</v>
      </c>
      <c r="C5" s="635" t="s">
        <v>837</v>
      </c>
      <c r="D5" s="636" t="s">
        <v>627</v>
      </c>
      <c r="E5" s="637" t="s">
        <v>1013</v>
      </c>
      <c r="F5" s="217"/>
    </row>
    <row r="6" spans="1:5" s="224" customFormat="1" ht="12.75" customHeight="1" thickBot="1">
      <c r="A6" s="638">
        <v>1</v>
      </c>
      <c r="B6" s="639">
        <v>2</v>
      </c>
      <c r="C6" s="640">
        <v>3</v>
      </c>
      <c r="D6" s="641">
        <v>4</v>
      </c>
      <c r="E6" s="642">
        <v>5</v>
      </c>
    </row>
    <row r="7" spans="1:5" s="224" customFormat="1" ht="8.25" customHeight="1">
      <c r="A7" s="225"/>
      <c r="B7" s="226"/>
      <c r="C7" s="227"/>
      <c r="D7" s="227"/>
      <c r="E7" s="228"/>
    </row>
    <row r="8" spans="1:6" ht="12.75">
      <c r="A8" s="229" t="s">
        <v>445</v>
      </c>
      <c r="B8" s="812">
        <f>SUM(B10,B20,B32,B36,B38,B40,B42,B44)</f>
        <v>126872038</v>
      </c>
      <c r="C8" s="812">
        <f>SUM(C10,C20,C32,C36,C38,C40,C42,C44)</f>
        <v>125810833.09</v>
      </c>
      <c r="D8" s="905">
        <f>C8/B8*100</f>
        <v>99.16356280963974</v>
      </c>
      <c r="E8" s="906">
        <f>C8/$C$80*100</f>
        <v>63.411809920349704</v>
      </c>
      <c r="F8" s="217"/>
    </row>
    <row r="9" spans="1:6" ht="6.75" customHeight="1">
      <c r="A9" s="216"/>
      <c r="B9" s="813"/>
      <c r="C9" s="813"/>
      <c r="D9" s="907"/>
      <c r="E9" s="908"/>
      <c r="F9" s="217"/>
    </row>
    <row r="10" spans="1:6" ht="12.75">
      <c r="A10" s="216" t="s">
        <v>446</v>
      </c>
      <c r="B10" s="813">
        <f>SUM(B11:B18)</f>
        <v>43813500</v>
      </c>
      <c r="C10" s="813">
        <f>SUM(C11:C18)</f>
        <v>44420458.68000001</v>
      </c>
      <c r="D10" s="907">
        <f aca="true" t="shared" si="0" ref="D10:D17">C10/B10*100</f>
        <v>101.38532342771065</v>
      </c>
      <c r="E10" s="908">
        <f aca="true" t="shared" si="1" ref="E10:E17">C10/$C$80*100</f>
        <v>22.38902337111063</v>
      </c>
      <c r="F10" s="217"/>
    </row>
    <row r="11" spans="1:6" ht="12.75">
      <c r="A11" s="218" t="s">
        <v>784</v>
      </c>
      <c r="B11" s="814">
        <f>SUM(6D!E96+6D!E104)</f>
        <v>40050000</v>
      </c>
      <c r="C11" s="814">
        <f>SUM(6D!F96+6D!F104)</f>
        <v>40417563.29</v>
      </c>
      <c r="D11" s="817">
        <f t="shared" si="0"/>
        <v>100.91776102372035</v>
      </c>
      <c r="E11" s="909">
        <f t="shared" si="1"/>
        <v>20.371463870331038</v>
      </c>
      <c r="F11" s="217"/>
    </row>
    <row r="12" spans="1:6" ht="12.75">
      <c r="A12" s="218" t="s">
        <v>785</v>
      </c>
      <c r="B12" s="814">
        <f>SUM(6D!E97,6D!E105)</f>
        <v>42000</v>
      </c>
      <c r="C12" s="814">
        <f>SUM(6D!F97,6D!F105)</f>
        <v>47965.96</v>
      </c>
      <c r="D12" s="817">
        <f t="shared" si="0"/>
        <v>114.20466666666667</v>
      </c>
      <c r="E12" s="909">
        <f t="shared" si="1"/>
        <v>0.02417604480840893</v>
      </c>
      <c r="F12" s="217"/>
    </row>
    <row r="13" spans="1:6" ht="12.75">
      <c r="A13" s="218" t="s">
        <v>786</v>
      </c>
      <c r="B13" s="814">
        <f>SUM(6D!E98,6D!E106)</f>
        <v>46500</v>
      </c>
      <c r="C13" s="814">
        <f>SUM(6D!F98,6D!F106)</f>
        <v>58214.07</v>
      </c>
      <c r="D13" s="817">
        <f t="shared" si="0"/>
        <v>125.19154838709676</v>
      </c>
      <c r="E13" s="909">
        <f t="shared" si="1"/>
        <v>0.029341348839882573</v>
      </c>
      <c r="F13" s="217"/>
    </row>
    <row r="14" spans="1:6" ht="12.75">
      <c r="A14" s="218" t="s">
        <v>787</v>
      </c>
      <c r="B14" s="814">
        <f>SUM(6D!E99,6D!E107)</f>
        <v>235000</v>
      </c>
      <c r="C14" s="814">
        <f>SUM(6D!F99,6D!F107)</f>
        <v>242774.27000000002</v>
      </c>
      <c r="D14" s="817">
        <f t="shared" si="0"/>
        <v>103.3082</v>
      </c>
      <c r="E14" s="909">
        <f t="shared" si="1"/>
        <v>0.12236431064548209</v>
      </c>
      <c r="F14" s="217"/>
    </row>
    <row r="15" spans="1:6" ht="25.5" customHeight="1">
      <c r="A15" s="219" t="s">
        <v>1217</v>
      </c>
      <c r="B15" s="815">
        <f>SUM(6D!E93)</f>
        <v>390000</v>
      </c>
      <c r="C15" s="815">
        <f>SUM(6D!F93)</f>
        <v>421440.95</v>
      </c>
      <c r="D15" s="817">
        <f t="shared" si="0"/>
        <v>108.06178205128205</v>
      </c>
      <c r="E15" s="909">
        <f t="shared" si="1"/>
        <v>0.212416790809533</v>
      </c>
      <c r="F15" s="217"/>
    </row>
    <row r="16" spans="1:6" ht="12.75">
      <c r="A16" s="218" t="s">
        <v>788</v>
      </c>
      <c r="B16" s="814">
        <f>SUM(6D!E108)</f>
        <v>370000</v>
      </c>
      <c r="C16" s="814">
        <f>SUM(6D!F108)</f>
        <v>383718.17</v>
      </c>
      <c r="D16" s="817">
        <f t="shared" si="0"/>
        <v>103.70761351351352</v>
      </c>
      <c r="E16" s="909">
        <f t="shared" si="1"/>
        <v>0.19340356518916071</v>
      </c>
      <c r="F16" s="217"/>
    </row>
    <row r="17" spans="1:6" ht="12.75">
      <c r="A17" s="218" t="s">
        <v>789</v>
      </c>
      <c r="B17" s="814">
        <f>SUM(6D!E100,6D!E111)</f>
        <v>2680000</v>
      </c>
      <c r="C17" s="814">
        <f>SUM(6D!F100,6D!F111)</f>
        <v>2847587.2199999997</v>
      </c>
      <c r="D17" s="817">
        <f t="shared" si="0"/>
        <v>106.25325447761193</v>
      </c>
      <c r="E17" s="909">
        <f t="shared" si="1"/>
        <v>1.4352552565730492</v>
      </c>
      <c r="F17" s="217"/>
    </row>
    <row r="18" spans="1:6" ht="12.75">
      <c r="A18" s="218" t="s">
        <v>50</v>
      </c>
      <c r="B18" s="814">
        <f>SUM(6D!E112)</f>
        <v>0</v>
      </c>
      <c r="C18" s="814">
        <f>SUM(6D!F112)</f>
        <v>1194.75</v>
      </c>
      <c r="D18" s="910" t="s">
        <v>1081</v>
      </c>
      <c r="E18" s="909">
        <f>C18/$C$80*100</f>
        <v>0.0006021839140683637</v>
      </c>
      <c r="F18" s="217"/>
    </row>
    <row r="19" spans="1:6" ht="6" customHeight="1">
      <c r="A19" s="216"/>
      <c r="B19" s="813"/>
      <c r="C19" s="813"/>
      <c r="D19" s="907"/>
      <c r="E19" s="908"/>
      <c r="F19" s="217"/>
    </row>
    <row r="20" spans="1:6" ht="12.75">
      <c r="A20" s="216" t="s">
        <v>776</v>
      </c>
      <c r="B20" s="813">
        <f>SUM(B21:B30)</f>
        <v>5027031</v>
      </c>
      <c r="C20" s="813">
        <f>SUM(C21:C30)</f>
        <v>5436129.28</v>
      </c>
      <c r="D20" s="907">
        <f aca="true" t="shared" si="2" ref="D20:D30">C20/B20*100</f>
        <v>108.13797010601287</v>
      </c>
      <c r="E20" s="908">
        <f aca="true" t="shared" si="3" ref="E20:E30">C20/$C$80*100</f>
        <v>2.739945266551191</v>
      </c>
      <c r="F20" s="217"/>
    </row>
    <row r="21" spans="1:6" ht="12.75">
      <c r="A21" s="218" t="s">
        <v>628</v>
      </c>
      <c r="B21" s="814">
        <f>SUM(6D!E210)</f>
        <v>9000</v>
      </c>
      <c r="C21" s="814">
        <f>SUM(6D!F210)</f>
        <v>13977.57</v>
      </c>
      <c r="D21" s="817">
        <f t="shared" si="2"/>
        <v>155.30633333333333</v>
      </c>
      <c r="E21" s="909">
        <f t="shared" si="3"/>
        <v>0.007045045249436734</v>
      </c>
      <c r="F21" s="217"/>
    </row>
    <row r="22" spans="1:6" ht="12.75">
      <c r="A22" s="218" t="s">
        <v>790</v>
      </c>
      <c r="B22" s="814">
        <f>SUM(6D!E116)</f>
        <v>500000</v>
      </c>
      <c r="C22" s="814">
        <f>SUM(6D!F116)</f>
        <v>589712.12</v>
      </c>
      <c r="D22" s="817">
        <f t="shared" si="2"/>
        <v>117.94242399999999</v>
      </c>
      <c r="E22" s="909">
        <f t="shared" si="3"/>
        <v>0.2972296736515192</v>
      </c>
      <c r="F22" s="217"/>
    </row>
    <row r="23" spans="1:6" ht="12.75">
      <c r="A23" s="218" t="s">
        <v>791</v>
      </c>
      <c r="B23" s="814">
        <f>SUM(6D!E274)</f>
        <v>683240</v>
      </c>
      <c r="C23" s="814">
        <f>SUM(6D!F274)</f>
        <v>745493.5</v>
      </c>
      <c r="D23" s="817">
        <f t="shared" si="2"/>
        <v>109.11151279199109</v>
      </c>
      <c r="E23" s="909">
        <f t="shared" si="3"/>
        <v>0.375747389615002</v>
      </c>
      <c r="F23" s="217"/>
    </row>
    <row r="24" spans="1:6" ht="12.75">
      <c r="A24" s="218" t="s">
        <v>768</v>
      </c>
      <c r="B24" s="814">
        <f>SUM(6D!E109)</f>
        <v>2005000</v>
      </c>
      <c r="C24" s="814">
        <f>SUM(6D!F109)</f>
        <v>2053697.8</v>
      </c>
      <c r="D24" s="817">
        <f t="shared" si="2"/>
        <v>102.42881795511222</v>
      </c>
      <c r="E24" s="909">
        <f t="shared" si="3"/>
        <v>1.0351151115443293</v>
      </c>
      <c r="F24" s="217"/>
    </row>
    <row r="25" spans="1:6" ht="12.75">
      <c r="A25" s="218" t="s">
        <v>272</v>
      </c>
      <c r="B25" s="814">
        <f>SUM(6D!E110)</f>
        <v>490000</v>
      </c>
      <c r="C25" s="814">
        <f>SUM(6D!F110)</f>
        <v>497682.75</v>
      </c>
      <c r="D25" s="817">
        <f t="shared" si="2"/>
        <v>101.56790816326532</v>
      </c>
      <c r="E25" s="909">
        <f t="shared" si="3"/>
        <v>0.25084456694647994</v>
      </c>
      <c r="F25" s="217"/>
    </row>
    <row r="26" spans="1:6" ht="12.75">
      <c r="A26" s="218" t="s">
        <v>792</v>
      </c>
      <c r="B26" s="814">
        <f>SUM(6D!E117)</f>
        <v>5000</v>
      </c>
      <c r="C26" s="814">
        <f>SUM(6D!F117)</f>
        <v>4919</v>
      </c>
      <c r="D26" s="817">
        <f t="shared" si="2"/>
        <v>98.38</v>
      </c>
      <c r="E26" s="909">
        <f t="shared" si="3"/>
        <v>0.00247929916158383</v>
      </c>
      <c r="F26" s="217"/>
    </row>
    <row r="27" spans="1:6" ht="12.75">
      <c r="A27" s="218" t="s">
        <v>794</v>
      </c>
      <c r="B27" s="814">
        <f>SUM(6D!E118)</f>
        <v>1200000</v>
      </c>
      <c r="C27" s="814">
        <f>SUM(6D!F118)</f>
        <v>1290567.94</v>
      </c>
      <c r="D27" s="817">
        <f t="shared" si="2"/>
        <v>107.54732833333334</v>
      </c>
      <c r="E27" s="909">
        <f t="shared" si="3"/>
        <v>0.6504785549113581</v>
      </c>
      <c r="F27" s="217"/>
    </row>
    <row r="28" spans="1:6" ht="12.75">
      <c r="A28" s="218" t="s">
        <v>1085</v>
      </c>
      <c r="B28" s="814">
        <f>SUM(6D!E119)</f>
        <v>70000</v>
      </c>
      <c r="C28" s="814">
        <f>SUM(6D!F119)</f>
        <v>141089.17</v>
      </c>
      <c r="D28" s="817">
        <f t="shared" si="2"/>
        <v>201.55595714285715</v>
      </c>
      <c r="E28" s="909">
        <f t="shared" si="3"/>
        <v>0.0711124742609389</v>
      </c>
      <c r="F28" s="217"/>
    </row>
    <row r="29" spans="1:6" ht="12.75">
      <c r="A29" s="218" t="s">
        <v>795</v>
      </c>
      <c r="B29" s="814">
        <f>SUM(6D!E120)</f>
        <v>20000</v>
      </c>
      <c r="C29" s="814">
        <f>SUM(6D!F120)</f>
        <v>15051.48</v>
      </c>
      <c r="D29" s="817">
        <f t="shared" si="2"/>
        <v>75.25739999999999</v>
      </c>
      <c r="E29" s="909">
        <f t="shared" si="3"/>
        <v>0.0075863227779214846</v>
      </c>
      <c r="F29" s="217"/>
    </row>
    <row r="30" spans="1:6" ht="25.5">
      <c r="A30" s="219" t="s">
        <v>960</v>
      </c>
      <c r="B30" s="814">
        <f>SUM(6D!E13,6D!E131,6D!E261,6D!E65,6D!E102)</f>
        <v>44791</v>
      </c>
      <c r="C30" s="814">
        <f>SUM(6D!F13,6D!F131,6D!F261,6D!F65,6D!F102)</f>
        <v>83937.95000000001</v>
      </c>
      <c r="D30" s="817">
        <f t="shared" si="2"/>
        <v>187.3991426849144</v>
      </c>
      <c r="E30" s="909">
        <f t="shared" si="3"/>
        <v>0.04230682843262156</v>
      </c>
      <c r="F30" s="217"/>
    </row>
    <row r="31" spans="1:6" ht="4.5" customHeight="1">
      <c r="A31" s="216"/>
      <c r="B31" s="813"/>
      <c r="C31" s="813"/>
      <c r="D31" s="907"/>
      <c r="E31" s="908"/>
      <c r="F31" s="217"/>
    </row>
    <row r="32" spans="1:6" ht="25.5">
      <c r="A32" s="220" t="s">
        <v>1305</v>
      </c>
      <c r="B32" s="813">
        <f>B33+B34</f>
        <v>27786517</v>
      </c>
      <c r="C32" s="813">
        <f>C33+C34</f>
        <v>30516269.48</v>
      </c>
      <c r="D32" s="907">
        <f>C32/B32*100</f>
        <v>109.82401817399425</v>
      </c>
      <c r="E32" s="908">
        <f>C32/$C$80*100</f>
        <v>15.380963882177317</v>
      </c>
      <c r="F32" s="217"/>
    </row>
    <row r="33" spans="1:6" ht="12.75">
      <c r="A33" s="218" t="s">
        <v>797</v>
      </c>
      <c r="B33" s="814">
        <f>SUM(6D!E124,6D!E276)</f>
        <v>26446517</v>
      </c>
      <c r="C33" s="814">
        <f>SUM(6D!F124,6D!F276)</f>
        <v>29332413</v>
      </c>
      <c r="D33" s="817">
        <f>C33/B33*100</f>
        <v>110.91219686887312</v>
      </c>
      <c r="E33" s="909">
        <f>C33/$C$80*100</f>
        <v>14.784270574940155</v>
      </c>
      <c r="F33" s="217"/>
    </row>
    <row r="34" spans="1:6" ht="12.75">
      <c r="A34" s="218" t="s">
        <v>798</v>
      </c>
      <c r="B34" s="814">
        <f>SUM(6D!E125,6D!E277)</f>
        <v>1340000</v>
      </c>
      <c r="C34" s="814">
        <f>SUM(6D!F125,6D!F277)</f>
        <v>1183856.48</v>
      </c>
      <c r="D34" s="817">
        <f>C34/B34*100</f>
        <v>88.34749850746269</v>
      </c>
      <c r="E34" s="909">
        <f>C34/$C$80*100</f>
        <v>0.5966933072371587</v>
      </c>
      <c r="F34" s="217"/>
    </row>
    <row r="35" spans="1:6" ht="3" customHeight="1">
      <c r="A35" s="216"/>
      <c r="B35" s="813"/>
      <c r="C35" s="813"/>
      <c r="D35" s="817"/>
      <c r="E35" s="908"/>
      <c r="F35" s="217"/>
    </row>
    <row r="36" spans="1:6" ht="38.25">
      <c r="A36" s="220" t="s">
        <v>1304</v>
      </c>
      <c r="B36" s="816">
        <f>SUM(6D!E18,6D!E202)</f>
        <v>33400</v>
      </c>
      <c r="C36" s="816">
        <f>SUM(6D!F18,6D!F202)</f>
        <v>33322.61</v>
      </c>
      <c r="D36" s="817">
        <f>C36/B36*100</f>
        <v>99.76829341317367</v>
      </c>
      <c r="E36" s="908">
        <f>C36/$C$80*100</f>
        <v>0.016795429769218325</v>
      </c>
      <c r="F36" s="217"/>
    </row>
    <row r="37" spans="1:6" ht="3" customHeight="1">
      <c r="A37" s="216"/>
      <c r="B37" s="813"/>
      <c r="C37" s="813"/>
      <c r="D37" s="907"/>
      <c r="E37" s="908"/>
      <c r="F37" s="217"/>
    </row>
    <row r="38" spans="1:6" ht="12.75">
      <c r="A38" s="216" t="s">
        <v>778</v>
      </c>
      <c r="B38" s="813">
        <f>SUM(6D!E14,6D!E22,6D!E32,6D!E41,6D!E43,6D!E44,6D!E45,6D!E66,6D!E68,6D!E132,6D!E200,6D!E212,6D!E213,6D!E262)</f>
        <v>17495822</v>
      </c>
      <c r="C38" s="813">
        <f>SUM(6D!F14,6D!F22,6D!F32,6D!F41,6D!F43,6D!F44,6D!F45,6D!F66,6D!F68,6D!F132,6D!F200,6D!F212,6D!F213,6D!F262)</f>
        <v>13163056.049999999</v>
      </c>
      <c r="D38" s="907">
        <f>C38/B38*100</f>
        <v>75.23542506319508</v>
      </c>
      <c r="E38" s="908">
        <f>C38/$C$80*100</f>
        <v>6.63450982489245</v>
      </c>
      <c r="F38" s="217"/>
    </row>
    <row r="39" spans="1:6" ht="3" customHeight="1">
      <c r="A39" s="216"/>
      <c r="B39" s="813"/>
      <c r="C39" s="813"/>
      <c r="D39" s="907"/>
      <c r="E39" s="908"/>
      <c r="F39" s="217"/>
    </row>
    <row r="40" spans="1:6" ht="25.5" customHeight="1">
      <c r="A40" s="220" t="s">
        <v>830</v>
      </c>
      <c r="B40" s="816">
        <f>SUM(6D!E133,6D!E190)</f>
        <v>600000</v>
      </c>
      <c r="C40" s="816">
        <f>SUM(6D!F133,6D!F190)</f>
        <v>872370.5700000001</v>
      </c>
      <c r="D40" s="907">
        <f>C40/B40*100</f>
        <v>145.395095</v>
      </c>
      <c r="E40" s="908">
        <f>C40/$C$80*100</f>
        <v>0.4396966096343582</v>
      </c>
      <c r="F40" s="217"/>
    </row>
    <row r="41" spans="1:6" ht="1.5" customHeight="1">
      <c r="A41" s="216" t="s">
        <v>779</v>
      </c>
      <c r="B41" s="813"/>
      <c r="C41" s="813"/>
      <c r="D41" s="907"/>
      <c r="E41" s="908"/>
      <c r="F41" s="217"/>
    </row>
    <row r="42" spans="1:6" ht="25.5" customHeight="1">
      <c r="A42" s="220" t="s">
        <v>1306</v>
      </c>
      <c r="B42" s="816">
        <f>SUM(6D!E15,6D!E23,6D!E46,6D!E69,6D!E94,6D!E101,6D!E113,6D!E114,6D!E121,6D!E122,6D!E177,6D!E182,6D!E214,6D!E263)</f>
        <v>9281300</v>
      </c>
      <c r="C42" s="816">
        <f>SUM(6D!F15,6D!F23,6D!F46,6D!F69,6D!F94,6D!F101,6D!F113,6D!F114,6D!F121,6D!F122,6D!F177,6D!F182,6D!F214,6D!F263)</f>
        <v>9365405.07</v>
      </c>
      <c r="D42" s="907">
        <f>C42/B42*100</f>
        <v>100.90617769062524</v>
      </c>
      <c r="E42" s="908">
        <f>C42/$C$80*100</f>
        <v>4.7203986456482925</v>
      </c>
      <c r="F42" s="217"/>
    </row>
    <row r="43" spans="1:6" ht="2.25" customHeight="1">
      <c r="A43" s="216"/>
      <c r="B43" s="813"/>
      <c r="C43" s="813"/>
      <c r="D43" s="907"/>
      <c r="E43" s="908"/>
      <c r="F43" s="217"/>
    </row>
    <row r="44" spans="1:6" ht="18" customHeight="1">
      <c r="A44" s="220" t="s">
        <v>782</v>
      </c>
      <c r="B44" s="816">
        <f>SUM(B45,B46,B47,B48,B49,B50,B51,B52,B53)</f>
        <v>22834468</v>
      </c>
      <c r="C44" s="816">
        <f>SUM(C45,C46,C47,C48,C49,C50,C51,C52,C53)</f>
        <v>22003821.35</v>
      </c>
      <c r="D44" s="907">
        <f aca="true" t="shared" si="4" ref="D44:D53">C44/B44*100</f>
        <v>96.36231222903902</v>
      </c>
      <c r="E44" s="908">
        <f aca="true" t="shared" si="5" ref="E44:E53">C44/$C$80*100</f>
        <v>11.090476890566249</v>
      </c>
      <c r="F44" s="217"/>
    </row>
    <row r="45" spans="1:6" ht="14.25" customHeight="1">
      <c r="A45" s="219" t="s">
        <v>1343</v>
      </c>
      <c r="B45" s="815">
        <f>SUM(6D!E21,6D!E37,6D!E42,6D!E51,6D!E55,6D!E57,6D!E59,6D!E86,6D!E130,6D!E140,6D!E185,6D!E204,6D!E234,6D!E238,6D!E239,6D!E253)</f>
        <v>210200</v>
      </c>
      <c r="C45" s="815">
        <f>SUM(6D!F21,6D!F37,6D!F42,6D!F51,6D!F55,6D!F57,6D!F59,6D!F86,6D!F130,6D!F140,6D!F185,6D!F204,6D!F234,6D!F238,6D!F239,6D!F253)</f>
        <v>103158.32</v>
      </c>
      <c r="D45" s="817">
        <f t="shared" si="4"/>
        <v>49.0762702188392</v>
      </c>
      <c r="E45" s="909">
        <f t="shared" si="5"/>
        <v>0.05199437615092426</v>
      </c>
      <c r="F45" s="217"/>
    </row>
    <row r="46" spans="1:6" ht="14.25" customHeight="1">
      <c r="A46" s="218" t="s">
        <v>800</v>
      </c>
      <c r="B46" s="815">
        <f>SUM(6D!E60,6D!E67,6D!E181,6D!E164)</f>
        <v>245200</v>
      </c>
      <c r="C46" s="815">
        <f>SUM(6D!F60,6D!F67,6D!F181,6D!F164)</f>
        <v>268442.6</v>
      </c>
      <c r="D46" s="817">
        <f t="shared" si="4"/>
        <v>109.4790375203915</v>
      </c>
      <c r="E46" s="909">
        <f t="shared" si="5"/>
        <v>0.13530179164736397</v>
      </c>
      <c r="F46" s="217"/>
    </row>
    <row r="47" spans="1:5" s="230" customFormat="1" ht="14.25" customHeight="1">
      <c r="A47" s="218" t="s">
        <v>1007</v>
      </c>
      <c r="B47" s="817">
        <f>SUM(6D!E71,6D!E264)</f>
        <v>886500</v>
      </c>
      <c r="C47" s="817">
        <f>SUM(6D!F71,6D!F264)</f>
        <v>756854.18</v>
      </c>
      <c r="D47" s="817">
        <f t="shared" si="4"/>
        <v>85.37554201917655</v>
      </c>
      <c r="E47" s="909">
        <f t="shared" si="5"/>
        <v>0.3814734567829269</v>
      </c>
    </row>
    <row r="48" spans="1:5" s="230" customFormat="1" ht="14.25" customHeight="1">
      <c r="A48" s="218" t="s">
        <v>918</v>
      </c>
      <c r="B48" s="817">
        <f>SUM(6D!E313)</f>
        <v>115500</v>
      </c>
      <c r="C48" s="817">
        <f>SUM(6D!F313)</f>
        <v>115500</v>
      </c>
      <c r="D48" s="817">
        <f t="shared" si="4"/>
        <v>100</v>
      </c>
      <c r="E48" s="909">
        <f t="shared" si="5"/>
        <v>0.05821489188105964</v>
      </c>
    </row>
    <row r="49" spans="1:6" ht="13.5" customHeight="1">
      <c r="A49" s="218" t="s">
        <v>802</v>
      </c>
      <c r="B49" s="814">
        <f>SUM(6D!E26,6D!E28,6D!E34,6D!E52,6D!E90,6D!E144,6D!E205,6D!E235,6D!E241)</f>
        <v>13601091</v>
      </c>
      <c r="C49" s="814">
        <f>SUM(6D!F26,6D!F28,6D!F34,6D!F52,6D!F90,6D!F144,6D!F205,6D!F235,6D!F241)</f>
        <v>12830677.020000001</v>
      </c>
      <c r="D49" s="817">
        <f t="shared" si="4"/>
        <v>94.33564572136163</v>
      </c>
      <c r="E49" s="909">
        <f t="shared" si="5"/>
        <v>6.466982471689148</v>
      </c>
      <c r="F49" s="217"/>
    </row>
    <row r="50" spans="1:6" ht="13.5" customHeight="1">
      <c r="A50" s="218" t="s">
        <v>582</v>
      </c>
      <c r="B50" s="818">
        <f>6D!E227+6D!E222</f>
        <v>343400</v>
      </c>
      <c r="C50" s="818">
        <f>6D!F227+6D!F222</f>
        <v>343400</v>
      </c>
      <c r="D50" s="817">
        <f>C50/B50*100</f>
        <v>100</v>
      </c>
      <c r="E50" s="909">
        <f>C50/$C$80*100</f>
        <v>0.17308219802559202</v>
      </c>
      <c r="F50" s="217"/>
    </row>
    <row r="51" spans="1:6" ht="13.5" customHeight="1">
      <c r="A51" s="218" t="s">
        <v>1023</v>
      </c>
      <c r="B51" s="814">
        <f>6D!E221</f>
        <v>1500000</v>
      </c>
      <c r="C51" s="814">
        <f>6D!F221</f>
        <v>1500000</v>
      </c>
      <c r="D51" s="817">
        <f>C51/B51*100</f>
        <v>100</v>
      </c>
      <c r="E51" s="909">
        <f>C51/$C$80*100</f>
        <v>0.7560375568968783</v>
      </c>
      <c r="F51" s="217"/>
    </row>
    <row r="52" spans="1:6" ht="13.5" customHeight="1">
      <c r="A52" s="218" t="s">
        <v>688</v>
      </c>
      <c r="B52" s="814">
        <f>SUM(6D!E141,6D!E175,6D!E218,6D!E225)</f>
        <v>196623</v>
      </c>
      <c r="C52" s="814">
        <f>SUM(6D!F141,6D!F175,6D!F218,6D!F225)</f>
        <v>199288.24</v>
      </c>
      <c r="D52" s="817">
        <f t="shared" si="4"/>
        <v>101.35550774833055</v>
      </c>
      <c r="E52" s="909">
        <f t="shared" si="5"/>
        <v>0.1004462627252525</v>
      </c>
      <c r="F52" s="217"/>
    </row>
    <row r="53" spans="1:6" ht="13.5" customHeight="1">
      <c r="A53" s="218" t="s">
        <v>919</v>
      </c>
      <c r="B53" s="814">
        <f>SUM(6D!E24,6D!E24,6D!E33,6D!E47,6D!E88,6D!E70,6D!E134,6D!E143,6D!E152,6D!E154,6D!E156,6D!E162,6D!E167,6D!E172,6D!E178,6D!E201,6D!E208,6D!E215,6D!E240,6D!E297,6D!E301,6D!E311,6D!E335)</f>
        <v>5735954</v>
      </c>
      <c r="C53" s="814">
        <f>SUM(6D!F24,6D!F24,6D!F33,6D!F47,6D!F88,6D!F70,6D!F134,6D!F143,6D!F152,6D!F154,6D!F156,6D!F162,6D!F167,6D!F172,6D!F178,6D!F201,6D!F208,6D!F215,6D!F240,6D!F297,6D!F301,6D!F311,6D!F335)</f>
        <v>5886500.990000001</v>
      </c>
      <c r="D53" s="817">
        <f t="shared" si="4"/>
        <v>102.62461989757938</v>
      </c>
      <c r="E53" s="909">
        <f t="shared" si="5"/>
        <v>2.9669438847671046</v>
      </c>
      <c r="F53" s="217"/>
    </row>
    <row r="54" spans="1:5" s="241" customFormat="1" ht="10.5" customHeight="1">
      <c r="A54" s="1119"/>
      <c r="B54" s="1120"/>
      <c r="C54" s="1120"/>
      <c r="D54" s="817"/>
      <c r="E54" s="909"/>
    </row>
    <row r="55" spans="1:5" s="222" customFormat="1" ht="12.75">
      <c r="A55" s="235" t="s">
        <v>783</v>
      </c>
      <c r="B55" s="812">
        <f>SUM(B56,B57,B60,B61)</f>
        <v>54138436</v>
      </c>
      <c r="C55" s="812">
        <f>SUM(C56,C57,C60,C61)</f>
        <v>54138436</v>
      </c>
      <c r="D55" s="905">
        <f aca="true" t="shared" si="6" ref="D55:D61">C55/B55*100</f>
        <v>100</v>
      </c>
      <c r="E55" s="906">
        <f aca="true" t="shared" si="7" ref="E55:E61">C55/$C$80*100</f>
        <v>27.287127258438677</v>
      </c>
    </row>
    <row r="56" spans="1:6" ht="12.75">
      <c r="A56" s="231" t="s">
        <v>803</v>
      </c>
      <c r="B56" s="813">
        <f>SUM(6D!E128,6D!E280)</f>
        <v>29673185</v>
      </c>
      <c r="C56" s="813">
        <f>SUM(6D!F128,6D!F280)</f>
        <v>29673185</v>
      </c>
      <c r="D56" s="907">
        <f t="shared" si="6"/>
        <v>100</v>
      </c>
      <c r="E56" s="908">
        <f t="shared" si="7"/>
        <v>14.956028195166066</v>
      </c>
      <c r="F56" s="217"/>
    </row>
    <row r="57" spans="1:6" ht="12.75">
      <c r="A57" s="231" t="s">
        <v>804</v>
      </c>
      <c r="B57" s="813">
        <f>SUM(B58,B59)</f>
        <v>23131000</v>
      </c>
      <c r="C57" s="813">
        <f>SUM(C58,C59)</f>
        <v>23131000</v>
      </c>
      <c r="D57" s="907">
        <f t="shared" si="6"/>
        <v>100</v>
      </c>
      <c r="E57" s="908">
        <f t="shared" si="7"/>
        <v>11.658603152387796</v>
      </c>
      <c r="F57" s="217"/>
    </row>
    <row r="58" spans="1:5" s="233" customFormat="1" ht="15" customHeight="1">
      <c r="A58" s="234" t="s">
        <v>568</v>
      </c>
      <c r="B58" s="819">
        <f>SUM(6D!E282)</f>
        <v>22000000</v>
      </c>
      <c r="C58" s="819">
        <f>SUM(6D!F282)</f>
        <v>22000000</v>
      </c>
      <c r="D58" s="817">
        <f t="shared" si="6"/>
        <v>100</v>
      </c>
      <c r="E58" s="909">
        <f t="shared" si="7"/>
        <v>11.088550834487549</v>
      </c>
    </row>
    <row r="59" spans="1:5" s="233" customFormat="1" ht="15" customHeight="1">
      <c r="A59" s="234" t="s">
        <v>569</v>
      </c>
      <c r="B59" s="819">
        <f>SUM(6D!E283)</f>
        <v>1131000</v>
      </c>
      <c r="C59" s="819">
        <f>SUM(6D!F283)</f>
        <v>1131000</v>
      </c>
      <c r="D59" s="817">
        <f t="shared" si="6"/>
        <v>100</v>
      </c>
      <c r="E59" s="909">
        <f t="shared" si="7"/>
        <v>0.5700523179002462</v>
      </c>
    </row>
    <row r="60" spans="1:5" s="233" customFormat="1" ht="12.75">
      <c r="A60" s="232" t="s">
        <v>45</v>
      </c>
      <c r="B60" s="820">
        <f>SUM(6D!E286)</f>
        <v>1266287</v>
      </c>
      <c r="C60" s="820">
        <f>SUM(6D!F286)</f>
        <v>1266287</v>
      </c>
      <c r="D60" s="907">
        <f t="shared" si="6"/>
        <v>100</v>
      </c>
      <c r="E60" s="908">
        <f t="shared" si="7"/>
        <v>0.6382403532068516</v>
      </c>
    </row>
    <row r="61" spans="1:5" s="233" customFormat="1" ht="12.75">
      <c r="A61" s="232" t="s">
        <v>567</v>
      </c>
      <c r="B61" s="821">
        <f>6D!E285</f>
        <v>67964</v>
      </c>
      <c r="C61" s="821">
        <f>6D!F285</f>
        <v>67964</v>
      </c>
      <c r="D61" s="907">
        <f t="shared" si="6"/>
        <v>100</v>
      </c>
      <c r="E61" s="908">
        <f t="shared" si="7"/>
        <v>0.034255557677959625</v>
      </c>
    </row>
    <row r="62" spans="1:5" s="233" customFormat="1" ht="12.75">
      <c r="A62" s="232"/>
      <c r="B62" s="820"/>
      <c r="C62" s="820"/>
      <c r="D62" s="907"/>
      <c r="E62" s="908"/>
    </row>
    <row r="63" spans="1:5" s="233" customFormat="1" ht="12.75">
      <c r="A63" s="238" t="s">
        <v>917</v>
      </c>
      <c r="B63" s="822">
        <f>SUM(B64,B68,B72,B76)</f>
        <v>18865420.560000002</v>
      </c>
      <c r="C63" s="822">
        <f>SUM(C64,C68,C72,C76)</f>
        <v>18453572.98</v>
      </c>
      <c r="D63" s="905">
        <f>C63/B63*100</f>
        <v>97.81691810850359</v>
      </c>
      <c r="E63" s="906">
        <f>C63/$C$80*100</f>
        <v>9.301062821211632</v>
      </c>
    </row>
    <row r="64" spans="1:5" s="222" customFormat="1" ht="12.75">
      <c r="A64" s="236" t="s">
        <v>570</v>
      </c>
      <c r="B64" s="813">
        <f>B65+B66</f>
        <v>5813730</v>
      </c>
      <c r="C64" s="813">
        <f>C65+C66</f>
        <v>5470881.66</v>
      </c>
      <c r="D64" s="907">
        <f>C64/B64*100</f>
        <v>94.10278186293482</v>
      </c>
      <c r="E64" s="908">
        <f>C64/$C$80*100</f>
        <v>2.7574613361988924</v>
      </c>
    </row>
    <row r="65" spans="1:6" ht="12.75">
      <c r="A65" s="237" t="s">
        <v>805</v>
      </c>
      <c r="B65" s="814">
        <f>SUM(6D!E244,6D!E290,6D!E291,6D!E304,6D!E306,6D!E315,6D!E317,6D!E321,6D!E322,6D!E325,6D!E331,6D!E332)</f>
        <v>1489115</v>
      </c>
      <c r="C65" s="814">
        <f>SUM(6D!F244,6D!F290,6D!F291,6D!F304,6D!F306,6D!F315,6D!F317,6D!F321,6D!F322,6D!F325,6D!F331,6D!F332)</f>
        <v>1480140.46</v>
      </c>
      <c r="D65" s="817">
        <f>C65/B65*100</f>
        <v>99.3973239138683</v>
      </c>
      <c r="E65" s="909">
        <f>C65/$C$80*100</f>
        <v>0.7460278514950812</v>
      </c>
      <c r="F65" s="217"/>
    </row>
    <row r="66" spans="1:5" s="233" customFormat="1" ht="12.75">
      <c r="A66" s="234" t="s">
        <v>806</v>
      </c>
      <c r="B66" s="819">
        <f>SUM(6D!E38,6D!E73,6D!E75,6D!E135,6D!E138,6D!E148,6D!E149,6D!E174,6D!E179,6D!E187,6D!E191,6D!E193,6D!E197,6D!E223)</f>
        <v>4324615</v>
      </c>
      <c r="C66" s="819">
        <f>SUM(6D!F38,6D!F73,6D!F75,6D!F135,6D!F138,6D!F148,6D!F149,6D!F174,6D!F179,6D!F187,6D!F191,6D!F193,6D!F197,6D!F223)</f>
        <v>3990741.2</v>
      </c>
      <c r="D66" s="817">
        <f>C66/B66*100</f>
        <v>92.27968732476765</v>
      </c>
      <c r="E66" s="909">
        <f>C66/$C$80*100</f>
        <v>2.0114334847038116</v>
      </c>
    </row>
    <row r="67" spans="1:5" s="233" customFormat="1" ht="12.75">
      <c r="A67" s="232"/>
      <c r="B67" s="820"/>
      <c r="C67" s="820"/>
      <c r="D67" s="907"/>
      <c r="E67" s="908"/>
    </row>
    <row r="68" spans="1:5" s="239" customFormat="1" ht="15" customHeight="1">
      <c r="A68" s="236" t="s">
        <v>810</v>
      </c>
      <c r="B68" s="820">
        <f>SUM(B69,B70)</f>
        <v>12046514.56</v>
      </c>
      <c r="C68" s="820">
        <f>SUM(C69,C70)</f>
        <v>11982126.86</v>
      </c>
      <c r="D68" s="907">
        <f>C68/B68*100</f>
        <v>99.4655076397467</v>
      </c>
      <c r="E68" s="908">
        <f>C68/$C$80*100</f>
        <v>6.039291945108576</v>
      </c>
    </row>
    <row r="69" spans="1:6" ht="12.75">
      <c r="A69" s="237" t="s">
        <v>808</v>
      </c>
      <c r="B69" s="814">
        <f>SUM(6D!E231,6D!E247,6D!E248,6D!E251,6D!E254,6D!E256,6D!E259,6D!E266,6D!E270,6D!E271,6D!E294,6D!E299,6D!E309)</f>
        <v>5230441</v>
      </c>
      <c r="C69" s="814">
        <f>SUM(6D!F231,6D!F247,6D!F248,6D!F251,6D!F254,6D!F256,6D!F259,6D!F266,6D!F270,6D!F271,6D!F294,6D!F299,6D!F309)</f>
        <v>5187638.54</v>
      </c>
      <c r="D69" s="817">
        <f>C69/B69*100</f>
        <v>99.18166632603254</v>
      </c>
      <c r="E69" s="909">
        <f>C69/$C$80*100</f>
        <v>2.614699711897126</v>
      </c>
      <c r="F69" s="217"/>
    </row>
    <row r="70" spans="1:6" ht="12.75">
      <c r="A70" s="234" t="s">
        <v>809</v>
      </c>
      <c r="B70" s="814">
        <f>SUM(6D!E10,6D!E48,6D!E63,6D!E79,6D!E81,6D!E84,6D!E146,6D!E158,6D!E165,6D!E168,6D!E170,6D!E173,6D!E183)</f>
        <v>6816073.5600000005</v>
      </c>
      <c r="C70" s="814">
        <f>SUM(6D!F10,6D!F48,6D!F63,6D!F79,6D!F81,6D!F84,6D!F146,6D!F158,6D!F165,6D!F168,6D!F170,6D!F173,6D!F183)</f>
        <v>6794488.319999999</v>
      </c>
      <c r="D70" s="817">
        <f>C70/B70*100</f>
        <v>99.68331855855146</v>
      </c>
      <c r="E70" s="909">
        <f>C70/$C$80*100</f>
        <v>3.4245922332114502</v>
      </c>
      <c r="F70" s="217"/>
    </row>
    <row r="71" spans="1:6" ht="12.75">
      <c r="A71" s="231"/>
      <c r="B71" s="813"/>
      <c r="C71" s="813"/>
      <c r="D71" s="907"/>
      <c r="E71" s="908"/>
      <c r="F71" s="217"/>
    </row>
    <row r="72" spans="1:5" s="222" customFormat="1" ht="25.5">
      <c r="A72" s="236" t="s">
        <v>1309</v>
      </c>
      <c r="B72" s="813">
        <f>B73+B74</f>
        <v>940947</v>
      </c>
      <c r="C72" s="813">
        <f>C73+C74</f>
        <v>940291.27</v>
      </c>
      <c r="D72" s="907">
        <f>C72/B72*100</f>
        <v>99.93031169662054</v>
      </c>
      <c r="E72" s="908">
        <f>C72/$C$80*100</f>
        <v>0.4739303430281754</v>
      </c>
    </row>
    <row r="73" spans="1:6" ht="12.75">
      <c r="A73" s="237" t="s">
        <v>808</v>
      </c>
      <c r="B73" s="814">
        <f>SUM(6D!E242,6D!E267)</f>
        <v>881045</v>
      </c>
      <c r="C73" s="814">
        <f>SUM(6D!F242,6D!F267)</f>
        <v>881045</v>
      </c>
      <c r="D73" s="817">
        <f>C73/B73*100</f>
        <v>100</v>
      </c>
      <c r="E73" s="909">
        <f>C73/$C$80*100</f>
        <v>0.44406873954414017</v>
      </c>
      <c r="F73" s="217"/>
    </row>
    <row r="74" spans="1:6" ht="12.75">
      <c r="A74" s="234" t="s">
        <v>809</v>
      </c>
      <c r="B74" s="814">
        <f>SUM(6D!E49,6D!E147,6D!E159,6D!E186)</f>
        <v>59902</v>
      </c>
      <c r="C74" s="814">
        <f>SUM(6D!F49,6D!F147,6D!F159,6D!F186)</f>
        <v>59246.270000000004</v>
      </c>
      <c r="D74" s="817">
        <f>C74/B74*100</f>
        <v>98.90532870354913</v>
      </c>
      <c r="E74" s="909">
        <f>C74/$C$80*100</f>
        <v>0.029861603484035215</v>
      </c>
      <c r="F74" s="217"/>
    </row>
    <row r="75" spans="1:6" ht="12.75">
      <c r="A75" s="234"/>
      <c r="B75" s="814"/>
      <c r="C75" s="814"/>
      <c r="D75" s="817"/>
      <c r="E75" s="909"/>
      <c r="F75" s="217"/>
    </row>
    <row r="76" spans="1:5" s="222" customFormat="1" ht="25.5">
      <c r="A76" s="236" t="s">
        <v>969</v>
      </c>
      <c r="B76" s="813">
        <f>SUM(B77,B78)</f>
        <v>64229</v>
      </c>
      <c r="C76" s="813">
        <f>SUM(C77,C78)</f>
        <v>60273.19</v>
      </c>
      <c r="D76" s="907">
        <f>C76/B76*100</f>
        <v>93.84108424543432</v>
      </c>
      <c r="E76" s="908">
        <f>C76/$C$80*100</f>
        <v>0.030379196875987575</v>
      </c>
    </row>
    <row r="77" spans="1:6" ht="12.75">
      <c r="A77" s="237" t="s">
        <v>808</v>
      </c>
      <c r="B77" s="814">
        <f>SUM(6D!E302,6D!E326,6D!E328)</f>
        <v>64229</v>
      </c>
      <c r="C77" s="814">
        <f>SUM(6D!F302,6D!F326,6D!F328)</f>
        <v>60273.19</v>
      </c>
      <c r="D77" s="817">
        <f>C77/B77*100</f>
        <v>93.84108424543432</v>
      </c>
      <c r="E77" s="909">
        <f>C77/$C$80*100</f>
        <v>0.030379196875987575</v>
      </c>
      <c r="F77" s="217"/>
    </row>
    <row r="78" spans="1:6" ht="12.75">
      <c r="A78" s="237" t="s">
        <v>809</v>
      </c>
      <c r="B78" s="814">
        <f>SUM(6D!E89)</f>
        <v>0</v>
      </c>
      <c r="C78" s="814">
        <f>SUM(6D!F89)</f>
        <v>0</v>
      </c>
      <c r="D78" s="910" t="s">
        <v>1081</v>
      </c>
      <c r="E78" s="909">
        <f>C78/$C$80*100</f>
        <v>0</v>
      </c>
      <c r="F78" s="217"/>
    </row>
    <row r="79" spans="1:6" ht="13.5" thickBot="1">
      <c r="A79" s="216"/>
      <c r="B79" s="813"/>
      <c r="C79" s="813"/>
      <c r="D79" s="911"/>
      <c r="E79" s="908"/>
      <c r="F79" s="217"/>
    </row>
    <row r="80" spans="1:5" s="240" customFormat="1" ht="23.25" customHeight="1" thickBot="1">
      <c r="A80" s="414" t="s">
        <v>801</v>
      </c>
      <c r="B80" s="823">
        <f>SUM(B8,B55,B63)</f>
        <v>199875894.56</v>
      </c>
      <c r="C80" s="823">
        <f>SUM(C8,C55,C63)</f>
        <v>198402842.07</v>
      </c>
      <c r="D80" s="912">
        <f>C80/B80*100</f>
        <v>99.26301643665299</v>
      </c>
      <c r="E80" s="913">
        <f>C80/$C$80*100</f>
        <v>100</v>
      </c>
    </row>
    <row r="81" spans="1:6" ht="12.75">
      <c r="A81" s="223" t="s">
        <v>968</v>
      </c>
      <c r="B81" s="387">
        <v>199875894.56</v>
      </c>
      <c r="C81" s="387">
        <v>198402842.07</v>
      </c>
      <c r="F81" s="217"/>
    </row>
    <row r="82" spans="1:6" ht="12.75">
      <c r="A82" s="223" t="s">
        <v>799</v>
      </c>
      <c r="B82" s="242">
        <f>B81-B80</f>
        <v>0</v>
      </c>
      <c r="C82" s="242">
        <f>C81-C80</f>
        <v>0</v>
      </c>
      <c r="F82" s="217"/>
    </row>
    <row r="83" spans="1:3" ht="12.75">
      <c r="A83" s="243"/>
      <c r="B83" s="243"/>
      <c r="C83" s="244"/>
    </row>
    <row r="125" s="224" customFormat="1" ht="12.75"/>
    <row r="126" s="224" customFormat="1" ht="12.75" customHeight="1"/>
    <row r="181" s="224" customFormat="1" ht="12.75"/>
    <row r="182" s="224" customFormat="1" ht="12.75" customHeight="1"/>
  </sheetData>
  <sheetProtection/>
  <mergeCells count="2">
    <mergeCell ref="D1:E1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701"/>
  <sheetViews>
    <sheetView view="pageBreakPreview" zoomScale="120" zoomScaleSheetLayoutView="120" workbookViewId="0" topLeftCell="A657">
      <selection activeCell="D680" sqref="D680"/>
    </sheetView>
  </sheetViews>
  <sheetFormatPr defaultColWidth="9.00390625" defaultRowHeight="18.75" customHeight="1"/>
  <cols>
    <col min="1" max="1" width="5.25390625" style="309" customWidth="1"/>
    <col min="2" max="2" width="8.00390625" style="309" customWidth="1"/>
    <col min="3" max="3" width="41.375" style="310" customWidth="1"/>
    <col min="4" max="4" width="13.875" style="311" customWidth="1"/>
    <col min="5" max="5" width="13.375" style="952" customWidth="1"/>
    <col min="6" max="6" width="5.75390625" style="952" customWidth="1"/>
    <col min="7" max="7" width="13.00390625" style="82" customWidth="1"/>
    <col min="8" max="8" width="12.25390625" style="78" customWidth="1"/>
    <col min="9" max="16384" width="9.125" style="311" customWidth="1"/>
  </cols>
  <sheetData>
    <row r="1" spans="5:6" ht="18.75" customHeight="1">
      <c r="E1" s="1432" t="s">
        <v>243</v>
      </c>
      <c r="F1" s="1432"/>
    </row>
    <row r="2" ht="21.75" customHeight="1"/>
    <row r="3" spans="1:8" s="312" customFormat="1" ht="18.75" customHeight="1">
      <c r="A3" s="1411" t="s">
        <v>1055</v>
      </c>
      <c r="B3" s="1411"/>
      <c r="C3" s="1411"/>
      <c r="D3" s="1411"/>
      <c r="E3" s="1411"/>
      <c r="F3" s="953"/>
      <c r="G3" s="82"/>
      <c r="H3" s="81"/>
    </row>
    <row r="4" spans="1:8" s="312" customFormat="1" ht="13.5" customHeight="1" thickBot="1">
      <c r="A4" s="313"/>
      <c r="B4" s="313"/>
      <c r="C4" s="314"/>
      <c r="D4" s="313"/>
      <c r="E4" s="954"/>
      <c r="F4" s="315" t="s">
        <v>833</v>
      </c>
      <c r="G4" s="82"/>
      <c r="H4" s="81"/>
    </row>
    <row r="5" spans="1:8" s="312" customFormat="1" ht="18.75" customHeight="1">
      <c r="A5" s="643" t="s">
        <v>284</v>
      </c>
      <c r="B5" s="644" t="s">
        <v>834</v>
      </c>
      <c r="C5" s="644" t="s">
        <v>835</v>
      </c>
      <c r="D5" s="645" t="s">
        <v>836</v>
      </c>
      <c r="E5" s="645" t="s">
        <v>837</v>
      </c>
      <c r="F5" s="646" t="s">
        <v>838</v>
      </c>
      <c r="G5" s="82"/>
      <c r="H5" s="81"/>
    </row>
    <row r="6" spans="1:8" s="83" customFormat="1" ht="11.25" customHeight="1" thickBot="1">
      <c r="A6" s="558">
        <v>1</v>
      </c>
      <c r="B6" s="559">
        <v>2</v>
      </c>
      <c r="C6" s="559">
        <v>3</v>
      </c>
      <c r="D6" s="561">
        <v>4</v>
      </c>
      <c r="E6" s="561">
        <v>5</v>
      </c>
      <c r="F6" s="562">
        <v>6</v>
      </c>
      <c r="G6" s="82"/>
      <c r="H6" s="82"/>
    </row>
    <row r="7" spans="1:6" s="82" customFormat="1" ht="19.5" customHeight="1">
      <c r="A7" s="1478" t="s">
        <v>871</v>
      </c>
      <c r="B7" s="1479"/>
      <c r="C7" s="1479"/>
      <c r="D7" s="801">
        <f>SUM(D8,D22,D25,D28,D35,D53,D63,D76,D88,D111,D124,D143,D149,D154,D157,D208,D244,D293,D308,D332,D354,D387)</f>
        <v>140184764.56</v>
      </c>
      <c r="E7" s="801">
        <f>SUM(E8,E22,E25,E28,E35,E53,E63,E76,E88,E111,E124,E143,E149,E154,E157,E208,E244,E293,E308,E332,E354,E387)</f>
        <v>134664478.31</v>
      </c>
      <c r="F7" s="985">
        <f>E7/D7*100</f>
        <v>96.06213537731678</v>
      </c>
    </row>
    <row r="8" spans="1:7" s="81" customFormat="1" ht="18.75" customHeight="1">
      <c r="A8" s="317" t="s">
        <v>839</v>
      </c>
      <c r="B8" s="318"/>
      <c r="C8" s="335" t="s">
        <v>285</v>
      </c>
      <c r="D8" s="914">
        <f>SUM(D9,D15,D17)</f>
        <v>77881.56</v>
      </c>
      <c r="E8" s="914">
        <f>SUM(E9,E15,E17)</f>
        <v>75818.03</v>
      </c>
      <c r="F8" s="915">
        <f>E8/D8*100</f>
        <v>97.35042544088742</v>
      </c>
      <c r="G8" s="82"/>
    </row>
    <row r="9" spans="1:7" s="78" customFormat="1" ht="18.75" customHeight="1">
      <c r="A9" s="319"/>
      <c r="B9" s="320" t="s">
        <v>286</v>
      </c>
      <c r="C9" s="324" t="s">
        <v>287</v>
      </c>
      <c r="D9" s="844">
        <f>D10</f>
        <v>43000</v>
      </c>
      <c r="E9" s="844">
        <f>E10</f>
        <v>42971</v>
      </c>
      <c r="F9" s="916">
        <f aca="true" t="shared" si="0" ref="F9:F27">E9/D9*100</f>
        <v>99.93255813953489</v>
      </c>
      <c r="G9" s="82"/>
    </row>
    <row r="10" spans="1:7" s="323" customFormat="1" ht="18.75" customHeight="1">
      <c r="A10" s="321"/>
      <c r="B10" s="322"/>
      <c r="C10" s="161" t="s">
        <v>288</v>
      </c>
      <c r="D10" s="845">
        <v>43000</v>
      </c>
      <c r="E10" s="845">
        <v>42971</v>
      </c>
      <c r="F10" s="917">
        <f t="shared" si="0"/>
        <v>99.93255813953489</v>
      </c>
      <c r="G10" s="991"/>
    </row>
    <row r="11" spans="1:7" s="323" customFormat="1" ht="12" customHeight="1">
      <c r="A11" s="321"/>
      <c r="B11" s="322"/>
      <c r="C11" s="327" t="s">
        <v>305</v>
      </c>
      <c r="D11" s="918"/>
      <c r="E11" s="918"/>
      <c r="F11" s="919"/>
      <c r="G11" s="991"/>
    </row>
    <row r="12" spans="1:7" s="337" customFormat="1" ht="18.75" customHeight="1">
      <c r="A12" s="340"/>
      <c r="B12" s="341"/>
      <c r="C12" s="331" t="s">
        <v>307</v>
      </c>
      <c r="D12" s="920">
        <f>SUM(D13,D14)</f>
        <v>40194</v>
      </c>
      <c r="E12" s="920">
        <f>SUM(E13,E14)</f>
        <v>40165</v>
      </c>
      <c r="F12" s="921">
        <f>E12/D12*100</f>
        <v>99.92784992784993</v>
      </c>
      <c r="G12" s="991"/>
    </row>
    <row r="13" spans="1:7" s="323" customFormat="1" ht="18.75" customHeight="1">
      <c r="A13" s="321"/>
      <c r="B13" s="322"/>
      <c r="C13" s="333" t="s">
        <v>280</v>
      </c>
      <c r="D13" s="918">
        <v>40194</v>
      </c>
      <c r="E13" s="918">
        <v>40165</v>
      </c>
      <c r="F13" s="922">
        <f>E13/D13*100</f>
        <v>99.92784992784993</v>
      </c>
      <c r="G13" s="991"/>
    </row>
    <row r="14" spans="1:7" s="323" customFormat="1" ht="18.75" customHeight="1" hidden="1">
      <c r="A14" s="321"/>
      <c r="B14" s="322"/>
      <c r="C14" s="333" t="s">
        <v>281</v>
      </c>
      <c r="D14" s="759">
        <v>0</v>
      </c>
      <c r="E14" s="759">
        <v>0</v>
      </c>
      <c r="F14" s="763" t="e">
        <f>E14/D14*100</f>
        <v>#DIV/0!</v>
      </c>
      <c r="G14" s="991"/>
    </row>
    <row r="15" spans="1:7" s="78" customFormat="1" ht="18.75" customHeight="1">
      <c r="A15" s="319"/>
      <c r="B15" s="320" t="s">
        <v>289</v>
      </c>
      <c r="C15" s="339" t="s">
        <v>290</v>
      </c>
      <c r="D15" s="844">
        <f>D16</f>
        <v>1200</v>
      </c>
      <c r="E15" s="844">
        <f>E16</f>
        <v>1062.13</v>
      </c>
      <c r="F15" s="916">
        <f t="shared" si="0"/>
        <v>88.51083333333334</v>
      </c>
      <c r="G15" s="82"/>
    </row>
    <row r="16" spans="1:7" s="323" customFormat="1" ht="18.75" customHeight="1">
      <c r="A16" s="321"/>
      <c r="B16" s="322"/>
      <c r="C16" s="161" t="s">
        <v>288</v>
      </c>
      <c r="D16" s="845">
        <v>1200</v>
      </c>
      <c r="E16" s="845">
        <v>1062.13</v>
      </c>
      <c r="F16" s="917">
        <f t="shared" si="0"/>
        <v>88.51083333333334</v>
      </c>
      <c r="G16" s="991"/>
    </row>
    <row r="17" spans="1:7" s="78" customFormat="1" ht="18.75" customHeight="1">
      <c r="A17" s="319"/>
      <c r="B17" s="320" t="s">
        <v>291</v>
      </c>
      <c r="C17" s="172" t="s">
        <v>840</v>
      </c>
      <c r="D17" s="844">
        <f>D18</f>
        <v>33681.56</v>
      </c>
      <c r="E17" s="844">
        <f>E18</f>
        <v>31784.9</v>
      </c>
      <c r="F17" s="916">
        <f t="shared" si="0"/>
        <v>94.36884752368954</v>
      </c>
      <c r="G17" s="82"/>
    </row>
    <row r="18" spans="1:7" s="323" customFormat="1" ht="18.75" customHeight="1">
      <c r="A18" s="321"/>
      <c r="B18" s="322"/>
      <c r="C18" s="161" t="s">
        <v>288</v>
      </c>
      <c r="D18" s="845">
        <v>33681.56</v>
      </c>
      <c r="E18" s="845">
        <v>31784.9</v>
      </c>
      <c r="F18" s="917">
        <f t="shared" si="0"/>
        <v>94.36884752368954</v>
      </c>
      <c r="G18" s="991"/>
    </row>
    <row r="19" spans="1:7" s="323" customFormat="1" ht="10.5" customHeight="1" hidden="1">
      <c r="A19" s="321"/>
      <c r="B19" s="322"/>
      <c r="C19" s="327" t="s">
        <v>305</v>
      </c>
      <c r="D19" s="759"/>
      <c r="E19" s="759"/>
      <c r="F19" s="760"/>
      <c r="G19" s="991"/>
    </row>
    <row r="20" spans="1:7" s="337" customFormat="1" ht="18.75" customHeight="1" hidden="1">
      <c r="A20" s="340"/>
      <c r="B20" s="341"/>
      <c r="C20" s="331" t="s">
        <v>307</v>
      </c>
      <c r="D20" s="761">
        <f>SUM(D21)</f>
        <v>0</v>
      </c>
      <c r="E20" s="761">
        <f>SUM(E21)</f>
        <v>0</v>
      </c>
      <c r="F20" s="762" t="e">
        <f>E20/D20*100</f>
        <v>#DIV/0!</v>
      </c>
      <c r="G20" s="991"/>
    </row>
    <row r="21" spans="1:7" s="323" customFormat="1" ht="18.75" customHeight="1" hidden="1">
      <c r="A21" s="321"/>
      <c r="B21" s="322"/>
      <c r="C21" s="333" t="s">
        <v>280</v>
      </c>
      <c r="D21" s="759">
        <v>0</v>
      </c>
      <c r="E21" s="759">
        <v>0</v>
      </c>
      <c r="F21" s="763" t="e">
        <f>E21/D21*100</f>
        <v>#DIV/0!</v>
      </c>
      <c r="G21" s="991"/>
    </row>
    <row r="22" spans="1:7" s="81" customFormat="1" ht="18.75" customHeight="1">
      <c r="A22" s="317" t="s">
        <v>841</v>
      </c>
      <c r="B22" s="318"/>
      <c r="C22" s="173" t="s">
        <v>292</v>
      </c>
      <c r="D22" s="914">
        <f>SUM(D23)</f>
        <v>54442</v>
      </c>
      <c r="E22" s="914">
        <f>SUM(E23)</f>
        <v>29009.04</v>
      </c>
      <c r="F22" s="915">
        <f t="shared" si="0"/>
        <v>53.28430256052312</v>
      </c>
      <c r="G22" s="82"/>
    </row>
    <row r="23" spans="1:7" s="78" customFormat="1" ht="18.75" customHeight="1">
      <c r="A23" s="319"/>
      <c r="B23" s="320" t="s">
        <v>842</v>
      </c>
      <c r="C23" s="172" t="s">
        <v>840</v>
      </c>
      <c r="D23" s="844">
        <f>D24</f>
        <v>54442</v>
      </c>
      <c r="E23" s="844">
        <f>E24</f>
        <v>29009.04</v>
      </c>
      <c r="F23" s="916">
        <f t="shared" si="0"/>
        <v>53.28430256052312</v>
      </c>
      <c r="G23" s="82"/>
    </row>
    <row r="24" spans="1:7" s="323" customFormat="1" ht="18.75" customHeight="1">
      <c r="A24" s="321"/>
      <c r="B24" s="322"/>
      <c r="C24" s="161" t="s">
        <v>288</v>
      </c>
      <c r="D24" s="845">
        <v>54442</v>
      </c>
      <c r="E24" s="845">
        <v>29009.04</v>
      </c>
      <c r="F24" s="917">
        <f t="shared" si="0"/>
        <v>53.28430256052312</v>
      </c>
      <c r="G24" s="991"/>
    </row>
    <row r="25" spans="1:7" s="81" customFormat="1" ht="29.25" customHeight="1">
      <c r="A25" s="334" t="s">
        <v>1175</v>
      </c>
      <c r="B25" s="318"/>
      <c r="C25" s="335" t="s">
        <v>294</v>
      </c>
      <c r="D25" s="914">
        <f>D26</f>
        <v>4251483</v>
      </c>
      <c r="E25" s="914">
        <f>E26</f>
        <v>4078779.13</v>
      </c>
      <c r="F25" s="915">
        <f t="shared" si="0"/>
        <v>95.93779699930589</v>
      </c>
      <c r="G25" s="82"/>
    </row>
    <row r="26" spans="1:7" s="78" customFormat="1" ht="18.75" customHeight="1">
      <c r="A26" s="319"/>
      <c r="B26" s="320" t="s">
        <v>295</v>
      </c>
      <c r="C26" s="172" t="s">
        <v>296</v>
      </c>
      <c r="D26" s="844">
        <f>D27</f>
        <v>4251483</v>
      </c>
      <c r="E26" s="844">
        <f>E27</f>
        <v>4078779.13</v>
      </c>
      <c r="F26" s="916">
        <f t="shared" si="0"/>
        <v>95.93779699930589</v>
      </c>
      <c r="G26" s="82"/>
    </row>
    <row r="27" spans="1:7" s="323" customFormat="1" ht="18.75" customHeight="1">
      <c r="A27" s="321"/>
      <c r="B27" s="322"/>
      <c r="C27" s="161" t="s">
        <v>288</v>
      </c>
      <c r="D27" s="845">
        <v>4251483</v>
      </c>
      <c r="E27" s="845">
        <v>4078779.13</v>
      </c>
      <c r="F27" s="917">
        <f t="shared" si="0"/>
        <v>95.93779699930589</v>
      </c>
      <c r="G27" s="991"/>
    </row>
    <row r="28" spans="1:7" s="81" customFormat="1" ht="18.75" customHeight="1">
      <c r="A28" s="317" t="s">
        <v>843</v>
      </c>
      <c r="B28" s="318"/>
      <c r="C28" s="173" t="s">
        <v>297</v>
      </c>
      <c r="D28" s="914">
        <f>SUM(D29)</f>
        <v>391318</v>
      </c>
      <c r="E28" s="914">
        <f>SUM(E29)</f>
        <v>358354.75</v>
      </c>
      <c r="F28" s="915">
        <f>E28/D28*100</f>
        <v>91.57635222504459</v>
      </c>
      <c r="G28" s="82"/>
    </row>
    <row r="29" spans="1:7" s="78" customFormat="1" ht="18.75" customHeight="1">
      <c r="A29" s="319"/>
      <c r="B29" s="320" t="s">
        <v>304</v>
      </c>
      <c r="C29" s="172" t="s">
        <v>840</v>
      </c>
      <c r="D29" s="844">
        <f>SUM(D30)</f>
        <v>391318</v>
      </c>
      <c r="E29" s="844">
        <f>SUM(E30)</f>
        <v>358354.75</v>
      </c>
      <c r="F29" s="916">
        <f>E29/D29*100</f>
        <v>91.57635222504459</v>
      </c>
      <c r="G29" s="82"/>
    </row>
    <row r="30" spans="1:7" s="323" customFormat="1" ht="18.75" customHeight="1">
      <c r="A30" s="321"/>
      <c r="B30" s="322"/>
      <c r="C30" s="161" t="s">
        <v>288</v>
      </c>
      <c r="D30" s="845">
        <v>391318</v>
      </c>
      <c r="E30" s="845">
        <v>358354.75</v>
      </c>
      <c r="F30" s="917">
        <f>E30/D30*100</f>
        <v>91.57635222504459</v>
      </c>
      <c r="G30" s="991"/>
    </row>
    <row r="31" spans="1:8" s="328" customFormat="1" ht="12" customHeight="1">
      <c r="A31" s="325"/>
      <c r="B31" s="326"/>
      <c r="C31" s="327" t="s">
        <v>305</v>
      </c>
      <c r="D31" s="918"/>
      <c r="E31" s="918"/>
      <c r="F31" s="919"/>
      <c r="G31" s="991"/>
      <c r="H31" s="323"/>
    </row>
    <row r="32" spans="1:8" s="332" customFormat="1" ht="18.75" customHeight="1">
      <c r="A32" s="329"/>
      <c r="B32" s="330"/>
      <c r="C32" s="331" t="s">
        <v>307</v>
      </c>
      <c r="D32" s="920">
        <f>SUM(D33,D34)</f>
        <v>192962</v>
      </c>
      <c r="E32" s="920">
        <f>SUM(E33,E34)</f>
        <v>189896.66999999998</v>
      </c>
      <c r="F32" s="921">
        <f aca="true" t="shared" si="1" ref="F32:F40">E32/D32*100</f>
        <v>98.41143333920668</v>
      </c>
      <c r="G32" s="991"/>
      <c r="H32" s="337"/>
    </row>
    <row r="33" spans="1:8" s="328" customFormat="1" ht="18.75" customHeight="1">
      <c r="A33" s="325"/>
      <c r="B33" s="326"/>
      <c r="C33" s="333" t="s">
        <v>280</v>
      </c>
      <c r="D33" s="918">
        <v>168094</v>
      </c>
      <c r="E33" s="918">
        <v>166706.12</v>
      </c>
      <c r="F33" s="922">
        <f t="shared" si="1"/>
        <v>99.1743429271717</v>
      </c>
      <c r="G33" s="991"/>
      <c r="H33" s="323"/>
    </row>
    <row r="34" spans="1:8" s="328" customFormat="1" ht="18.75" customHeight="1">
      <c r="A34" s="325"/>
      <c r="B34" s="326"/>
      <c r="C34" s="333" t="s">
        <v>281</v>
      </c>
      <c r="D34" s="918">
        <v>24868</v>
      </c>
      <c r="E34" s="918">
        <v>23190.55</v>
      </c>
      <c r="F34" s="922">
        <f t="shared" si="1"/>
        <v>93.25458420460029</v>
      </c>
      <c r="G34" s="991"/>
      <c r="H34" s="323"/>
    </row>
    <row r="35" spans="1:7" s="81" customFormat="1" ht="18.75" customHeight="1">
      <c r="A35" s="317" t="s">
        <v>844</v>
      </c>
      <c r="B35" s="318"/>
      <c r="C35" s="173" t="s">
        <v>845</v>
      </c>
      <c r="D35" s="914">
        <f>SUM(D36,D39,D46)</f>
        <v>35532032</v>
      </c>
      <c r="E35" s="914">
        <f>SUM(E36,E39,E46)</f>
        <v>34712697.67</v>
      </c>
      <c r="F35" s="915">
        <f t="shared" si="1"/>
        <v>97.69409661119298</v>
      </c>
      <c r="G35" s="82"/>
    </row>
    <row r="36" spans="1:7" s="78" customFormat="1" ht="18.75" customHeight="1">
      <c r="A36" s="319"/>
      <c r="B36" s="320" t="s">
        <v>825</v>
      </c>
      <c r="C36" s="172" t="s">
        <v>826</v>
      </c>
      <c r="D36" s="844">
        <f>SUM(D37,D38)</f>
        <v>2900000</v>
      </c>
      <c r="E36" s="844">
        <f>SUM(E37,E38)</f>
        <v>2900000</v>
      </c>
      <c r="F36" s="916">
        <f t="shared" si="1"/>
        <v>100</v>
      </c>
      <c r="G36" s="82"/>
    </row>
    <row r="37" spans="1:7" s="323" customFormat="1" ht="18.75" customHeight="1">
      <c r="A37" s="321"/>
      <c r="B37" s="322"/>
      <c r="C37" s="161" t="s">
        <v>288</v>
      </c>
      <c r="D37" s="845">
        <v>2500000</v>
      </c>
      <c r="E37" s="845">
        <v>2500000</v>
      </c>
      <c r="F37" s="917">
        <f t="shared" si="1"/>
        <v>100</v>
      </c>
      <c r="G37" s="991"/>
    </row>
    <row r="38" spans="1:7" s="323" customFormat="1" ht="18.75" customHeight="1">
      <c r="A38" s="321"/>
      <c r="B38" s="322"/>
      <c r="C38" s="161" t="s">
        <v>309</v>
      </c>
      <c r="D38" s="845">
        <v>400000</v>
      </c>
      <c r="E38" s="845">
        <v>400000</v>
      </c>
      <c r="F38" s="917">
        <f t="shared" si="1"/>
        <v>100</v>
      </c>
      <c r="G38" s="991"/>
    </row>
    <row r="39" spans="1:7" s="78" customFormat="1" ht="18.75" customHeight="1">
      <c r="A39" s="319"/>
      <c r="B39" s="320" t="s">
        <v>847</v>
      </c>
      <c r="C39" s="324" t="s">
        <v>848</v>
      </c>
      <c r="D39" s="844">
        <f>D40+D45</f>
        <v>12991712</v>
      </c>
      <c r="E39" s="844">
        <f>E40+E45</f>
        <v>12412328.120000001</v>
      </c>
      <c r="F39" s="916">
        <f t="shared" si="1"/>
        <v>95.54035772960485</v>
      </c>
      <c r="G39" s="82"/>
    </row>
    <row r="40" spans="1:7" s="323" customFormat="1" ht="18.75" customHeight="1">
      <c r="A40" s="321"/>
      <c r="B40" s="322"/>
      <c r="C40" s="161" t="s">
        <v>288</v>
      </c>
      <c r="D40" s="845">
        <v>4441712</v>
      </c>
      <c r="E40" s="845">
        <v>4410668</v>
      </c>
      <c r="F40" s="917">
        <f t="shared" si="1"/>
        <v>99.30108030417101</v>
      </c>
      <c r="G40" s="991"/>
    </row>
    <row r="41" spans="1:8" s="328" customFormat="1" ht="12" customHeight="1">
      <c r="A41" s="325"/>
      <c r="B41" s="326"/>
      <c r="C41" s="327" t="s">
        <v>305</v>
      </c>
      <c r="D41" s="918"/>
      <c r="E41" s="918"/>
      <c r="F41" s="919"/>
      <c r="G41" s="991"/>
      <c r="H41" s="323"/>
    </row>
    <row r="42" spans="1:8" s="332" customFormat="1" ht="18.75" customHeight="1">
      <c r="A42" s="329"/>
      <c r="B42" s="330"/>
      <c r="C42" s="331" t="s">
        <v>307</v>
      </c>
      <c r="D42" s="920">
        <f>SUM(D43,D44)</f>
        <v>30000</v>
      </c>
      <c r="E42" s="920">
        <f>SUM(E43,E44)</f>
        <v>27657.96</v>
      </c>
      <c r="F42" s="921">
        <f aca="true" t="shared" si="2" ref="F42:F47">E42/D42*100</f>
        <v>92.19319999999999</v>
      </c>
      <c r="G42" s="991"/>
      <c r="H42" s="337"/>
    </row>
    <row r="43" spans="1:8" s="328" customFormat="1" ht="17.25" customHeight="1">
      <c r="A43" s="325"/>
      <c r="B43" s="326"/>
      <c r="C43" s="333" t="s">
        <v>280</v>
      </c>
      <c r="D43" s="918">
        <v>25000</v>
      </c>
      <c r="E43" s="918">
        <v>23733.07</v>
      </c>
      <c r="F43" s="922">
        <f t="shared" si="2"/>
        <v>94.93228</v>
      </c>
      <c r="G43" s="991"/>
      <c r="H43" s="323"/>
    </row>
    <row r="44" spans="1:8" s="328" customFormat="1" ht="18.75" customHeight="1">
      <c r="A44" s="374"/>
      <c r="B44" s="326"/>
      <c r="C44" s="333" t="s">
        <v>281</v>
      </c>
      <c r="D44" s="918">
        <v>5000</v>
      </c>
      <c r="E44" s="918">
        <v>3924.89</v>
      </c>
      <c r="F44" s="922">
        <f t="shared" si="2"/>
        <v>78.4978</v>
      </c>
      <c r="G44" s="991"/>
      <c r="H44" s="323"/>
    </row>
    <row r="45" spans="1:7" s="323" customFormat="1" ht="18.75" customHeight="1">
      <c r="A45" s="375"/>
      <c r="B45" s="322"/>
      <c r="C45" s="161" t="s">
        <v>309</v>
      </c>
      <c r="D45" s="845">
        <v>8550000</v>
      </c>
      <c r="E45" s="845">
        <v>8001660.12</v>
      </c>
      <c r="F45" s="917">
        <f t="shared" si="2"/>
        <v>93.58666807017543</v>
      </c>
      <c r="G45" s="991"/>
    </row>
    <row r="46" spans="1:7" s="323" customFormat="1" ht="18.75" customHeight="1">
      <c r="A46" s="376"/>
      <c r="B46" s="320" t="s">
        <v>1193</v>
      </c>
      <c r="C46" s="172" t="s">
        <v>1194</v>
      </c>
      <c r="D46" s="844">
        <f>SUM(D47,D52)</f>
        <v>19640320</v>
      </c>
      <c r="E46" s="925">
        <f>SUM(E47,E52)</f>
        <v>19400369.55</v>
      </c>
      <c r="F46" s="926">
        <f t="shared" si="2"/>
        <v>98.77827627044773</v>
      </c>
      <c r="G46" s="991"/>
    </row>
    <row r="47" spans="1:7" s="927" customFormat="1" ht="18.75" customHeight="1">
      <c r="A47" s="928"/>
      <c r="B47" s="929"/>
      <c r="C47" s="930" t="s">
        <v>288</v>
      </c>
      <c r="D47" s="931">
        <v>144400</v>
      </c>
      <c r="E47" s="931">
        <v>59787.01</v>
      </c>
      <c r="F47" s="932">
        <f t="shared" si="2"/>
        <v>41.403746537396124</v>
      </c>
      <c r="G47" s="991"/>
    </row>
    <row r="48" spans="1:8" s="938" customFormat="1" ht="12" customHeight="1">
      <c r="A48" s="933"/>
      <c r="B48" s="934"/>
      <c r="C48" s="935" t="s">
        <v>305</v>
      </c>
      <c r="D48" s="936"/>
      <c r="E48" s="936"/>
      <c r="F48" s="937"/>
      <c r="G48" s="991"/>
      <c r="H48" s="927"/>
    </row>
    <row r="49" spans="1:8" s="944" customFormat="1" ht="18.75" customHeight="1">
      <c r="A49" s="939"/>
      <c r="B49" s="940"/>
      <c r="C49" s="941" t="s">
        <v>307</v>
      </c>
      <c r="D49" s="942">
        <f>SUM(D50,D51)</f>
        <v>27884</v>
      </c>
      <c r="E49" s="942">
        <f>SUM(E50,E51)</f>
        <v>9915.08</v>
      </c>
      <c r="F49" s="943">
        <f aca="true" t="shared" si="3" ref="F49:F55">E49/D49*100</f>
        <v>35.55831301104576</v>
      </c>
      <c r="G49" s="991"/>
      <c r="H49" s="980"/>
    </row>
    <row r="50" spans="1:8" s="938" customFormat="1" ht="17.25" customHeight="1">
      <c r="A50" s="933"/>
      <c r="B50" s="934"/>
      <c r="C50" s="945" t="s">
        <v>280</v>
      </c>
      <c r="D50" s="936">
        <v>23700</v>
      </c>
      <c r="E50" s="936">
        <v>9244.93</v>
      </c>
      <c r="F50" s="946">
        <f t="shared" si="3"/>
        <v>39.008143459915615</v>
      </c>
      <c r="G50" s="991"/>
      <c r="H50" s="927"/>
    </row>
    <row r="51" spans="1:8" s="938" customFormat="1" ht="18.75" customHeight="1">
      <c r="A51" s="947"/>
      <c r="B51" s="934"/>
      <c r="C51" s="945" t="s">
        <v>281</v>
      </c>
      <c r="D51" s="936">
        <v>4184</v>
      </c>
      <c r="E51" s="936">
        <v>670.15</v>
      </c>
      <c r="F51" s="946">
        <f t="shared" si="3"/>
        <v>16.016969407265773</v>
      </c>
      <c r="G51" s="991"/>
      <c r="H51" s="927"/>
    </row>
    <row r="52" spans="1:7" s="323" customFormat="1" ht="18.75" customHeight="1">
      <c r="A52" s="375"/>
      <c r="B52" s="322"/>
      <c r="C52" s="161" t="s">
        <v>309</v>
      </c>
      <c r="D52" s="845">
        <v>19495920</v>
      </c>
      <c r="E52" s="845">
        <v>19340582.54</v>
      </c>
      <c r="F52" s="917">
        <f t="shared" si="3"/>
        <v>99.20323093242072</v>
      </c>
      <c r="G52" s="991"/>
    </row>
    <row r="53" spans="1:7" s="81" customFormat="1" ht="18.75" customHeight="1">
      <c r="A53" s="377" t="s">
        <v>849</v>
      </c>
      <c r="B53" s="318"/>
      <c r="C53" s="173" t="s">
        <v>850</v>
      </c>
      <c r="D53" s="914">
        <f>D54+D60</f>
        <v>2595200</v>
      </c>
      <c r="E53" s="914">
        <f>E54+E60</f>
        <v>1934880.93</v>
      </c>
      <c r="F53" s="915">
        <f t="shared" si="3"/>
        <v>74.55613941122071</v>
      </c>
      <c r="G53" s="82"/>
    </row>
    <row r="54" spans="1:7" s="78" customFormat="1" ht="18.75" customHeight="1">
      <c r="A54" s="376"/>
      <c r="B54" s="320" t="s">
        <v>1170</v>
      </c>
      <c r="C54" s="172" t="s">
        <v>1172</v>
      </c>
      <c r="D54" s="844">
        <f>SUM(D55)</f>
        <v>697200</v>
      </c>
      <c r="E54" s="844">
        <f>SUM(E55)</f>
        <v>577966.05</v>
      </c>
      <c r="F54" s="916">
        <f t="shared" si="3"/>
        <v>82.8981712564544</v>
      </c>
      <c r="G54" s="82"/>
    </row>
    <row r="55" spans="1:7" s="323" customFormat="1" ht="18.75" customHeight="1">
      <c r="A55" s="375"/>
      <c r="B55" s="322"/>
      <c r="C55" s="161" t="s">
        <v>288</v>
      </c>
      <c r="D55" s="845">
        <v>697200</v>
      </c>
      <c r="E55" s="845">
        <v>577966.05</v>
      </c>
      <c r="F55" s="917">
        <f t="shared" si="3"/>
        <v>82.8981712564544</v>
      </c>
      <c r="G55" s="991"/>
    </row>
    <row r="56" spans="1:7" s="323" customFormat="1" ht="11.25" customHeight="1">
      <c r="A56" s="375"/>
      <c r="B56" s="322"/>
      <c r="C56" s="327" t="s">
        <v>305</v>
      </c>
      <c r="D56" s="759"/>
      <c r="E56" s="918"/>
      <c r="F56" s="919"/>
      <c r="G56" s="991"/>
    </row>
    <row r="57" spans="1:7" s="337" customFormat="1" ht="18.75" customHeight="1">
      <c r="A57" s="378"/>
      <c r="B57" s="341"/>
      <c r="C57" s="331" t="s">
        <v>307</v>
      </c>
      <c r="D57" s="920">
        <f>SUM(D58,D59)</f>
        <v>20000</v>
      </c>
      <c r="E57" s="920">
        <f>SUM(E58,E59)</f>
        <v>17924.76</v>
      </c>
      <c r="F57" s="921">
        <f>E57/D57*100</f>
        <v>89.62379999999999</v>
      </c>
      <c r="G57" s="991"/>
    </row>
    <row r="58" spans="1:7" s="323" customFormat="1" ht="18.75" customHeight="1">
      <c r="A58" s="375"/>
      <c r="B58" s="322"/>
      <c r="C58" s="333" t="s">
        <v>280</v>
      </c>
      <c r="D58" s="918">
        <v>19600</v>
      </c>
      <c r="E58" s="918">
        <v>17609</v>
      </c>
      <c r="F58" s="922">
        <f>E58/D58*100</f>
        <v>89.84183673469389</v>
      </c>
      <c r="G58" s="991"/>
    </row>
    <row r="59" spans="1:7" s="323" customFormat="1" ht="18.75" customHeight="1">
      <c r="A59" s="375"/>
      <c r="B59" s="322"/>
      <c r="C59" s="945" t="s">
        <v>281</v>
      </c>
      <c r="D59" s="936">
        <v>400</v>
      </c>
      <c r="E59" s="936">
        <v>315.76</v>
      </c>
      <c r="F59" s="946">
        <f>E59/D59*100</f>
        <v>78.94</v>
      </c>
      <c r="G59" s="991"/>
    </row>
    <row r="60" spans="1:7" s="78" customFormat="1" ht="18.75" customHeight="1">
      <c r="A60" s="376"/>
      <c r="B60" s="320" t="s">
        <v>310</v>
      </c>
      <c r="C60" s="172" t="s">
        <v>311</v>
      </c>
      <c r="D60" s="844">
        <f>SUM(D61,D62)</f>
        <v>1898000</v>
      </c>
      <c r="E60" s="844">
        <f>SUM(E61,E62)</f>
        <v>1356914.88</v>
      </c>
      <c r="F60" s="916">
        <f aca="true" t="shared" si="4" ref="F60:F78">E60/D60*100</f>
        <v>71.49182718651211</v>
      </c>
      <c r="G60" s="82"/>
    </row>
    <row r="61" spans="1:7" s="323" customFormat="1" ht="18.75" customHeight="1">
      <c r="A61" s="375"/>
      <c r="B61" s="322"/>
      <c r="C61" s="161" t="s">
        <v>288</v>
      </c>
      <c r="D61" s="845">
        <v>378000</v>
      </c>
      <c r="E61" s="845">
        <v>378000</v>
      </c>
      <c r="F61" s="917">
        <f t="shared" si="4"/>
        <v>100</v>
      </c>
      <c r="G61" s="991"/>
    </row>
    <row r="62" spans="1:7" s="323" customFormat="1" ht="18.75" customHeight="1">
      <c r="A62" s="375"/>
      <c r="B62" s="322"/>
      <c r="C62" s="161" t="s">
        <v>309</v>
      </c>
      <c r="D62" s="845">
        <v>1520000</v>
      </c>
      <c r="E62" s="845">
        <v>978914.88</v>
      </c>
      <c r="F62" s="917">
        <f t="shared" si="4"/>
        <v>64.40229473684211</v>
      </c>
      <c r="G62" s="991"/>
    </row>
    <row r="63" spans="1:7" s="81" customFormat="1" ht="18" customHeight="1">
      <c r="A63" s="377" t="s">
        <v>851</v>
      </c>
      <c r="B63" s="318"/>
      <c r="C63" s="173" t="s">
        <v>852</v>
      </c>
      <c r="D63" s="914">
        <f>D71+D74+D64</f>
        <v>3261700</v>
      </c>
      <c r="E63" s="914">
        <f>E71+E74+E64</f>
        <v>2916883.65</v>
      </c>
      <c r="F63" s="915">
        <f t="shared" si="4"/>
        <v>89.42832418677376</v>
      </c>
      <c r="G63" s="82"/>
    </row>
    <row r="64" spans="1:7" s="78" customFormat="1" ht="18.75" customHeight="1">
      <c r="A64" s="376"/>
      <c r="B64" s="320" t="s">
        <v>312</v>
      </c>
      <c r="C64" s="172" t="s">
        <v>313</v>
      </c>
      <c r="D64" s="844">
        <f>SUM(D65,D68)</f>
        <v>1080200</v>
      </c>
      <c r="E64" s="844">
        <f>SUM(E65,E68)</f>
        <v>987007.09</v>
      </c>
      <c r="F64" s="916">
        <f t="shared" si="4"/>
        <v>91.37262451397889</v>
      </c>
      <c r="G64" s="82"/>
    </row>
    <row r="65" spans="1:7" s="323" customFormat="1" ht="18" customHeight="1">
      <c r="A65" s="375"/>
      <c r="B65" s="322"/>
      <c r="C65" s="161" t="s">
        <v>288</v>
      </c>
      <c r="D65" s="845">
        <v>550000</v>
      </c>
      <c r="E65" s="845">
        <v>547184.24</v>
      </c>
      <c r="F65" s="917">
        <f t="shared" si="4"/>
        <v>99.48804363636363</v>
      </c>
      <c r="G65" s="991"/>
    </row>
    <row r="66" spans="1:8" s="328" customFormat="1" ht="11.25" customHeight="1">
      <c r="A66" s="374"/>
      <c r="B66" s="326"/>
      <c r="C66" s="327" t="s">
        <v>305</v>
      </c>
      <c r="D66" s="918"/>
      <c r="E66" s="918"/>
      <c r="F66" s="919"/>
      <c r="G66" s="991"/>
      <c r="H66" s="323"/>
    </row>
    <row r="67" spans="1:8" s="332" customFormat="1" ht="15.75" customHeight="1">
      <c r="A67" s="361"/>
      <c r="B67" s="330"/>
      <c r="C67" s="331" t="s">
        <v>308</v>
      </c>
      <c r="D67" s="920">
        <v>550000</v>
      </c>
      <c r="E67" s="920">
        <v>547184.24</v>
      </c>
      <c r="F67" s="921">
        <f t="shared" si="4"/>
        <v>99.48804363636363</v>
      </c>
      <c r="G67" s="991"/>
      <c r="H67" s="337"/>
    </row>
    <row r="68" spans="1:8" s="328" customFormat="1" ht="15.75" customHeight="1">
      <c r="A68" s="375"/>
      <c r="B68" s="322"/>
      <c r="C68" s="161" t="s">
        <v>309</v>
      </c>
      <c r="D68" s="845">
        <f>SUM(D70)</f>
        <v>530200</v>
      </c>
      <c r="E68" s="845">
        <v>439822.85</v>
      </c>
      <c r="F68" s="917">
        <f>E68/D68*100</f>
        <v>82.95413994718973</v>
      </c>
      <c r="G68" s="991"/>
      <c r="H68" s="323"/>
    </row>
    <row r="69" spans="1:8" s="328" customFormat="1" ht="10.5" customHeight="1">
      <c r="A69" s="374"/>
      <c r="B69" s="326"/>
      <c r="C69" s="327" t="s">
        <v>305</v>
      </c>
      <c r="D69" s="918"/>
      <c r="E69" s="918"/>
      <c r="F69" s="919"/>
      <c r="G69" s="991"/>
      <c r="H69" s="323"/>
    </row>
    <row r="70" spans="1:8" s="332" customFormat="1" ht="15.75" customHeight="1">
      <c r="A70" s="361"/>
      <c r="B70" s="330"/>
      <c r="C70" s="331" t="s">
        <v>308</v>
      </c>
      <c r="D70" s="920">
        <v>530200</v>
      </c>
      <c r="E70" s="920">
        <v>439822.85</v>
      </c>
      <c r="F70" s="921">
        <f>E70/D70*100</f>
        <v>82.95413994718973</v>
      </c>
      <c r="G70" s="991"/>
      <c r="H70" s="337"/>
    </row>
    <row r="71" spans="1:7" s="78" customFormat="1" ht="17.25" customHeight="1">
      <c r="A71" s="376"/>
      <c r="B71" s="320" t="s">
        <v>853</v>
      </c>
      <c r="C71" s="324" t="s">
        <v>854</v>
      </c>
      <c r="D71" s="844">
        <f>D72+D73</f>
        <v>2115500</v>
      </c>
      <c r="E71" s="844">
        <f>E72+E73</f>
        <v>1871045.1700000002</v>
      </c>
      <c r="F71" s="916">
        <f t="shared" si="4"/>
        <v>88.44458378633894</v>
      </c>
      <c r="G71" s="82"/>
    </row>
    <row r="72" spans="1:7" s="323" customFormat="1" ht="18.75" customHeight="1">
      <c r="A72" s="375"/>
      <c r="B72" s="322"/>
      <c r="C72" s="161" t="s">
        <v>288</v>
      </c>
      <c r="D72" s="845">
        <v>1408500</v>
      </c>
      <c r="E72" s="845">
        <v>1165068.11</v>
      </c>
      <c r="F72" s="917">
        <f t="shared" si="4"/>
        <v>82.7169407170749</v>
      </c>
      <c r="G72" s="991"/>
    </row>
    <row r="73" spans="1:7" s="323" customFormat="1" ht="18.75" customHeight="1">
      <c r="A73" s="375"/>
      <c r="B73" s="322"/>
      <c r="C73" s="161" t="s">
        <v>309</v>
      </c>
      <c r="D73" s="845">
        <v>707000</v>
      </c>
      <c r="E73" s="845">
        <v>705977.06</v>
      </c>
      <c r="F73" s="917">
        <f t="shared" si="4"/>
        <v>99.8553125884017</v>
      </c>
      <c r="G73" s="991"/>
    </row>
    <row r="74" spans="1:7" s="78" customFormat="1" ht="18.75" customHeight="1">
      <c r="A74" s="376"/>
      <c r="B74" s="320" t="s">
        <v>314</v>
      </c>
      <c r="C74" s="172" t="s">
        <v>840</v>
      </c>
      <c r="D74" s="844">
        <f>SUM(D75)</f>
        <v>66000</v>
      </c>
      <c r="E74" s="844">
        <f>SUM(E75)</f>
        <v>58831.39</v>
      </c>
      <c r="F74" s="916">
        <f t="shared" si="4"/>
        <v>89.1384696969697</v>
      </c>
      <c r="G74" s="82"/>
    </row>
    <row r="75" spans="1:7" s="323" customFormat="1" ht="18.75" customHeight="1">
      <c r="A75" s="375"/>
      <c r="B75" s="322"/>
      <c r="C75" s="161" t="s">
        <v>309</v>
      </c>
      <c r="D75" s="845">
        <v>66000</v>
      </c>
      <c r="E75" s="845">
        <v>58831.39</v>
      </c>
      <c r="F75" s="917">
        <f t="shared" si="4"/>
        <v>89.1384696969697</v>
      </c>
      <c r="G75" s="991"/>
    </row>
    <row r="76" spans="1:7" s="81" customFormat="1" ht="18.75" customHeight="1">
      <c r="A76" s="377" t="s">
        <v>855</v>
      </c>
      <c r="B76" s="318"/>
      <c r="C76" s="335" t="s">
        <v>856</v>
      </c>
      <c r="D76" s="914">
        <f>SUM(D77,D83,D85)</f>
        <v>1635434</v>
      </c>
      <c r="E76" s="914">
        <f>SUM(E77,E83,E85)</f>
        <v>1514284.53</v>
      </c>
      <c r="F76" s="915">
        <f>E76/D76*100</f>
        <v>92.59221283157866</v>
      </c>
      <c r="G76" s="82"/>
    </row>
    <row r="77" spans="1:7" s="78" customFormat="1" ht="18.75" customHeight="1">
      <c r="A77" s="376"/>
      <c r="B77" s="320" t="s">
        <v>315</v>
      </c>
      <c r="C77" s="324" t="s">
        <v>316</v>
      </c>
      <c r="D77" s="844">
        <f>D78</f>
        <v>238300</v>
      </c>
      <c r="E77" s="844">
        <f>E78</f>
        <v>226944.52</v>
      </c>
      <c r="F77" s="916">
        <f t="shared" si="4"/>
        <v>95.23479647503147</v>
      </c>
      <c r="G77" s="82"/>
    </row>
    <row r="78" spans="1:7" s="323" customFormat="1" ht="18" customHeight="1">
      <c r="A78" s="375"/>
      <c r="B78" s="322"/>
      <c r="C78" s="161" t="s">
        <v>288</v>
      </c>
      <c r="D78" s="845">
        <v>238300</v>
      </c>
      <c r="E78" s="845">
        <v>226944.52</v>
      </c>
      <c r="F78" s="917">
        <f t="shared" si="4"/>
        <v>95.23479647503147</v>
      </c>
      <c r="G78" s="991"/>
    </row>
    <row r="79" spans="1:7" s="323" customFormat="1" ht="10.5" customHeight="1">
      <c r="A79" s="375"/>
      <c r="B79" s="322"/>
      <c r="C79" s="327" t="s">
        <v>305</v>
      </c>
      <c r="D79" s="759"/>
      <c r="E79" s="759"/>
      <c r="F79" s="760"/>
      <c r="G79" s="991"/>
    </row>
    <row r="80" spans="1:7" s="337" customFormat="1" ht="18" customHeight="1">
      <c r="A80" s="378"/>
      <c r="B80" s="341"/>
      <c r="C80" s="331" t="s">
        <v>307</v>
      </c>
      <c r="D80" s="920">
        <f>SUM(D81,D82)</f>
        <v>16200</v>
      </c>
      <c r="E80" s="920">
        <f>SUM(E81,E82)</f>
        <v>10033.67</v>
      </c>
      <c r="F80" s="921">
        <f>E80/D80*100</f>
        <v>61.93623456790124</v>
      </c>
      <c r="G80" s="991"/>
    </row>
    <row r="81" spans="1:7" s="323" customFormat="1" ht="18" customHeight="1">
      <c r="A81" s="375"/>
      <c r="B81" s="322"/>
      <c r="C81" s="333" t="s">
        <v>280</v>
      </c>
      <c r="D81" s="918">
        <v>15000</v>
      </c>
      <c r="E81" s="918">
        <v>8922.33</v>
      </c>
      <c r="F81" s="922">
        <f>E81/D81*100</f>
        <v>59.4822</v>
      </c>
      <c r="G81" s="991"/>
    </row>
    <row r="82" spans="1:7" s="323" customFormat="1" ht="18" customHeight="1">
      <c r="A82" s="375"/>
      <c r="B82" s="322"/>
      <c r="C82" s="333" t="s">
        <v>281</v>
      </c>
      <c r="D82" s="918">
        <v>1200</v>
      </c>
      <c r="E82" s="918">
        <v>1111.34</v>
      </c>
      <c r="F82" s="922">
        <f>E82/D82*100</f>
        <v>92.61166666666666</v>
      </c>
      <c r="G82" s="991"/>
    </row>
    <row r="83" spans="1:7" s="78" customFormat="1" ht="18.75" customHeight="1">
      <c r="A83" s="376"/>
      <c r="B83" s="320" t="s">
        <v>858</v>
      </c>
      <c r="C83" s="324" t="s">
        <v>859</v>
      </c>
      <c r="D83" s="844">
        <f>D84</f>
        <v>130000</v>
      </c>
      <c r="E83" s="844">
        <f>E84</f>
        <v>94110.01</v>
      </c>
      <c r="F83" s="916">
        <f aca="true" t="shared" si="5" ref="F83:F98">E83/D83*100</f>
        <v>72.39231538461539</v>
      </c>
      <c r="G83" s="82"/>
    </row>
    <row r="84" spans="1:7" s="323" customFormat="1" ht="18.75" customHeight="1">
      <c r="A84" s="375"/>
      <c r="B84" s="322"/>
      <c r="C84" s="161" t="s">
        <v>288</v>
      </c>
      <c r="D84" s="845">
        <v>130000</v>
      </c>
      <c r="E84" s="845">
        <v>94110.01</v>
      </c>
      <c r="F84" s="917">
        <f t="shared" si="5"/>
        <v>72.39231538461539</v>
      </c>
      <c r="G84" s="991"/>
    </row>
    <row r="85" spans="1:6" ht="18.75" customHeight="1">
      <c r="A85" s="376"/>
      <c r="B85" s="320" t="s">
        <v>865</v>
      </c>
      <c r="C85" s="165" t="s">
        <v>866</v>
      </c>
      <c r="D85" s="844">
        <f>SUM(D86,D87)</f>
        <v>1267134</v>
      </c>
      <c r="E85" s="844">
        <f>SUM(E86,E87)</f>
        <v>1193230</v>
      </c>
      <c r="F85" s="916">
        <f t="shared" si="5"/>
        <v>94.1676255234253</v>
      </c>
    </row>
    <row r="86" spans="1:7" s="323" customFormat="1" ht="18.75" customHeight="1">
      <c r="A86" s="375"/>
      <c r="B86" s="322"/>
      <c r="C86" s="161" t="s">
        <v>288</v>
      </c>
      <c r="D86" s="845">
        <v>594134</v>
      </c>
      <c r="E86" s="845">
        <v>531511.02</v>
      </c>
      <c r="F86" s="917">
        <f t="shared" si="5"/>
        <v>89.45978853255326</v>
      </c>
      <c r="G86" s="991"/>
    </row>
    <row r="87" spans="1:7" s="323" customFormat="1" ht="18.75" customHeight="1">
      <c r="A87" s="375"/>
      <c r="B87" s="322"/>
      <c r="C87" s="161" t="s">
        <v>309</v>
      </c>
      <c r="D87" s="845">
        <v>673000</v>
      </c>
      <c r="E87" s="845">
        <v>661718.98</v>
      </c>
      <c r="F87" s="917">
        <f t="shared" si="5"/>
        <v>98.32377117384844</v>
      </c>
      <c r="G87" s="991"/>
    </row>
    <row r="88" spans="1:7" s="81" customFormat="1" ht="18.75" customHeight="1">
      <c r="A88" s="377" t="s">
        <v>867</v>
      </c>
      <c r="B88" s="318"/>
      <c r="C88" s="173" t="s">
        <v>869</v>
      </c>
      <c r="D88" s="914">
        <f>SUM(D89,D95,D97,D104)</f>
        <v>12738176</v>
      </c>
      <c r="E88" s="914">
        <f>SUM(E89,E95,E97,E104)</f>
        <v>11956936.56</v>
      </c>
      <c r="F88" s="915">
        <f t="shared" si="5"/>
        <v>93.86694421556116</v>
      </c>
      <c r="G88" s="82"/>
    </row>
    <row r="89" spans="1:7" s="78" customFormat="1" ht="18.75" customHeight="1">
      <c r="A89" s="376"/>
      <c r="B89" s="320" t="s">
        <v>870</v>
      </c>
      <c r="C89" s="165" t="s">
        <v>876</v>
      </c>
      <c r="D89" s="844">
        <f>D90</f>
        <v>360000</v>
      </c>
      <c r="E89" s="844">
        <f>E90</f>
        <v>360000</v>
      </c>
      <c r="F89" s="916">
        <f t="shared" si="5"/>
        <v>100</v>
      </c>
      <c r="G89" s="82"/>
    </row>
    <row r="90" spans="1:7" s="323" customFormat="1" ht="18.75" customHeight="1">
      <c r="A90" s="375"/>
      <c r="B90" s="322"/>
      <c r="C90" s="161" t="s">
        <v>288</v>
      </c>
      <c r="D90" s="845">
        <v>360000</v>
      </c>
      <c r="E90" s="845">
        <v>360000</v>
      </c>
      <c r="F90" s="917">
        <f t="shared" si="5"/>
        <v>100</v>
      </c>
      <c r="G90" s="991"/>
    </row>
    <row r="91" spans="1:8" s="328" customFormat="1" ht="12" customHeight="1">
      <c r="A91" s="374"/>
      <c r="B91" s="326"/>
      <c r="C91" s="327" t="s">
        <v>305</v>
      </c>
      <c r="D91" s="918"/>
      <c r="E91" s="918"/>
      <c r="F91" s="919"/>
      <c r="G91" s="991"/>
      <c r="H91" s="323"/>
    </row>
    <row r="92" spans="1:8" s="332" customFormat="1" ht="18.75" customHeight="1">
      <c r="A92" s="361"/>
      <c r="B92" s="330"/>
      <c r="C92" s="331" t="s">
        <v>307</v>
      </c>
      <c r="D92" s="920">
        <f>SUM(D93,D94)</f>
        <v>355042</v>
      </c>
      <c r="E92" s="920">
        <f>SUM(E93,E94)</f>
        <v>355042</v>
      </c>
      <c r="F92" s="921">
        <f t="shared" si="5"/>
        <v>100</v>
      </c>
      <c r="G92" s="991"/>
      <c r="H92" s="337"/>
    </row>
    <row r="93" spans="1:8" s="328" customFormat="1" ht="18.75" customHeight="1">
      <c r="A93" s="374"/>
      <c r="B93" s="326"/>
      <c r="C93" s="333" t="s">
        <v>280</v>
      </c>
      <c r="D93" s="918">
        <v>296811</v>
      </c>
      <c r="E93" s="918">
        <v>296811</v>
      </c>
      <c r="F93" s="922">
        <f t="shared" si="5"/>
        <v>100</v>
      </c>
      <c r="G93" s="991"/>
      <c r="H93" s="323"/>
    </row>
    <row r="94" spans="1:8" s="328" customFormat="1" ht="18.75" customHeight="1">
      <c r="A94" s="374"/>
      <c r="B94" s="326"/>
      <c r="C94" s="333" t="s">
        <v>281</v>
      </c>
      <c r="D94" s="918">
        <v>58231</v>
      </c>
      <c r="E94" s="918">
        <v>58231</v>
      </c>
      <c r="F94" s="922">
        <f t="shared" si="5"/>
        <v>100</v>
      </c>
      <c r="G94" s="991"/>
      <c r="H94" s="323"/>
    </row>
    <row r="95" spans="1:7" s="78" customFormat="1" ht="18.75" customHeight="1">
      <c r="A95" s="376"/>
      <c r="B95" s="320" t="s">
        <v>317</v>
      </c>
      <c r="C95" s="172" t="s">
        <v>318</v>
      </c>
      <c r="D95" s="844">
        <f>SUM(D96)</f>
        <v>502000</v>
      </c>
      <c r="E95" s="844">
        <f>SUM(E96)</f>
        <v>482065.82</v>
      </c>
      <c r="F95" s="916">
        <f t="shared" si="5"/>
        <v>96.02904780876494</v>
      </c>
      <c r="G95" s="82"/>
    </row>
    <row r="96" spans="1:7" s="323" customFormat="1" ht="18.75" customHeight="1">
      <c r="A96" s="375"/>
      <c r="B96" s="322"/>
      <c r="C96" s="161" t="s">
        <v>288</v>
      </c>
      <c r="D96" s="845">
        <v>502000</v>
      </c>
      <c r="E96" s="845">
        <v>482065.82</v>
      </c>
      <c r="F96" s="917">
        <f t="shared" si="5"/>
        <v>96.02904780876494</v>
      </c>
      <c r="G96" s="991"/>
    </row>
    <row r="97" spans="1:7" s="78" customFormat="1" ht="18.75" customHeight="1">
      <c r="A97" s="376"/>
      <c r="B97" s="320" t="s">
        <v>879</v>
      </c>
      <c r="C97" s="172" t="s">
        <v>1156</v>
      </c>
      <c r="D97" s="844">
        <f>D98+D103</f>
        <v>10925991</v>
      </c>
      <c r="E97" s="844">
        <f>E98+E103</f>
        <v>10617832.44</v>
      </c>
      <c r="F97" s="916">
        <f t="shared" si="5"/>
        <v>97.17958252024918</v>
      </c>
      <c r="G97" s="82"/>
    </row>
    <row r="98" spans="1:7" s="323" customFormat="1" ht="18.75" customHeight="1">
      <c r="A98" s="375"/>
      <c r="B98" s="322"/>
      <c r="C98" s="161" t="s">
        <v>288</v>
      </c>
      <c r="D98" s="845">
        <v>10619552</v>
      </c>
      <c r="E98" s="845">
        <v>10424476.78</v>
      </c>
      <c r="F98" s="917">
        <f t="shared" si="5"/>
        <v>98.16305603098887</v>
      </c>
      <c r="G98" s="991"/>
    </row>
    <row r="99" spans="1:8" s="328" customFormat="1" ht="12" customHeight="1">
      <c r="A99" s="374"/>
      <c r="B99" s="326"/>
      <c r="C99" s="327" t="s">
        <v>305</v>
      </c>
      <c r="D99" s="759"/>
      <c r="E99" s="918"/>
      <c r="F99" s="919"/>
      <c r="G99" s="991"/>
      <c r="H99" s="323"/>
    </row>
    <row r="100" spans="1:8" s="332" customFormat="1" ht="18.75" customHeight="1">
      <c r="A100" s="361"/>
      <c r="B100" s="330"/>
      <c r="C100" s="331" t="s">
        <v>307</v>
      </c>
      <c r="D100" s="920">
        <f>SUM(D101,D102)</f>
        <v>8379800</v>
      </c>
      <c r="E100" s="920">
        <f>SUM(E101,E102)</f>
        <v>8377190.0600000005</v>
      </c>
      <c r="F100" s="921">
        <f>E100/D100*100</f>
        <v>99.9688543879329</v>
      </c>
      <c r="G100" s="991"/>
      <c r="H100" s="337"/>
    </row>
    <row r="101" spans="1:8" s="328" customFormat="1" ht="18.75" customHeight="1">
      <c r="A101" s="374"/>
      <c r="B101" s="326"/>
      <c r="C101" s="333" t="s">
        <v>280</v>
      </c>
      <c r="D101" s="918">
        <v>7205564</v>
      </c>
      <c r="E101" s="918">
        <v>7203049.95</v>
      </c>
      <c r="F101" s="922">
        <f>E101/D101*100</f>
        <v>99.96510960141359</v>
      </c>
      <c r="G101" s="991"/>
      <c r="H101" s="323"/>
    </row>
    <row r="102" spans="1:8" s="328" customFormat="1" ht="18.75" customHeight="1">
      <c r="A102" s="374"/>
      <c r="B102" s="326"/>
      <c r="C102" s="333" t="s">
        <v>281</v>
      </c>
      <c r="D102" s="918">
        <v>1174236</v>
      </c>
      <c r="E102" s="918">
        <v>1174140.11</v>
      </c>
      <c r="F102" s="922">
        <f>E102/D102*100</f>
        <v>99.99183383919417</v>
      </c>
      <c r="G102" s="991"/>
      <c r="H102" s="323"/>
    </row>
    <row r="103" spans="1:7" s="323" customFormat="1" ht="18.75" customHeight="1">
      <c r="A103" s="375"/>
      <c r="B103" s="322"/>
      <c r="C103" s="161" t="s">
        <v>309</v>
      </c>
      <c r="D103" s="845">
        <v>306439</v>
      </c>
      <c r="E103" s="845">
        <v>193355.66</v>
      </c>
      <c r="F103" s="917">
        <f aca="true" t="shared" si="6" ref="F103:F124">E103/D103*100</f>
        <v>63.097601806558565</v>
      </c>
      <c r="G103" s="991"/>
    </row>
    <row r="104" spans="1:8" s="328" customFormat="1" ht="18.75" customHeight="1">
      <c r="A104" s="376"/>
      <c r="B104" s="320" t="s">
        <v>882</v>
      </c>
      <c r="C104" s="172" t="s">
        <v>840</v>
      </c>
      <c r="D104" s="844">
        <f>SUM(D105)</f>
        <v>950185</v>
      </c>
      <c r="E104" s="844">
        <f>SUM(E105)</f>
        <v>497038.3</v>
      </c>
      <c r="F104" s="916">
        <f t="shared" si="6"/>
        <v>52.309634439609134</v>
      </c>
      <c r="G104" s="991"/>
      <c r="H104" s="323"/>
    </row>
    <row r="105" spans="1:8" s="328" customFormat="1" ht="18.75" customHeight="1">
      <c r="A105" s="375"/>
      <c r="B105" s="322"/>
      <c r="C105" s="161" t="s">
        <v>288</v>
      </c>
      <c r="D105" s="845">
        <v>950185</v>
      </c>
      <c r="E105" s="845">
        <v>497038.3</v>
      </c>
      <c r="F105" s="917">
        <f t="shared" si="6"/>
        <v>52.309634439609134</v>
      </c>
      <c r="G105" s="991"/>
      <c r="H105" s="323"/>
    </row>
    <row r="106" spans="1:8" s="328" customFormat="1" ht="12" customHeight="1">
      <c r="A106" s="374"/>
      <c r="B106" s="326"/>
      <c r="C106" s="327" t="s">
        <v>305</v>
      </c>
      <c r="D106" s="759"/>
      <c r="E106" s="918"/>
      <c r="F106" s="919"/>
      <c r="G106" s="991"/>
      <c r="H106" s="323"/>
    </row>
    <row r="107" spans="1:7" s="81" customFormat="1" ht="18.75" customHeight="1">
      <c r="A107" s="361"/>
      <c r="B107" s="330"/>
      <c r="C107" s="331" t="s">
        <v>307</v>
      </c>
      <c r="D107" s="920">
        <f>SUM(D108,D109)</f>
        <v>66650</v>
      </c>
      <c r="E107" s="920">
        <f>SUM(E108,E109)</f>
        <v>15243.76</v>
      </c>
      <c r="F107" s="921">
        <f t="shared" si="6"/>
        <v>22.871357839459865</v>
      </c>
      <c r="G107" s="82"/>
    </row>
    <row r="108" spans="1:7" s="78" customFormat="1" ht="18.75" customHeight="1">
      <c r="A108" s="374"/>
      <c r="B108" s="326"/>
      <c r="C108" s="333" t="s">
        <v>280</v>
      </c>
      <c r="D108" s="918">
        <v>66300</v>
      </c>
      <c r="E108" s="918">
        <v>14928</v>
      </c>
      <c r="F108" s="922">
        <f t="shared" si="6"/>
        <v>22.515837104072396</v>
      </c>
      <c r="G108" s="82"/>
    </row>
    <row r="109" spans="1:7" s="948" customFormat="1" ht="18.75" customHeight="1">
      <c r="A109" s="947"/>
      <c r="B109" s="934"/>
      <c r="C109" s="945" t="s">
        <v>281</v>
      </c>
      <c r="D109" s="936">
        <v>350</v>
      </c>
      <c r="E109" s="936">
        <v>315.76</v>
      </c>
      <c r="F109" s="946">
        <f>E109/D109*100</f>
        <v>90.21714285714285</v>
      </c>
      <c r="G109" s="82"/>
    </row>
    <row r="110" spans="1:7" s="337" customFormat="1" ht="18.75" customHeight="1">
      <c r="A110" s="361"/>
      <c r="B110" s="330"/>
      <c r="C110" s="331" t="s">
        <v>308</v>
      </c>
      <c r="D110" s="920">
        <v>6255</v>
      </c>
      <c r="E110" s="920">
        <v>6255</v>
      </c>
      <c r="F110" s="921">
        <f t="shared" si="6"/>
        <v>100</v>
      </c>
      <c r="G110" s="991"/>
    </row>
    <row r="111" spans="1:8" s="328" customFormat="1" ht="44.25" customHeight="1">
      <c r="A111" s="379" t="s">
        <v>1101</v>
      </c>
      <c r="B111" s="318"/>
      <c r="C111" s="335" t="s">
        <v>883</v>
      </c>
      <c r="D111" s="949">
        <f>SUM(D112,D118)</f>
        <v>6168</v>
      </c>
      <c r="E111" s="949">
        <f>SUM(E112,E118)</f>
        <v>6166.74</v>
      </c>
      <c r="F111" s="915">
        <f t="shared" si="6"/>
        <v>99.9795719844358</v>
      </c>
      <c r="G111" s="991"/>
      <c r="H111" s="323"/>
    </row>
    <row r="112" spans="1:8" s="328" customFormat="1" ht="26.25" customHeight="1">
      <c r="A112" s="376"/>
      <c r="B112" s="338" t="s">
        <v>1038</v>
      </c>
      <c r="C112" s="324" t="s">
        <v>319</v>
      </c>
      <c r="D112" s="950">
        <f>D113</f>
        <v>6168</v>
      </c>
      <c r="E112" s="844">
        <f>E113</f>
        <v>6166.74</v>
      </c>
      <c r="F112" s="916">
        <f t="shared" si="6"/>
        <v>99.9795719844358</v>
      </c>
      <c r="G112" s="991"/>
      <c r="H112" s="323"/>
    </row>
    <row r="113" spans="1:8" s="328" customFormat="1" ht="18.75" customHeight="1">
      <c r="A113" s="375"/>
      <c r="B113" s="322"/>
      <c r="C113" s="161" t="s">
        <v>288</v>
      </c>
      <c r="D113" s="845">
        <v>6168</v>
      </c>
      <c r="E113" s="845">
        <v>6166.74</v>
      </c>
      <c r="F113" s="917">
        <f t="shared" si="6"/>
        <v>99.9795719844358</v>
      </c>
      <c r="G113" s="991"/>
      <c r="H113" s="323"/>
    </row>
    <row r="114" spans="1:7" s="81" customFormat="1" ht="12" customHeight="1">
      <c r="A114" s="374"/>
      <c r="B114" s="326"/>
      <c r="C114" s="327" t="s">
        <v>305</v>
      </c>
      <c r="D114" s="918"/>
      <c r="E114" s="918"/>
      <c r="F114" s="919"/>
      <c r="G114" s="82"/>
    </row>
    <row r="115" spans="1:7" s="81" customFormat="1" ht="18.75" customHeight="1">
      <c r="A115" s="361"/>
      <c r="B115" s="330"/>
      <c r="C115" s="331" t="s">
        <v>307</v>
      </c>
      <c r="D115" s="920">
        <f>SUM(D116,D117)</f>
        <v>6168</v>
      </c>
      <c r="E115" s="920">
        <f>SUM(E116,E117)</f>
        <v>6166.74</v>
      </c>
      <c r="F115" s="921">
        <f t="shared" si="6"/>
        <v>99.9795719844358</v>
      </c>
      <c r="G115" s="82"/>
    </row>
    <row r="116" spans="1:7" s="78" customFormat="1" ht="18.75" customHeight="1">
      <c r="A116" s="374"/>
      <c r="B116" s="326"/>
      <c r="C116" s="333" t="s">
        <v>280</v>
      </c>
      <c r="D116" s="918">
        <v>5242</v>
      </c>
      <c r="E116" s="918">
        <v>5241.96</v>
      </c>
      <c r="F116" s="922">
        <f t="shared" si="6"/>
        <v>99.99923693246853</v>
      </c>
      <c r="G116" s="82"/>
    </row>
    <row r="117" spans="1:7" s="78" customFormat="1" ht="18.75" customHeight="1">
      <c r="A117" s="374"/>
      <c r="B117" s="326"/>
      <c r="C117" s="333" t="s">
        <v>281</v>
      </c>
      <c r="D117" s="918">
        <v>926</v>
      </c>
      <c r="E117" s="918">
        <v>924.78</v>
      </c>
      <c r="F117" s="922">
        <f t="shared" si="6"/>
        <v>99.8682505399568</v>
      </c>
      <c r="G117" s="82"/>
    </row>
    <row r="118" spans="1:8" s="328" customFormat="1" ht="16.5" customHeight="1" hidden="1">
      <c r="A118" s="376"/>
      <c r="B118" s="338" t="s">
        <v>89</v>
      </c>
      <c r="C118" s="324" t="s">
        <v>996</v>
      </c>
      <c r="D118" s="764">
        <f>D119</f>
        <v>0</v>
      </c>
      <c r="E118" s="750">
        <f>E119</f>
        <v>0</v>
      </c>
      <c r="F118" s="757" t="e">
        <f>E118/D118*100</f>
        <v>#DIV/0!</v>
      </c>
      <c r="G118" s="991"/>
      <c r="H118" s="323"/>
    </row>
    <row r="119" spans="1:8" s="328" customFormat="1" ht="18.75" customHeight="1" hidden="1">
      <c r="A119" s="375"/>
      <c r="B119" s="322"/>
      <c r="C119" s="161" t="s">
        <v>288</v>
      </c>
      <c r="D119" s="751">
        <v>0</v>
      </c>
      <c r="E119" s="751">
        <v>0</v>
      </c>
      <c r="F119" s="758" t="e">
        <f>E119/D119*100</f>
        <v>#DIV/0!</v>
      </c>
      <c r="G119" s="991"/>
      <c r="H119" s="323"/>
    </row>
    <row r="120" spans="1:7" s="81" customFormat="1" ht="12" customHeight="1" hidden="1">
      <c r="A120" s="374"/>
      <c r="B120" s="326"/>
      <c r="C120" s="327" t="s">
        <v>305</v>
      </c>
      <c r="D120" s="759"/>
      <c r="E120" s="759"/>
      <c r="F120" s="760"/>
      <c r="G120" s="82"/>
    </row>
    <row r="121" spans="1:7" s="81" customFormat="1" ht="18.75" customHeight="1" hidden="1">
      <c r="A121" s="361"/>
      <c r="B121" s="330"/>
      <c r="C121" s="331" t="s">
        <v>307</v>
      </c>
      <c r="D121" s="761">
        <f>SUM(D122,D123)</f>
        <v>0</v>
      </c>
      <c r="E121" s="761">
        <f>SUM(E122,E123)</f>
        <v>0</v>
      </c>
      <c r="F121" s="762" t="e">
        <f>E121/D121*100</f>
        <v>#DIV/0!</v>
      </c>
      <c r="G121" s="82"/>
    </row>
    <row r="122" spans="1:7" s="78" customFormat="1" ht="18.75" customHeight="1" hidden="1">
      <c r="A122" s="374"/>
      <c r="B122" s="326"/>
      <c r="C122" s="333" t="s">
        <v>280</v>
      </c>
      <c r="D122" s="759">
        <v>0</v>
      </c>
      <c r="E122" s="759">
        <v>0</v>
      </c>
      <c r="F122" s="763" t="e">
        <f>E122/D122*100</f>
        <v>#DIV/0!</v>
      </c>
      <c r="G122" s="82"/>
    </row>
    <row r="123" spans="1:7" s="78" customFormat="1" ht="18.75" customHeight="1" hidden="1">
      <c r="A123" s="374"/>
      <c r="B123" s="326"/>
      <c r="C123" s="333" t="s">
        <v>281</v>
      </c>
      <c r="D123" s="759">
        <v>0</v>
      </c>
      <c r="E123" s="759">
        <v>0</v>
      </c>
      <c r="F123" s="763" t="e">
        <f>E123/D123*100</f>
        <v>#DIV/0!</v>
      </c>
      <c r="G123" s="82"/>
    </row>
    <row r="124" spans="1:8" s="328" customFormat="1" ht="27.75" customHeight="1">
      <c r="A124" s="379" t="s">
        <v>884</v>
      </c>
      <c r="B124" s="318"/>
      <c r="C124" s="335" t="s">
        <v>1191</v>
      </c>
      <c r="D124" s="914">
        <f>SUM(D125,D131,D133,D140)</f>
        <v>535604</v>
      </c>
      <c r="E124" s="914">
        <f>SUM(E125,E131,E133,E140)</f>
        <v>493969</v>
      </c>
      <c r="F124" s="915">
        <f t="shared" si="6"/>
        <v>92.22653303560094</v>
      </c>
      <c r="G124" s="991"/>
      <c r="H124" s="323"/>
    </row>
    <row r="125" spans="1:8" s="328" customFormat="1" ht="18.75" customHeight="1">
      <c r="A125" s="376"/>
      <c r="B125" s="320" t="s">
        <v>322</v>
      </c>
      <c r="C125" s="172" t="s">
        <v>323</v>
      </c>
      <c r="D125" s="844">
        <f>SUM(D126)</f>
        <v>94126</v>
      </c>
      <c r="E125" s="844">
        <f>SUM(E126)</f>
        <v>89836.31</v>
      </c>
      <c r="F125" s="916">
        <f aca="true" t="shared" si="7" ref="F125:F159">E125/D125*100</f>
        <v>95.44260884346514</v>
      </c>
      <c r="G125" s="991"/>
      <c r="H125" s="323"/>
    </row>
    <row r="126" spans="1:7" s="323" customFormat="1" ht="18.75" customHeight="1">
      <c r="A126" s="375"/>
      <c r="B126" s="322"/>
      <c r="C126" s="161" t="s">
        <v>288</v>
      </c>
      <c r="D126" s="845">
        <v>94126</v>
      </c>
      <c r="E126" s="845">
        <v>89836.31</v>
      </c>
      <c r="F126" s="917">
        <f t="shared" si="7"/>
        <v>95.44260884346514</v>
      </c>
      <c r="G126" s="991"/>
    </row>
    <row r="127" spans="1:8" s="328" customFormat="1" ht="12" customHeight="1">
      <c r="A127" s="380"/>
      <c r="B127" s="357"/>
      <c r="C127" s="327" t="s">
        <v>305</v>
      </c>
      <c r="D127" s="951"/>
      <c r="E127" s="951"/>
      <c r="F127" s="986"/>
      <c r="G127" s="991"/>
      <c r="H127" s="323"/>
    </row>
    <row r="128" spans="1:7" s="81" customFormat="1" ht="18.75" customHeight="1">
      <c r="A128" s="361"/>
      <c r="B128" s="330"/>
      <c r="C128" s="331" t="s">
        <v>307</v>
      </c>
      <c r="D128" s="920">
        <f>SUM(D129,D130)</f>
        <v>47379</v>
      </c>
      <c r="E128" s="920">
        <f>SUM(E129,E130)</f>
        <v>47115.71</v>
      </c>
      <c r="F128" s="921">
        <f t="shared" si="7"/>
        <v>99.44428966419721</v>
      </c>
      <c r="G128" s="82"/>
    </row>
    <row r="129" spans="1:7" s="78" customFormat="1" ht="18.75" customHeight="1">
      <c r="A129" s="374"/>
      <c r="B129" s="326"/>
      <c r="C129" s="333" t="s">
        <v>280</v>
      </c>
      <c r="D129" s="918">
        <v>41228</v>
      </c>
      <c r="E129" s="918">
        <v>40992.42</v>
      </c>
      <c r="F129" s="922">
        <f t="shared" si="7"/>
        <v>99.42859221888037</v>
      </c>
      <c r="G129" s="82"/>
    </row>
    <row r="130" spans="1:7" s="78" customFormat="1" ht="18.75" customHeight="1">
      <c r="A130" s="374"/>
      <c r="B130" s="326"/>
      <c r="C130" s="333" t="s">
        <v>281</v>
      </c>
      <c r="D130" s="918">
        <v>6151</v>
      </c>
      <c r="E130" s="918">
        <v>6123.29</v>
      </c>
      <c r="F130" s="922">
        <f t="shared" si="7"/>
        <v>99.54950414566737</v>
      </c>
      <c r="G130" s="82"/>
    </row>
    <row r="131" spans="1:8" s="328" customFormat="1" ht="18.75" customHeight="1">
      <c r="A131" s="376"/>
      <c r="B131" s="320" t="s">
        <v>886</v>
      </c>
      <c r="C131" s="165" t="s">
        <v>887</v>
      </c>
      <c r="D131" s="844">
        <f>SUM(D132)</f>
        <v>7000</v>
      </c>
      <c r="E131" s="844">
        <f>SUM(E132)</f>
        <v>6972.26</v>
      </c>
      <c r="F131" s="916">
        <f t="shared" si="7"/>
        <v>99.60371428571429</v>
      </c>
      <c r="G131" s="991"/>
      <c r="H131" s="323"/>
    </row>
    <row r="132" spans="1:8" s="328" customFormat="1" ht="18.75" customHeight="1">
      <c r="A132" s="375"/>
      <c r="B132" s="322"/>
      <c r="C132" s="161" t="s">
        <v>288</v>
      </c>
      <c r="D132" s="845">
        <v>7000</v>
      </c>
      <c r="E132" s="845">
        <v>6972.26</v>
      </c>
      <c r="F132" s="917">
        <f t="shared" si="7"/>
        <v>99.60371428571429</v>
      </c>
      <c r="G132" s="991"/>
      <c r="H132" s="323"/>
    </row>
    <row r="133" spans="1:7" s="323" customFormat="1" ht="18.75" customHeight="1">
      <c r="A133" s="376"/>
      <c r="B133" s="320" t="s">
        <v>1173</v>
      </c>
      <c r="C133" s="165" t="s">
        <v>1174</v>
      </c>
      <c r="D133" s="844">
        <f>SUM(D134,D139)</f>
        <v>314656</v>
      </c>
      <c r="E133" s="844">
        <f>SUM(E134,E139)</f>
        <v>309141.39</v>
      </c>
      <c r="F133" s="916">
        <f t="shared" si="7"/>
        <v>98.24741622597377</v>
      </c>
      <c r="G133" s="991"/>
    </row>
    <row r="134" spans="1:7" s="323" customFormat="1" ht="18.75" customHeight="1">
      <c r="A134" s="375"/>
      <c r="B134" s="322"/>
      <c r="C134" s="161" t="s">
        <v>288</v>
      </c>
      <c r="D134" s="845">
        <v>214656</v>
      </c>
      <c r="E134" s="845">
        <v>209241.38</v>
      </c>
      <c r="F134" s="917">
        <f t="shared" si="7"/>
        <v>97.47753615086464</v>
      </c>
      <c r="G134" s="991"/>
    </row>
    <row r="135" spans="1:8" s="328" customFormat="1" ht="12" customHeight="1">
      <c r="A135" s="374"/>
      <c r="B135" s="326"/>
      <c r="C135" s="327" t="s">
        <v>305</v>
      </c>
      <c r="D135" s="918"/>
      <c r="E135" s="918"/>
      <c r="F135" s="919"/>
      <c r="G135" s="991"/>
      <c r="H135" s="323"/>
    </row>
    <row r="136" spans="1:7" s="81" customFormat="1" ht="18.75" customHeight="1">
      <c r="A136" s="361"/>
      <c r="B136" s="330"/>
      <c r="C136" s="331" t="s">
        <v>307</v>
      </c>
      <c r="D136" s="920">
        <f>SUM(D137,D138)</f>
        <v>180706</v>
      </c>
      <c r="E136" s="920">
        <f>SUM(E137,E138)</f>
        <v>180653.73</v>
      </c>
      <c r="F136" s="921">
        <f t="shared" si="7"/>
        <v>99.9710745631025</v>
      </c>
      <c r="G136" s="82"/>
    </row>
    <row r="137" spans="1:7" s="78" customFormat="1" ht="18.75" customHeight="1">
      <c r="A137" s="374"/>
      <c r="B137" s="326"/>
      <c r="C137" s="333" t="s">
        <v>280</v>
      </c>
      <c r="D137" s="918">
        <v>153864</v>
      </c>
      <c r="E137" s="918">
        <v>153825.48</v>
      </c>
      <c r="F137" s="922">
        <f t="shared" si="7"/>
        <v>99.97496490407114</v>
      </c>
      <c r="G137" s="82"/>
    </row>
    <row r="138" spans="1:7" s="78" customFormat="1" ht="18.75" customHeight="1">
      <c r="A138" s="374"/>
      <c r="B138" s="326"/>
      <c r="C138" s="333" t="s">
        <v>281</v>
      </c>
      <c r="D138" s="918">
        <v>26842</v>
      </c>
      <c r="E138" s="918">
        <v>26828.25</v>
      </c>
      <c r="F138" s="922">
        <f t="shared" si="7"/>
        <v>99.94877430891887</v>
      </c>
      <c r="G138" s="82"/>
    </row>
    <row r="139" spans="1:8" s="328" customFormat="1" ht="18.75" customHeight="1">
      <c r="A139" s="375"/>
      <c r="B139" s="322"/>
      <c r="C139" s="161" t="s">
        <v>309</v>
      </c>
      <c r="D139" s="845">
        <v>100000</v>
      </c>
      <c r="E139" s="845">
        <v>99900.01</v>
      </c>
      <c r="F139" s="917">
        <f>E139/D139*100</f>
        <v>99.90001</v>
      </c>
      <c r="G139" s="991"/>
      <c r="H139" s="323"/>
    </row>
    <row r="140" spans="1:8" s="328" customFormat="1" ht="17.25" customHeight="1">
      <c r="A140" s="376"/>
      <c r="B140" s="320" t="s">
        <v>324</v>
      </c>
      <c r="C140" s="165" t="s">
        <v>840</v>
      </c>
      <c r="D140" s="844">
        <f>SUM(D141,D142)</f>
        <v>119822</v>
      </c>
      <c r="E140" s="844">
        <f>SUM(E141,E142)</f>
        <v>88019.04</v>
      </c>
      <c r="F140" s="916">
        <f t="shared" si="7"/>
        <v>73.45816294169684</v>
      </c>
      <c r="G140" s="991"/>
      <c r="H140" s="323"/>
    </row>
    <row r="141" spans="1:8" s="328" customFormat="1" ht="18.75" customHeight="1">
      <c r="A141" s="375"/>
      <c r="B141" s="322"/>
      <c r="C141" s="161" t="s">
        <v>288</v>
      </c>
      <c r="D141" s="845">
        <v>32766</v>
      </c>
      <c r="E141" s="845">
        <v>30097.23</v>
      </c>
      <c r="F141" s="917">
        <f t="shared" si="7"/>
        <v>91.85506317524262</v>
      </c>
      <c r="G141" s="991"/>
      <c r="H141" s="323"/>
    </row>
    <row r="142" spans="1:8" s="328" customFormat="1" ht="18.75" customHeight="1">
      <c r="A142" s="375"/>
      <c r="B142" s="322"/>
      <c r="C142" s="161" t="s">
        <v>309</v>
      </c>
      <c r="D142" s="845">
        <v>87056</v>
      </c>
      <c r="E142" s="845">
        <v>57921.81</v>
      </c>
      <c r="F142" s="917">
        <f t="shared" si="7"/>
        <v>66.53396664216137</v>
      </c>
      <c r="G142" s="991"/>
      <c r="H142" s="323"/>
    </row>
    <row r="143" spans="1:7" s="78" customFormat="1" ht="65.25" customHeight="1">
      <c r="A143" s="377" t="s">
        <v>1142</v>
      </c>
      <c r="B143" s="318"/>
      <c r="C143" s="335" t="s">
        <v>325</v>
      </c>
      <c r="D143" s="914">
        <f>SUM(D144)</f>
        <v>445000</v>
      </c>
      <c r="E143" s="914">
        <f>SUM(E144)</f>
        <v>390816.3</v>
      </c>
      <c r="F143" s="915">
        <f t="shared" si="7"/>
        <v>87.82388764044944</v>
      </c>
      <c r="G143" s="82"/>
    </row>
    <row r="144" spans="1:7" s="323" customFormat="1" ht="27.75" customHeight="1">
      <c r="A144" s="376"/>
      <c r="B144" s="320" t="s">
        <v>327</v>
      </c>
      <c r="C144" s="324" t="s">
        <v>328</v>
      </c>
      <c r="D144" s="844">
        <f>SUM(D145)</f>
        <v>445000</v>
      </c>
      <c r="E144" s="844">
        <f>SUM(E145)</f>
        <v>390816.3</v>
      </c>
      <c r="F144" s="916">
        <f t="shared" si="7"/>
        <v>87.82388764044944</v>
      </c>
      <c r="G144" s="991"/>
    </row>
    <row r="145" spans="1:8" s="328" customFormat="1" ht="18.75" customHeight="1">
      <c r="A145" s="376"/>
      <c r="B145" s="320"/>
      <c r="C145" s="161" t="s">
        <v>288</v>
      </c>
      <c r="D145" s="845">
        <v>445000</v>
      </c>
      <c r="E145" s="845">
        <v>390816.3</v>
      </c>
      <c r="F145" s="917">
        <f t="shared" si="7"/>
        <v>87.82388764044944</v>
      </c>
      <c r="G145" s="991"/>
      <c r="H145" s="323"/>
    </row>
    <row r="146" spans="1:8" s="328" customFormat="1" ht="11.25" customHeight="1">
      <c r="A146" s="376"/>
      <c r="B146" s="320"/>
      <c r="C146" s="327" t="s">
        <v>305</v>
      </c>
      <c r="D146" s="844"/>
      <c r="E146" s="844"/>
      <c r="F146" s="917"/>
      <c r="G146" s="991"/>
      <c r="H146" s="323"/>
    </row>
    <row r="147" spans="1:8" s="332" customFormat="1" ht="18.75" customHeight="1">
      <c r="A147" s="381"/>
      <c r="B147" s="358"/>
      <c r="C147" s="331" t="s">
        <v>307</v>
      </c>
      <c r="D147" s="920">
        <f>SUM(D148)</f>
        <v>225000</v>
      </c>
      <c r="E147" s="920">
        <f>SUM(E148)</f>
        <v>195084.41</v>
      </c>
      <c r="F147" s="921">
        <f t="shared" si="7"/>
        <v>86.70418222222223</v>
      </c>
      <c r="G147" s="991"/>
      <c r="H147" s="337"/>
    </row>
    <row r="148" spans="1:8" s="328" customFormat="1" ht="18.75" customHeight="1">
      <c r="A148" s="382"/>
      <c r="B148" s="359"/>
      <c r="C148" s="333" t="s">
        <v>280</v>
      </c>
      <c r="D148" s="918">
        <v>225000</v>
      </c>
      <c r="E148" s="918">
        <v>195084.41</v>
      </c>
      <c r="F148" s="922">
        <f t="shared" si="7"/>
        <v>86.70418222222223</v>
      </c>
      <c r="G148" s="991"/>
      <c r="H148" s="323"/>
    </row>
    <row r="149" spans="1:8" s="328" customFormat="1" ht="18.75" customHeight="1">
      <c r="A149" s="377" t="s">
        <v>888</v>
      </c>
      <c r="B149" s="318"/>
      <c r="C149" s="173" t="s">
        <v>331</v>
      </c>
      <c r="D149" s="914">
        <f>D150</f>
        <v>1931161</v>
      </c>
      <c r="E149" s="914">
        <f>E150</f>
        <v>1918459.91</v>
      </c>
      <c r="F149" s="915">
        <f t="shared" si="7"/>
        <v>99.34230807270859</v>
      </c>
      <c r="G149" s="991"/>
      <c r="H149" s="323"/>
    </row>
    <row r="150" spans="1:8" s="328" customFormat="1" ht="29.25" customHeight="1">
      <c r="A150" s="376"/>
      <c r="B150" s="320" t="s">
        <v>332</v>
      </c>
      <c r="C150" s="324" t="s">
        <v>341</v>
      </c>
      <c r="D150" s="844">
        <f>D151</f>
        <v>1931161</v>
      </c>
      <c r="E150" s="844">
        <f>E151</f>
        <v>1918459.91</v>
      </c>
      <c r="F150" s="916">
        <f t="shared" si="7"/>
        <v>99.34230807270859</v>
      </c>
      <c r="G150" s="991"/>
      <c r="H150" s="323"/>
    </row>
    <row r="151" spans="1:8" s="328" customFormat="1" ht="18.75" customHeight="1">
      <c r="A151" s="375"/>
      <c r="B151" s="322"/>
      <c r="C151" s="161" t="s">
        <v>288</v>
      </c>
      <c r="D151" s="845">
        <v>1931161</v>
      </c>
      <c r="E151" s="845">
        <v>1918459.91</v>
      </c>
      <c r="F151" s="917">
        <f t="shared" si="7"/>
        <v>99.34230807270859</v>
      </c>
      <c r="G151" s="991"/>
      <c r="H151" s="323"/>
    </row>
    <row r="152" spans="1:7" s="81" customFormat="1" ht="12" customHeight="1">
      <c r="A152" s="374"/>
      <c r="B152" s="326"/>
      <c r="C152" s="327" t="s">
        <v>305</v>
      </c>
      <c r="D152" s="918"/>
      <c r="E152" s="918"/>
      <c r="F152" s="919"/>
      <c r="G152" s="82"/>
    </row>
    <row r="153" spans="1:7" s="81" customFormat="1" ht="18.75" customHeight="1">
      <c r="A153" s="361"/>
      <c r="B153" s="330"/>
      <c r="C153" s="331" t="s">
        <v>343</v>
      </c>
      <c r="D153" s="920">
        <v>1931161</v>
      </c>
      <c r="E153" s="920">
        <v>1918459.91</v>
      </c>
      <c r="F153" s="921">
        <f t="shared" si="7"/>
        <v>99.34230807270859</v>
      </c>
      <c r="G153" s="82"/>
    </row>
    <row r="154" spans="1:7" s="81" customFormat="1" ht="18.75" customHeight="1">
      <c r="A154" s="377" t="s">
        <v>889</v>
      </c>
      <c r="B154" s="318"/>
      <c r="C154" s="335" t="s">
        <v>890</v>
      </c>
      <c r="D154" s="914">
        <f>SUM(D155)</f>
        <v>351435</v>
      </c>
      <c r="E154" s="914">
        <f>SUM(E155)</f>
        <v>0</v>
      </c>
      <c r="F154" s="915">
        <f t="shared" si="7"/>
        <v>0</v>
      </c>
      <c r="G154" s="82"/>
    </row>
    <row r="155" spans="1:7" s="78" customFormat="1" ht="18.75" customHeight="1">
      <c r="A155" s="376"/>
      <c r="B155" s="320" t="s">
        <v>815</v>
      </c>
      <c r="C155" s="324" t="s">
        <v>816</v>
      </c>
      <c r="D155" s="844">
        <f>SUM(D156)</f>
        <v>351435</v>
      </c>
      <c r="E155" s="844">
        <f>SUM(E156)</f>
        <v>0</v>
      </c>
      <c r="F155" s="917">
        <f t="shared" si="7"/>
        <v>0</v>
      </c>
      <c r="G155" s="82"/>
    </row>
    <row r="156" spans="1:7" s="78" customFormat="1" ht="18.75" customHeight="1">
      <c r="A156" s="375"/>
      <c r="B156" s="322"/>
      <c r="C156" s="161" t="s">
        <v>288</v>
      </c>
      <c r="D156" s="845">
        <v>351435</v>
      </c>
      <c r="E156" s="845">
        <v>0</v>
      </c>
      <c r="F156" s="916">
        <f t="shared" si="7"/>
        <v>0</v>
      </c>
      <c r="G156" s="82"/>
    </row>
    <row r="157" spans="1:7" s="78" customFormat="1" ht="18.75" customHeight="1">
      <c r="A157" s="377" t="s">
        <v>891</v>
      </c>
      <c r="B157" s="318"/>
      <c r="C157" s="173" t="s">
        <v>892</v>
      </c>
      <c r="D157" s="914">
        <f>SUM(D158,D166,D172,D179,D187,D191,D193,D200)</f>
        <v>27722687</v>
      </c>
      <c r="E157" s="914">
        <f>SUM(E158,E166,E172,E179,E187,E191,E193,E200)</f>
        <v>27640486.27</v>
      </c>
      <c r="F157" s="915">
        <f t="shared" si="7"/>
        <v>99.70348931184051</v>
      </c>
      <c r="G157" s="82"/>
    </row>
    <row r="158" spans="1:7" s="323" customFormat="1" ht="18.75" customHeight="1">
      <c r="A158" s="376"/>
      <c r="B158" s="320" t="s">
        <v>893</v>
      </c>
      <c r="C158" s="172" t="s">
        <v>894</v>
      </c>
      <c r="D158" s="844">
        <f>SUM(D159,D165)</f>
        <v>12111175</v>
      </c>
      <c r="E158" s="844">
        <f>SUM(E159,E165)</f>
        <v>12081763.59</v>
      </c>
      <c r="F158" s="916">
        <f t="shared" si="7"/>
        <v>99.7571547764771</v>
      </c>
      <c r="G158" s="991"/>
    </row>
    <row r="159" spans="1:8" s="328" customFormat="1" ht="18.75" customHeight="1">
      <c r="A159" s="375"/>
      <c r="B159" s="322"/>
      <c r="C159" s="161" t="s">
        <v>288</v>
      </c>
      <c r="D159" s="845">
        <v>12045947</v>
      </c>
      <c r="E159" s="845">
        <v>12016535.77</v>
      </c>
      <c r="F159" s="917">
        <f t="shared" si="7"/>
        <v>99.75584128005876</v>
      </c>
      <c r="G159" s="991"/>
      <c r="H159" s="323"/>
    </row>
    <row r="160" spans="1:7" s="81" customFormat="1" ht="12" customHeight="1">
      <c r="A160" s="374"/>
      <c r="B160" s="326"/>
      <c r="C160" s="327" t="s">
        <v>305</v>
      </c>
      <c r="D160" s="918"/>
      <c r="E160" s="918"/>
      <c r="F160" s="919"/>
      <c r="G160" s="82"/>
    </row>
    <row r="161" spans="1:7" s="81" customFormat="1" ht="18.75" customHeight="1">
      <c r="A161" s="361"/>
      <c r="B161" s="330"/>
      <c r="C161" s="331" t="s">
        <v>307</v>
      </c>
      <c r="D161" s="920">
        <f>SUM(D162,D163)</f>
        <v>9878888</v>
      </c>
      <c r="E161" s="920">
        <f>SUM(E162,E163)</f>
        <v>9864517.610000001</v>
      </c>
      <c r="F161" s="921">
        <f aca="true" t="shared" si="8" ref="F161:F185">E161/D161*100</f>
        <v>99.85453433625324</v>
      </c>
      <c r="G161" s="82"/>
    </row>
    <row r="162" spans="1:7" s="78" customFormat="1" ht="18.75" customHeight="1">
      <c r="A162" s="374"/>
      <c r="B162" s="326"/>
      <c r="C162" s="333" t="s">
        <v>280</v>
      </c>
      <c r="D162" s="918">
        <v>8514779</v>
      </c>
      <c r="E162" s="918">
        <v>8502766.97</v>
      </c>
      <c r="F162" s="922">
        <f t="shared" si="8"/>
        <v>99.85892728396122</v>
      </c>
      <c r="G162" s="82"/>
    </row>
    <row r="163" spans="1:7" s="78" customFormat="1" ht="18.75" customHeight="1">
      <c r="A163" s="374"/>
      <c r="B163" s="326"/>
      <c r="C163" s="333" t="s">
        <v>281</v>
      </c>
      <c r="D163" s="918">
        <v>1364109</v>
      </c>
      <c r="E163" s="918">
        <v>1361750.64</v>
      </c>
      <c r="F163" s="922">
        <f t="shared" si="8"/>
        <v>99.82711352245312</v>
      </c>
      <c r="G163" s="82"/>
    </row>
    <row r="164" spans="1:7" s="337" customFormat="1" ht="18.75" customHeight="1">
      <c r="A164" s="361"/>
      <c r="B164" s="330"/>
      <c r="C164" s="331" t="s">
        <v>308</v>
      </c>
      <c r="D164" s="920">
        <v>245050</v>
      </c>
      <c r="E164" s="920">
        <v>245049.75</v>
      </c>
      <c r="F164" s="921">
        <f t="shared" si="8"/>
        <v>99.99989798000408</v>
      </c>
      <c r="G164" s="991"/>
    </row>
    <row r="165" spans="1:7" s="323" customFormat="1" ht="18.75" customHeight="1">
      <c r="A165" s="374"/>
      <c r="B165" s="326"/>
      <c r="C165" s="161" t="s">
        <v>309</v>
      </c>
      <c r="D165" s="845">
        <v>65228</v>
      </c>
      <c r="E165" s="845">
        <v>65227.82</v>
      </c>
      <c r="F165" s="917">
        <f t="shared" si="8"/>
        <v>99.9997240448887</v>
      </c>
      <c r="G165" s="991"/>
    </row>
    <row r="166" spans="1:7" s="78" customFormat="1" ht="18.75" customHeight="1">
      <c r="A166" s="376"/>
      <c r="B166" s="320" t="s">
        <v>1033</v>
      </c>
      <c r="C166" s="172" t="s">
        <v>1034</v>
      </c>
      <c r="D166" s="844">
        <f>D167</f>
        <v>409454</v>
      </c>
      <c r="E166" s="844">
        <f>E167</f>
        <v>409453.95</v>
      </c>
      <c r="F166" s="916">
        <f>E166/D166*100</f>
        <v>99.99998778861607</v>
      </c>
      <c r="G166" s="82"/>
    </row>
    <row r="167" spans="1:7" s="78" customFormat="1" ht="18.75" customHeight="1">
      <c r="A167" s="375"/>
      <c r="B167" s="322"/>
      <c r="C167" s="161" t="s">
        <v>288</v>
      </c>
      <c r="D167" s="845">
        <v>409454</v>
      </c>
      <c r="E167" s="845">
        <v>409453.95</v>
      </c>
      <c r="F167" s="917">
        <f>E167/D167*100</f>
        <v>99.99998778861607</v>
      </c>
      <c r="G167" s="82"/>
    </row>
    <row r="168" spans="1:7" s="78" customFormat="1" ht="12" customHeight="1">
      <c r="A168" s="374"/>
      <c r="B168" s="326"/>
      <c r="C168" s="327" t="s">
        <v>305</v>
      </c>
      <c r="D168" s="759"/>
      <c r="E168" s="918"/>
      <c r="F168" s="919"/>
      <c r="G168" s="82"/>
    </row>
    <row r="169" spans="1:7" s="81" customFormat="1" ht="18.75" customHeight="1">
      <c r="A169" s="361"/>
      <c r="B169" s="330"/>
      <c r="C169" s="331" t="s">
        <v>307</v>
      </c>
      <c r="D169" s="920">
        <f>SUM(D170,D171)</f>
        <v>285441</v>
      </c>
      <c r="E169" s="920">
        <f>SUM(E170,E171)</f>
        <v>285441.42</v>
      </c>
      <c r="F169" s="921">
        <f>E169/D169*100</f>
        <v>100.0001471407401</v>
      </c>
      <c r="G169" s="82"/>
    </row>
    <row r="170" spans="1:7" s="78" customFormat="1" ht="18.75" customHeight="1">
      <c r="A170" s="374"/>
      <c r="B170" s="326"/>
      <c r="C170" s="333" t="s">
        <v>280</v>
      </c>
      <c r="D170" s="918">
        <v>244662</v>
      </c>
      <c r="E170" s="918">
        <v>244661.18</v>
      </c>
      <c r="F170" s="922">
        <f>E170/D170*100</f>
        <v>99.9996648437436</v>
      </c>
      <c r="G170" s="82"/>
    </row>
    <row r="171" spans="1:7" s="78" customFormat="1" ht="18.75" customHeight="1">
      <c r="A171" s="374"/>
      <c r="B171" s="326"/>
      <c r="C171" s="333" t="s">
        <v>281</v>
      </c>
      <c r="D171" s="918">
        <v>40779</v>
      </c>
      <c r="E171" s="918">
        <v>40780.24</v>
      </c>
      <c r="F171" s="922">
        <f>E171/D171*100</f>
        <v>100.00304078079402</v>
      </c>
      <c r="G171" s="82"/>
    </row>
    <row r="172" spans="1:8" s="328" customFormat="1" ht="18.75" customHeight="1">
      <c r="A172" s="376"/>
      <c r="B172" s="320" t="s">
        <v>346</v>
      </c>
      <c r="C172" s="172" t="s">
        <v>347</v>
      </c>
      <c r="D172" s="844">
        <f>SUM(D173,D176)</f>
        <v>5643268</v>
      </c>
      <c r="E172" s="844">
        <f>SUM(E173,E176)</f>
        <v>5637949.67</v>
      </c>
      <c r="F172" s="916">
        <f t="shared" si="8"/>
        <v>99.90575797569777</v>
      </c>
      <c r="G172" s="991"/>
      <c r="H172" s="323"/>
    </row>
    <row r="173" spans="1:8" s="328" customFormat="1" ht="18.75" customHeight="1">
      <c r="A173" s="375"/>
      <c r="B173" s="322"/>
      <c r="C173" s="161" t="s">
        <v>288</v>
      </c>
      <c r="D173" s="845">
        <v>5374268</v>
      </c>
      <c r="E173" s="845">
        <v>5374268</v>
      </c>
      <c r="F173" s="917">
        <f t="shared" si="8"/>
        <v>100</v>
      </c>
      <c r="G173" s="991"/>
      <c r="H173" s="323"/>
    </row>
    <row r="174" spans="1:8" s="328" customFormat="1" ht="12" customHeight="1">
      <c r="A174" s="374"/>
      <c r="B174" s="326"/>
      <c r="C174" s="327" t="s">
        <v>305</v>
      </c>
      <c r="D174" s="759"/>
      <c r="E174" s="918"/>
      <c r="F174" s="919"/>
      <c r="G174" s="991"/>
      <c r="H174" s="323"/>
    </row>
    <row r="175" spans="1:7" s="337" customFormat="1" ht="18.75" customHeight="1">
      <c r="A175" s="361"/>
      <c r="B175" s="330"/>
      <c r="C175" s="331" t="s">
        <v>308</v>
      </c>
      <c r="D175" s="920">
        <v>5374268</v>
      </c>
      <c r="E175" s="920">
        <v>5374268</v>
      </c>
      <c r="F175" s="921">
        <f t="shared" si="8"/>
        <v>100</v>
      </c>
      <c r="G175" s="991"/>
    </row>
    <row r="176" spans="1:7" s="323" customFormat="1" ht="18.75" customHeight="1">
      <c r="A176" s="375"/>
      <c r="B176" s="322"/>
      <c r="C176" s="161" t="s">
        <v>309</v>
      </c>
      <c r="D176" s="845">
        <v>269000</v>
      </c>
      <c r="E176" s="845">
        <v>263681.67</v>
      </c>
      <c r="F176" s="917">
        <f t="shared" si="8"/>
        <v>98.02292565055761</v>
      </c>
      <c r="G176" s="991"/>
    </row>
    <row r="177" spans="1:7" s="323" customFormat="1" ht="12" customHeight="1">
      <c r="A177" s="375"/>
      <c r="B177" s="322"/>
      <c r="C177" s="327" t="s">
        <v>305</v>
      </c>
      <c r="D177" s="918"/>
      <c r="E177" s="918"/>
      <c r="F177" s="919"/>
      <c r="G177" s="991"/>
    </row>
    <row r="178" spans="1:7" s="323" customFormat="1" ht="18.75" customHeight="1">
      <c r="A178" s="375"/>
      <c r="B178" s="322"/>
      <c r="C178" s="331" t="s">
        <v>308</v>
      </c>
      <c r="D178" s="920">
        <v>83000</v>
      </c>
      <c r="E178" s="920">
        <v>83000</v>
      </c>
      <c r="F178" s="921">
        <f>E178/D178*100</f>
        <v>100</v>
      </c>
      <c r="G178" s="991"/>
    </row>
    <row r="179" spans="1:8" s="328" customFormat="1" ht="18.75" customHeight="1">
      <c r="A179" s="376"/>
      <c r="B179" s="320" t="s">
        <v>895</v>
      </c>
      <c r="C179" s="172" t="s">
        <v>896</v>
      </c>
      <c r="D179" s="844">
        <f>SUM(D180,D186)</f>
        <v>8199585</v>
      </c>
      <c r="E179" s="844">
        <f>SUM(E180,E186)</f>
        <v>8154809.13</v>
      </c>
      <c r="F179" s="916">
        <f t="shared" si="8"/>
        <v>99.45392516816399</v>
      </c>
      <c r="G179" s="991"/>
      <c r="H179" s="323"/>
    </row>
    <row r="180" spans="1:8" s="328" customFormat="1" ht="18.75" customHeight="1">
      <c r="A180" s="375"/>
      <c r="B180" s="322"/>
      <c r="C180" s="161" t="s">
        <v>288</v>
      </c>
      <c r="D180" s="845">
        <v>8194320</v>
      </c>
      <c r="E180" s="845">
        <v>8149544.13</v>
      </c>
      <c r="F180" s="917">
        <f t="shared" si="8"/>
        <v>99.45357430512843</v>
      </c>
      <c r="G180" s="991"/>
      <c r="H180" s="323"/>
    </row>
    <row r="181" spans="1:8" s="328" customFormat="1" ht="12" customHeight="1">
      <c r="A181" s="374"/>
      <c r="B181" s="326"/>
      <c r="C181" s="327" t="s">
        <v>305</v>
      </c>
      <c r="D181" s="759"/>
      <c r="E181" s="918"/>
      <c r="F181" s="919"/>
      <c r="G181" s="991"/>
      <c r="H181" s="323"/>
    </row>
    <row r="182" spans="1:7" s="81" customFormat="1" ht="18.75" customHeight="1">
      <c r="A182" s="361"/>
      <c r="B182" s="330"/>
      <c r="C182" s="331" t="s">
        <v>307</v>
      </c>
      <c r="D182" s="920">
        <f>SUM(D183,D184)</f>
        <v>6151292</v>
      </c>
      <c r="E182" s="920">
        <f>SUM(E183,E184)</f>
        <v>6151292.75</v>
      </c>
      <c r="F182" s="921">
        <f t="shared" si="8"/>
        <v>100.00001219256052</v>
      </c>
      <c r="G182" s="82"/>
    </row>
    <row r="183" spans="1:7" s="78" customFormat="1" ht="18.75" customHeight="1">
      <c r="A183" s="374"/>
      <c r="B183" s="326"/>
      <c r="C183" s="333" t="s">
        <v>280</v>
      </c>
      <c r="D183" s="918">
        <v>5244670</v>
      </c>
      <c r="E183" s="918">
        <v>5244670.12</v>
      </c>
      <c r="F183" s="922">
        <f t="shared" si="8"/>
        <v>100.00000228803718</v>
      </c>
      <c r="G183" s="82"/>
    </row>
    <row r="184" spans="1:7" s="78" customFormat="1" ht="18.75" customHeight="1">
      <c r="A184" s="374"/>
      <c r="B184" s="326"/>
      <c r="C184" s="333" t="s">
        <v>281</v>
      </c>
      <c r="D184" s="918">
        <v>906622</v>
      </c>
      <c r="E184" s="918">
        <v>906622.63</v>
      </c>
      <c r="F184" s="922">
        <f t="shared" si="8"/>
        <v>100.00006948871747</v>
      </c>
      <c r="G184" s="82"/>
    </row>
    <row r="185" spans="1:7" s="337" customFormat="1" ht="16.5" customHeight="1">
      <c r="A185" s="361"/>
      <c r="B185" s="330"/>
      <c r="C185" s="331" t="s">
        <v>308</v>
      </c>
      <c r="D185" s="920">
        <v>467164</v>
      </c>
      <c r="E185" s="920">
        <v>467163.44</v>
      </c>
      <c r="F185" s="921">
        <f t="shared" si="8"/>
        <v>99.99988012774958</v>
      </c>
      <c r="G185" s="991"/>
    </row>
    <row r="186" spans="1:8" s="328" customFormat="1" ht="18.75" customHeight="1">
      <c r="A186" s="375"/>
      <c r="B186" s="322"/>
      <c r="C186" s="161" t="s">
        <v>309</v>
      </c>
      <c r="D186" s="845">
        <v>5265</v>
      </c>
      <c r="E186" s="845">
        <v>5265</v>
      </c>
      <c r="F186" s="917">
        <f>E186/D186*100</f>
        <v>100</v>
      </c>
      <c r="G186" s="991" t="s">
        <v>1293</v>
      </c>
      <c r="H186" s="323"/>
    </row>
    <row r="187" spans="1:7" s="78" customFormat="1" ht="17.25" customHeight="1">
      <c r="A187" s="374"/>
      <c r="B187" s="320" t="s">
        <v>1095</v>
      </c>
      <c r="C187" s="172" t="s">
        <v>1096</v>
      </c>
      <c r="D187" s="844">
        <f>D188</f>
        <v>33933</v>
      </c>
      <c r="E187" s="844">
        <f>E188</f>
        <v>33933.22</v>
      </c>
      <c r="F187" s="916">
        <f>E187/D187*100</f>
        <v>100.00064833642767</v>
      </c>
      <c r="G187" s="82"/>
    </row>
    <row r="188" spans="1:7" s="78" customFormat="1" ht="17.25" customHeight="1">
      <c r="A188" s="374"/>
      <c r="B188" s="322"/>
      <c r="C188" s="161" t="s">
        <v>288</v>
      </c>
      <c r="D188" s="845">
        <v>33933</v>
      </c>
      <c r="E188" s="845">
        <v>33933.22</v>
      </c>
      <c r="F188" s="917">
        <f>E188/D188*100</f>
        <v>100.00064833642767</v>
      </c>
      <c r="G188" s="82"/>
    </row>
    <row r="189" spans="1:8" s="328" customFormat="1" ht="12" customHeight="1">
      <c r="A189" s="374"/>
      <c r="B189" s="326"/>
      <c r="C189" s="327" t="s">
        <v>305</v>
      </c>
      <c r="D189" s="918"/>
      <c r="E189" s="918"/>
      <c r="F189" s="919"/>
      <c r="G189" s="991"/>
      <c r="H189" s="323"/>
    </row>
    <row r="190" spans="1:7" s="337" customFormat="1" ht="16.5" customHeight="1">
      <c r="A190" s="361"/>
      <c r="B190" s="330"/>
      <c r="C190" s="331" t="s">
        <v>308</v>
      </c>
      <c r="D190" s="920">
        <v>10000</v>
      </c>
      <c r="E190" s="920">
        <v>10000</v>
      </c>
      <c r="F190" s="921">
        <f>E190/D190*100</f>
        <v>100</v>
      </c>
      <c r="G190" s="991"/>
    </row>
    <row r="191" spans="1:7" s="78" customFormat="1" ht="18.75" customHeight="1">
      <c r="A191" s="376"/>
      <c r="B191" s="320" t="s">
        <v>383</v>
      </c>
      <c r="C191" s="172" t="s">
        <v>384</v>
      </c>
      <c r="D191" s="844">
        <f>D192</f>
        <v>47878</v>
      </c>
      <c r="E191" s="844">
        <f>E192</f>
        <v>47877.12</v>
      </c>
      <c r="F191" s="916">
        <f aca="true" t="shared" si="9" ref="F191:F208">E191/D191*100</f>
        <v>99.99816199507082</v>
      </c>
      <c r="G191" s="82"/>
    </row>
    <row r="192" spans="1:7" s="323" customFormat="1" ht="18.75" customHeight="1">
      <c r="A192" s="375"/>
      <c r="B192" s="322"/>
      <c r="C192" s="161" t="s">
        <v>288</v>
      </c>
      <c r="D192" s="845">
        <v>47878</v>
      </c>
      <c r="E192" s="845">
        <v>47877.12</v>
      </c>
      <c r="F192" s="917">
        <f t="shared" si="9"/>
        <v>99.99816199507082</v>
      </c>
      <c r="G192" s="991"/>
    </row>
    <row r="193" spans="1:7" s="78" customFormat="1" ht="18.75" customHeight="1">
      <c r="A193" s="376"/>
      <c r="B193" s="320" t="s">
        <v>46</v>
      </c>
      <c r="C193" s="324" t="s">
        <v>47</v>
      </c>
      <c r="D193" s="844">
        <f>SUM(D194,D199)</f>
        <v>850624</v>
      </c>
      <c r="E193" s="844">
        <f>SUM(E194,E199)</f>
        <v>850621.76</v>
      </c>
      <c r="F193" s="916">
        <f t="shared" si="9"/>
        <v>99.99973666390791</v>
      </c>
      <c r="G193" s="82"/>
    </row>
    <row r="194" spans="1:8" s="328" customFormat="1" ht="18.75" customHeight="1">
      <c r="A194" s="375"/>
      <c r="B194" s="322"/>
      <c r="C194" s="161" t="s">
        <v>288</v>
      </c>
      <c r="D194" s="845">
        <v>784645</v>
      </c>
      <c r="E194" s="845">
        <v>784642.31</v>
      </c>
      <c r="F194" s="917">
        <f>E194/D194*100</f>
        <v>99.99965716980292</v>
      </c>
      <c r="G194" s="991"/>
      <c r="H194" s="323"/>
    </row>
    <row r="195" spans="1:7" s="78" customFormat="1" ht="12" customHeight="1">
      <c r="A195" s="374"/>
      <c r="B195" s="326"/>
      <c r="C195" s="327" t="s">
        <v>305</v>
      </c>
      <c r="D195" s="918"/>
      <c r="E195" s="918"/>
      <c r="F195" s="919"/>
      <c r="G195" s="82"/>
    </row>
    <row r="196" spans="1:7" s="337" customFormat="1" ht="18.75" customHeight="1">
      <c r="A196" s="361"/>
      <c r="B196" s="330"/>
      <c r="C196" s="331" t="s">
        <v>307</v>
      </c>
      <c r="D196" s="920">
        <f>SUM(D197,D198)</f>
        <v>511974</v>
      </c>
      <c r="E196" s="920">
        <f>SUM(E197,E198)</f>
        <v>511972.13</v>
      </c>
      <c r="F196" s="921">
        <f>E196/D196*100</f>
        <v>99.99963474707701</v>
      </c>
      <c r="G196" s="991"/>
    </row>
    <row r="197" spans="1:7" s="323" customFormat="1" ht="18.75" customHeight="1">
      <c r="A197" s="374"/>
      <c r="B197" s="326"/>
      <c r="C197" s="333" t="s">
        <v>280</v>
      </c>
      <c r="D197" s="918">
        <v>440020</v>
      </c>
      <c r="E197" s="918">
        <v>440019.15</v>
      </c>
      <c r="F197" s="922">
        <f>E197/D197*100</f>
        <v>99.99980682696241</v>
      </c>
      <c r="G197" s="991"/>
    </row>
    <row r="198" spans="1:7" s="323" customFormat="1" ht="18.75" customHeight="1">
      <c r="A198" s="374"/>
      <c r="B198" s="326"/>
      <c r="C198" s="333" t="s">
        <v>281</v>
      </c>
      <c r="D198" s="918">
        <v>71954</v>
      </c>
      <c r="E198" s="918">
        <v>71952.98</v>
      </c>
      <c r="F198" s="922">
        <f>E198/D198*100</f>
        <v>99.99858242766211</v>
      </c>
      <c r="G198" s="991"/>
    </row>
    <row r="199" spans="1:7" s="927" customFormat="1" ht="18.75" customHeight="1">
      <c r="A199" s="947"/>
      <c r="B199" s="934"/>
      <c r="C199" s="930" t="s">
        <v>309</v>
      </c>
      <c r="D199" s="931">
        <v>65979</v>
      </c>
      <c r="E199" s="931">
        <v>65979.45</v>
      </c>
      <c r="F199" s="932">
        <f>E199/D199*100</f>
        <v>100.00068203519301</v>
      </c>
      <c r="G199" s="991"/>
    </row>
    <row r="200" spans="1:8" s="328" customFormat="1" ht="18.75" customHeight="1">
      <c r="A200" s="376"/>
      <c r="B200" s="320" t="s">
        <v>385</v>
      </c>
      <c r="C200" s="172" t="s">
        <v>840</v>
      </c>
      <c r="D200" s="844">
        <f>SUM(D201,D207)</f>
        <v>426770</v>
      </c>
      <c r="E200" s="844">
        <f>SUM(E201,E207)</f>
        <v>424077.83</v>
      </c>
      <c r="F200" s="916">
        <f t="shared" si="9"/>
        <v>99.36917543407456</v>
      </c>
      <c r="G200" s="991"/>
      <c r="H200" s="323"/>
    </row>
    <row r="201" spans="1:8" s="328" customFormat="1" ht="18.75" customHeight="1">
      <c r="A201" s="375"/>
      <c r="B201" s="322"/>
      <c r="C201" s="161" t="s">
        <v>288</v>
      </c>
      <c r="D201" s="845">
        <v>426770</v>
      </c>
      <c r="E201" s="845">
        <v>424077.83</v>
      </c>
      <c r="F201" s="917">
        <f t="shared" si="9"/>
        <v>99.36917543407456</v>
      </c>
      <c r="G201" s="991"/>
      <c r="H201" s="323"/>
    </row>
    <row r="202" spans="1:7" s="78" customFormat="1" ht="12" customHeight="1">
      <c r="A202" s="374"/>
      <c r="B202" s="326"/>
      <c r="C202" s="327" t="s">
        <v>305</v>
      </c>
      <c r="D202" s="918"/>
      <c r="E202" s="918"/>
      <c r="F202" s="919"/>
      <c r="G202" s="82"/>
    </row>
    <row r="203" spans="1:7" s="337" customFormat="1" ht="18.75" customHeight="1">
      <c r="A203" s="361"/>
      <c r="B203" s="330"/>
      <c r="C203" s="331" t="s">
        <v>307</v>
      </c>
      <c r="D203" s="920">
        <f>SUM(D204,D205)</f>
        <v>39645</v>
      </c>
      <c r="E203" s="920">
        <f>SUM(E204,E205)</f>
        <v>39644.600000000006</v>
      </c>
      <c r="F203" s="921">
        <f t="shared" si="9"/>
        <v>99.99899104552908</v>
      </c>
      <c r="G203" s="991"/>
    </row>
    <row r="204" spans="1:7" s="323" customFormat="1" ht="18.75" customHeight="1">
      <c r="A204" s="374"/>
      <c r="B204" s="326"/>
      <c r="C204" s="333" t="s">
        <v>280</v>
      </c>
      <c r="D204" s="918">
        <v>33960</v>
      </c>
      <c r="E204" s="918">
        <v>33960.8</v>
      </c>
      <c r="F204" s="922">
        <f t="shared" si="9"/>
        <v>100.00235571260308</v>
      </c>
      <c r="G204" s="991"/>
    </row>
    <row r="205" spans="1:7" s="323" customFormat="1" ht="18.75" customHeight="1">
      <c r="A205" s="374"/>
      <c r="B205" s="326"/>
      <c r="C205" s="333" t="s">
        <v>281</v>
      </c>
      <c r="D205" s="918">
        <v>5685</v>
      </c>
      <c r="E205" s="918">
        <v>5683.8</v>
      </c>
      <c r="F205" s="922">
        <f t="shared" si="9"/>
        <v>99.97889182058047</v>
      </c>
      <c r="G205" s="991"/>
    </row>
    <row r="206" spans="1:7" s="337" customFormat="1" ht="16.5" customHeight="1">
      <c r="A206" s="361"/>
      <c r="B206" s="362"/>
      <c r="C206" s="987" t="s">
        <v>308</v>
      </c>
      <c r="D206" s="988">
        <v>4000</v>
      </c>
      <c r="E206" s="988">
        <v>4000</v>
      </c>
      <c r="F206" s="1334">
        <f>E206/D206*100</f>
        <v>100</v>
      </c>
      <c r="G206" s="991"/>
    </row>
    <row r="207" spans="1:8" s="328" customFormat="1" ht="18.75" customHeight="1" hidden="1">
      <c r="A207" s="321"/>
      <c r="B207" s="322"/>
      <c r="C207" s="161" t="s">
        <v>309</v>
      </c>
      <c r="D207" s="751">
        <v>0</v>
      </c>
      <c r="E207" s="751">
        <v>0</v>
      </c>
      <c r="F207" s="758" t="e">
        <f>E207/D207*100</f>
        <v>#DIV/0!</v>
      </c>
      <c r="G207" s="991"/>
      <c r="H207" s="323"/>
    </row>
    <row r="208" spans="1:7" s="78" customFormat="1" ht="18.75" customHeight="1">
      <c r="A208" s="377" t="s">
        <v>900</v>
      </c>
      <c r="B208" s="318"/>
      <c r="C208" s="173" t="s">
        <v>901</v>
      </c>
      <c r="D208" s="914">
        <f>SUM(D209,D216,D223,D229,D237)</f>
        <v>2031041</v>
      </c>
      <c r="E208" s="914">
        <f>SUM(E209,E216,E223,E229,E237)</f>
        <v>1920281.83</v>
      </c>
      <c r="F208" s="915">
        <f t="shared" si="9"/>
        <v>94.54667975683407</v>
      </c>
      <c r="G208" s="82"/>
    </row>
    <row r="209" spans="1:8" s="328" customFormat="1" ht="18.75" customHeight="1">
      <c r="A209" s="376"/>
      <c r="B209" s="320" t="s">
        <v>390</v>
      </c>
      <c r="C209" s="360" t="s">
        <v>391</v>
      </c>
      <c r="D209" s="966">
        <f>D210</f>
        <v>43600</v>
      </c>
      <c r="E209" s="966">
        <f>E210</f>
        <v>40151.28</v>
      </c>
      <c r="F209" s="916">
        <f aca="true" t="shared" si="10" ref="F209:F263">E209/D209*100</f>
        <v>92.09009174311926</v>
      </c>
      <c r="G209" s="991"/>
      <c r="H209" s="323"/>
    </row>
    <row r="210" spans="1:7" s="323" customFormat="1" ht="18.75" customHeight="1">
      <c r="A210" s="375"/>
      <c r="B210" s="322"/>
      <c r="C210" s="161" t="s">
        <v>288</v>
      </c>
      <c r="D210" s="845">
        <v>43600</v>
      </c>
      <c r="E210" s="845">
        <v>40151.28</v>
      </c>
      <c r="F210" s="917">
        <f t="shared" si="10"/>
        <v>92.09009174311926</v>
      </c>
      <c r="G210" s="991"/>
    </row>
    <row r="211" spans="1:8" s="328" customFormat="1" ht="12" customHeight="1">
      <c r="A211" s="374"/>
      <c r="B211" s="326"/>
      <c r="C211" s="327" t="s">
        <v>305</v>
      </c>
      <c r="D211" s="918"/>
      <c r="E211" s="918"/>
      <c r="F211" s="919"/>
      <c r="G211" s="991"/>
      <c r="H211" s="323"/>
    </row>
    <row r="212" spans="1:8" s="332" customFormat="1" ht="15.75" customHeight="1">
      <c r="A212" s="361"/>
      <c r="B212" s="330"/>
      <c r="C212" s="331" t="s">
        <v>307</v>
      </c>
      <c r="D212" s="920">
        <f>SUM(D213,D214)</f>
        <v>11337</v>
      </c>
      <c r="E212" s="920">
        <f>SUM(E213,E214)</f>
        <v>11336.7</v>
      </c>
      <c r="F212" s="921">
        <f t="shared" si="10"/>
        <v>99.99735379730087</v>
      </c>
      <c r="G212" s="991"/>
      <c r="H212" s="337"/>
    </row>
    <row r="213" spans="1:8" s="328" customFormat="1" ht="15.75" customHeight="1">
      <c r="A213" s="374"/>
      <c r="B213" s="326"/>
      <c r="C213" s="333" t="s">
        <v>280</v>
      </c>
      <c r="D213" s="918">
        <v>10800</v>
      </c>
      <c r="E213" s="918">
        <v>10800</v>
      </c>
      <c r="F213" s="922">
        <f t="shared" si="10"/>
        <v>100</v>
      </c>
      <c r="G213" s="991"/>
      <c r="H213" s="323"/>
    </row>
    <row r="214" spans="1:8" s="328" customFormat="1" ht="15.75" customHeight="1">
      <c r="A214" s="374"/>
      <c r="B214" s="326"/>
      <c r="C214" s="333" t="s">
        <v>281</v>
      </c>
      <c r="D214" s="918">
        <v>537</v>
      </c>
      <c r="E214" s="918">
        <v>536.7</v>
      </c>
      <c r="F214" s="922">
        <f>E214/D214*100</f>
        <v>99.9441340782123</v>
      </c>
      <c r="G214" s="991" t="s">
        <v>1293</v>
      </c>
      <c r="H214" s="323"/>
    </row>
    <row r="215" spans="1:8" s="332" customFormat="1" ht="18.75" customHeight="1" hidden="1">
      <c r="A215" s="361"/>
      <c r="B215" s="330"/>
      <c r="C215" s="331" t="s">
        <v>308</v>
      </c>
      <c r="D215" s="761"/>
      <c r="E215" s="761"/>
      <c r="F215" s="762" t="e">
        <f t="shared" si="10"/>
        <v>#DIV/0!</v>
      </c>
      <c r="G215" s="991"/>
      <c r="H215" s="337"/>
    </row>
    <row r="216" spans="1:7" s="78" customFormat="1" ht="18.75" customHeight="1">
      <c r="A216" s="376"/>
      <c r="B216" s="320" t="s">
        <v>392</v>
      </c>
      <c r="C216" s="324" t="s">
        <v>393</v>
      </c>
      <c r="D216" s="844">
        <f>SUM(D217)</f>
        <v>14000</v>
      </c>
      <c r="E216" s="844">
        <f>SUM(E217)</f>
        <v>12602.25</v>
      </c>
      <c r="F216" s="917">
        <f t="shared" si="10"/>
        <v>90.01607142857144</v>
      </c>
      <c r="G216" s="82"/>
    </row>
    <row r="217" spans="1:7" s="323" customFormat="1" ht="18.75" customHeight="1">
      <c r="A217" s="374"/>
      <c r="B217" s="326"/>
      <c r="C217" s="161" t="s">
        <v>288</v>
      </c>
      <c r="D217" s="845">
        <v>14000</v>
      </c>
      <c r="E217" s="845">
        <v>12602.25</v>
      </c>
      <c r="F217" s="917">
        <f t="shared" si="10"/>
        <v>90.01607142857144</v>
      </c>
      <c r="G217" s="991"/>
    </row>
    <row r="218" spans="1:7" s="323" customFormat="1" ht="12.75" customHeight="1">
      <c r="A218" s="374"/>
      <c r="B218" s="326"/>
      <c r="C218" s="327" t="s">
        <v>305</v>
      </c>
      <c r="D218" s="918"/>
      <c r="E218" s="918"/>
      <c r="F218" s="919"/>
      <c r="G218" s="991"/>
    </row>
    <row r="219" spans="1:7" s="337" customFormat="1" ht="18" customHeight="1" hidden="1">
      <c r="A219" s="361"/>
      <c r="B219" s="330"/>
      <c r="C219" s="331" t="s">
        <v>307</v>
      </c>
      <c r="D219" s="920">
        <f>SUM(D220,D221)</f>
        <v>0</v>
      </c>
      <c r="E219" s="920">
        <f>SUM(E220,E221)</f>
        <v>0</v>
      </c>
      <c r="F219" s="921" t="e">
        <f>E219/D219*100</f>
        <v>#DIV/0!</v>
      </c>
      <c r="G219" s="991"/>
    </row>
    <row r="220" spans="1:7" s="323" customFormat="1" ht="18" customHeight="1" hidden="1">
      <c r="A220" s="374"/>
      <c r="B220" s="326"/>
      <c r="C220" s="333" t="s">
        <v>280</v>
      </c>
      <c r="D220" s="918">
        <v>0</v>
      </c>
      <c r="E220" s="918">
        <v>0</v>
      </c>
      <c r="F220" s="922" t="e">
        <f>E220/D220*100</f>
        <v>#DIV/0!</v>
      </c>
      <c r="G220" s="991"/>
    </row>
    <row r="221" spans="1:7" s="323" customFormat="1" ht="18" customHeight="1" hidden="1">
      <c r="A221" s="374"/>
      <c r="B221" s="326"/>
      <c r="C221" s="333" t="s">
        <v>281</v>
      </c>
      <c r="D221" s="918">
        <v>0</v>
      </c>
      <c r="E221" s="918">
        <v>0</v>
      </c>
      <c r="F221" s="922" t="e">
        <f>E221/D221*100</f>
        <v>#DIV/0!</v>
      </c>
      <c r="G221" s="991"/>
    </row>
    <row r="222" spans="1:7" s="337" customFormat="1" ht="18" customHeight="1">
      <c r="A222" s="361"/>
      <c r="B222" s="330"/>
      <c r="C222" s="331" t="s">
        <v>308</v>
      </c>
      <c r="D222" s="920">
        <v>9000</v>
      </c>
      <c r="E222" s="920">
        <v>9000</v>
      </c>
      <c r="F222" s="921">
        <f>E222/D222*100</f>
        <v>100</v>
      </c>
      <c r="G222" s="991"/>
    </row>
    <row r="223" spans="1:8" s="328" customFormat="1" ht="18.75" customHeight="1">
      <c r="A223" s="376"/>
      <c r="B223" s="320" t="s">
        <v>394</v>
      </c>
      <c r="C223" s="324" t="s">
        <v>395</v>
      </c>
      <c r="D223" s="844">
        <f>SUM(D224)</f>
        <v>36120</v>
      </c>
      <c r="E223" s="844">
        <f>SUM(E224)</f>
        <v>28105.08</v>
      </c>
      <c r="F223" s="917">
        <f t="shared" si="10"/>
        <v>77.81029900332226</v>
      </c>
      <c r="G223" s="991"/>
      <c r="H223" s="323"/>
    </row>
    <row r="224" spans="1:8" s="328" customFormat="1" ht="18.75" customHeight="1">
      <c r="A224" s="375"/>
      <c r="B224" s="322"/>
      <c r="C224" s="161" t="s">
        <v>288</v>
      </c>
      <c r="D224" s="845">
        <v>36120</v>
      </c>
      <c r="E224" s="845">
        <v>28105.08</v>
      </c>
      <c r="F224" s="917">
        <f t="shared" si="10"/>
        <v>77.81029900332226</v>
      </c>
      <c r="G224" s="991"/>
      <c r="H224" s="323"/>
    </row>
    <row r="225" spans="1:8" s="328" customFormat="1" ht="10.5" customHeight="1">
      <c r="A225" s="375"/>
      <c r="B225" s="322"/>
      <c r="C225" s="327" t="s">
        <v>305</v>
      </c>
      <c r="D225" s="918"/>
      <c r="E225" s="918"/>
      <c r="F225" s="919"/>
      <c r="G225" s="991"/>
      <c r="H225" s="323"/>
    </row>
    <row r="226" spans="1:7" s="337" customFormat="1" ht="18" customHeight="1">
      <c r="A226" s="361"/>
      <c r="B226" s="330"/>
      <c r="C226" s="331" t="s">
        <v>307</v>
      </c>
      <c r="D226" s="920">
        <f>SUM(D227)</f>
        <v>8000</v>
      </c>
      <c r="E226" s="920">
        <f>SUM(E227)</f>
        <v>1620</v>
      </c>
      <c r="F226" s="921">
        <f>E226/D226*100</f>
        <v>20.25</v>
      </c>
      <c r="G226" s="991" t="s">
        <v>1293</v>
      </c>
    </row>
    <row r="227" spans="1:7" s="323" customFormat="1" ht="18" customHeight="1">
      <c r="A227" s="374"/>
      <c r="B227" s="326"/>
      <c r="C227" s="333" t="s">
        <v>280</v>
      </c>
      <c r="D227" s="918">
        <v>8000</v>
      </c>
      <c r="E227" s="918">
        <v>1620</v>
      </c>
      <c r="F227" s="922">
        <f>E227/D227*100</f>
        <v>20.25</v>
      </c>
      <c r="G227" s="991" t="s">
        <v>1293</v>
      </c>
    </row>
    <row r="228" spans="1:8" s="332" customFormat="1" ht="18.75" customHeight="1">
      <c r="A228" s="378"/>
      <c r="B228" s="341"/>
      <c r="C228" s="331" t="s">
        <v>308</v>
      </c>
      <c r="D228" s="920">
        <v>18450</v>
      </c>
      <c r="E228" s="920">
        <v>18200</v>
      </c>
      <c r="F228" s="921">
        <f>E228/D228*100</f>
        <v>98.6449864498645</v>
      </c>
      <c r="G228" s="991"/>
      <c r="H228" s="337"/>
    </row>
    <row r="229" spans="1:8" s="328" customFormat="1" ht="18.75" customHeight="1">
      <c r="A229" s="376"/>
      <c r="B229" s="320" t="s">
        <v>902</v>
      </c>
      <c r="C229" s="172" t="s">
        <v>903</v>
      </c>
      <c r="D229" s="844">
        <f>D230+D236</f>
        <v>1775821</v>
      </c>
      <c r="E229" s="844">
        <f>E230+E236</f>
        <v>1686662.6</v>
      </c>
      <c r="F229" s="916">
        <f t="shared" si="10"/>
        <v>94.97931379345104</v>
      </c>
      <c r="G229" s="991"/>
      <c r="H229" s="323"/>
    </row>
    <row r="230" spans="1:8" s="328" customFormat="1" ht="18.75" customHeight="1">
      <c r="A230" s="375"/>
      <c r="B230" s="322"/>
      <c r="C230" s="161" t="s">
        <v>288</v>
      </c>
      <c r="D230" s="845">
        <v>513821</v>
      </c>
      <c r="E230" s="845">
        <v>426485.89</v>
      </c>
      <c r="F230" s="917">
        <f t="shared" si="10"/>
        <v>83.00281420961775</v>
      </c>
      <c r="G230" s="991"/>
      <c r="H230" s="323"/>
    </row>
    <row r="231" spans="1:8" s="328" customFormat="1" ht="12" customHeight="1">
      <c r="A231" s="374"/>
      <c r="B231" s="326"/>
      <c r="C231" s="327" t="s">
        <v>305</v>
      </c>
      <c r="D231" s="918"/>
      <c r="E231" s="918"/>
      <c r="F231" s="919"/>
      <c r="G231" s="991"/>
      <c r="H231" s="323"/>
    </row>
    <row r="232" spans="1:8" s="332" customFormat="1" ht="18.75" customHeight="1">
      <c r="A232" s="361"/>
      <c r="B232" s="330"/>
      <c r="C232" s="331" t="s">
        <v>307</v>
      </c>
      <c r="D232" s="920">
        <f>SUM(D233,D234)</f>
        <v>198935</v>
      </c>
      <c r="E232" s="920">
        <f>SUM(E233,E234)</f>
        <v>174810.30000000002</v>
      </c>
      <c r="F232" s="921">
        <f t="shared" si="10"/>
        <v>87.87307411968735</v>
      </c>
      <c r="G232" s="991"/>
      <c r="H232" s="337"/>
    </row>
    <row r="233" spans="1:8" s="328" customFormat="1" ht="18.75" customHeight="1">
      <c r="A233" s="374"/>
      <c r="B233" s="326"/>
      <c r="C233" s="333" t="s">
        <v>280</v>
      </c>
      <c r="D233" s="918">
        <v>179047</v>
      </c>
      <c r="E233" s="918">
        <v>157480.45</v>
      </c>
      <c r="F233" s="922">
        <f t="shared" si="10"/>
        <v>87.95481074801589</v>
      </c>
      <c r="G233" s="991"/>
      <c r="H233" s="323"/>
    </row>
    <row r="234" spans="1:8" s="328" customFormat="1" ht="18.75" customHeight="1">
      <c r="A234" s="374"/>
      <c r="B234" s="326"/>
      <c r="C234" s="333" t="s">
        <v>281</v>
      </c>
      <c r="D234" s="918">
        <v>19888</v>
      </c>
      <c r="E234" s="918">
        <v>17329.85</v>
      </c>
      <c r="F234" s="922">
        <f t="shared" si="10"/>
        <v>87.13721842316974</v>
      </c>
      <c r="G234" s="991"/>
      <c r="H234" s="323"/>
    </row>
    <row r="235" spans="1:8" s="332" customFormat="1" ht="17.25" customHeight="1">
      <c r="A235" s="361"/>
      <c r="B235" s="330"/>
      <c r="C235" s="331" t="s">
        <v>308</v>
      </c>
      <c r="D235" s="920">
        <v>76338</v>
      </c>
      <c r="E235" s="920">
        <v>56338</v>
      </c>
      <c r="F235" s="921">
        <f t="shared" si="10"/>
        <v>73.80072833975215</v>
      </c>
      <c r="G235" s="991"/>
      <c r="H235" s="337"/>
    </row>
    <row r="236" spans="1:7" s="78" customFormat="1" ht="18.75" customHeight="1">
      <c r="A236" s="375"/>
      <c r="B236" s="322"/>
      <c r="C236" s="161" t="s">
        <v>309</v>
      </c>
      <c r="D236" s="845">
        <v>1262000</v>
      </c>
      <c r="E236" s="845">
        <v>1260176.71</v>
      </c>
      <c r="F236" s="917">
        <f t="shared" si="10"/>
        <v>99.85552377179081</v>
      </c>
      <c r="G236" s="82"/>
    </row>
    <row r="237" spans="1:7" s="323" customFormat="1" ht="18.75" customHeight="1">
      <c r="A237" s="376"/>
      <c r="B237" s="320" t="s">
        <v>396</v>
      </c>
      <c r="C237" s="172" t="s">
        <v>840</v>
      </c>
      <c r="D237" s="844">
        <f>SUM(D238)</f>
        <v>161500</v>
      </c>
      <c r="E237" s="844">
        <f>SUM(E238)</f>
        <v>152760.62</v>
      </c>
      <c r="F237" s="916">
        <f t="shared" si="10"/>
        <v>94.58861919504645</v>
      </c>
      <c r="G237" s="991"/>
    </row>
    <row r="238" spans="1:8" s="328" customFormat="1" ht="18.75" customHeight="1">
      <c r="A238" s="375"/>
      <c r="B238" s="322"/>
      <c r="C238" s="161" t="s">
        <v>288</v>
      </c>
      <c r="D238" s="845">
        <v>161500</v>
      </c>
      <c r="E238" s="845">
        <v>152760.62</v>
      </c>
      <c r="F238" s="917">
        <f t="shared" si="10"/>
        <v>94.58861919504645</v>
      </c>
      <c r="G238" s="991"/>
      <c r="H238" s="323"/>
    </row>
    <row r="239" spans="1:7" s="78" customFormat="1" ht="11.25" customHeight="1">
      <c r="A239" s="375"/>
      <c r="B239" s="322"/>
      <c r="C239" s="327" t="s">
        <v>305</v>
      </c>
      <c r="D239" s="918"/>
      <c r="E239" s="918"/>
      <c r="F239" s="919"/>
      <c r="G239" s="82"/>
    </row>
    <row r="240" spans="1:7" s="81" customFormat="1" ht="18.75" customHeight="1">
      <c r="A240" s="378"/>
      <c r="B240" s="341"/>
      <c r="C240" s="331" t="s">
        <v>307</v>
      </c>
      <c r="D240" s="920">
        <f>SUM(D241)</f>
        <v>25729</v>
      </c>
      <c r="E240" s="920">
        <f>SUM(E241)</f>
        <v>24573.72</v>
      </c>
      <c r="F240" s="921">
        <f>E240/D240*100</f>
        <v>95.50981382875355</v>
      </c>
      <c r="G240" s="82"/>
    </row>
    <row r="241" spans="1:7" s="78" customFormat="1" ht="18.75" customHeight="1">
      <c r="A241" s="375"/>
      <c r="B241" s="322"/>
      <c r="C241" s="333" t="s">
        <v>280</v>
      </c>
      <c r="D241" s="918">
        <v>25729</v>
      </c>
      <c r="E241" s="918">
        <v>24573.72</v>
      </c>
      <c r="F241" s="922">
        <f>E241/D241*100</f>
        <v>95.50981382875355</v>
      </c>
      <c r="G241" s="82"/>
    </row>
    <row r="242" spans="1:8" s="938" customFormat="1" ht="18.75" customHeight="1">
      <c r="A242" s="947"/>
      <c r="B242" s="934"/>
      <c r="C242" s="945" t="s">
        <v>281</v>
      </c>
      <c r="D242" s="936">
        <v>372</v>
      </c>
      <c r="E242" s="936">
        <v>371.26</v>
      </c>
      <c r="F242" s="946">
        <f>E242/D242*100</f>
        <v>99.8010752688172</v>
      </c>
      <c r="G242" s="991"/>
      <c r="H242" s="927"/>
    </row>
    <row r="243" spans="1:8" s="332" customFormat="1" ht="17.25" customHeight="1">
      <c r="A243" s="361"/>
      <c r="B243" s="330"/>
      <c r="C243" s="331" t="s">
        <v>308</v>
      </c>
      <c r="D243" s="920">
        <v>20000</v>
      </c>
      <c r="E243" s="920">
        <v>20000</v>
      </c>
      <c r="F243" s="921">
        <f>E243/D243*100</f>
        <v>100</v>
      </c>
      <c r="G243" s="991"/>
      <c r="H243" s="337"/>
    </row>
    <row r="244" spans="1:8" s="328" customFormat="1" ht="18.75" customHeight="1">
      <c r="A244" s="377" t="s">
        <v>19</v>
      </c>
      <c r="B244" s="318"/>
      <c r="C244" s="173" t="s">
        <v>397</v>
      </c>
      <c r="D244" s="914">
        <f>SUM(D245,D252,D254,D258,D264,D266,D271,D273,D280,D286)</f>
        <v>11913382</v>
      </c>
      <c r="E244" s="914">
        <f>SUM(E245,E252,E254,E258,E264,E266,E271,E273,E280,E286)</f>
        <v>11718791.259999998</v>
      </c>
      <c r="F244" s="915">
        <f t="shared" si="10"/>
        <v>98.36662049449936</v>
      </c>
      <c r="G244" s="991"/>
      <c r="H244" s="323"/>
    </row>
    <row r="245" spans="1:7" s="78" customFormat="1" ht="18.75" customHeight="1" hidden="1">
      <c r="A245" s="376"/>
      <c r="B245" s="320" t="s">
        <v>20</v>
      </c>
      <c r="C245" s="172" t="s">
        <v>398</v>
      </c>
      <c r="D245" s="750">
        <f>D246</f>
        <v>0</v>
      </c>
      <c r="E245" s="844">
        <f>E246</f>
        <v>0</v>
      </c>
      <c r="F245" s="916" t="e">
        <f t="shared" si="10"/>
        <v>#DIV/0!</v>
      </c>
      <c r="G245" s="82"/>
    </row>
    <row r="246" spans="1:7" s="323" customFormat="1" ht="18.75" customHeight="1" hidden="1">
      <c r="A246" s="375"/>
      <c r="B246" s="322"/>
      <c r="C246" s="161" t="s">
        <v>288</v>
      </c>
      <c r="D246" s="751">
        <v>0</v>
      </c>
      <c r="E246" s="845">
        <v>0</v>
      </c>
      <c r="F246" s="917" t="e">
        <f t="shared" si="10"/>
        <v>#DIV/0!</v>
      </c>
      <c r="G246" s="991"/>
    </row>
    <row r="247" spans="1:7" s="323" customFormat="1" ht="12" customHeight="1" hidden="1">
      <c r="A247" s="375"/>
      <c r="B247" s="322"/>
      <c r="C247" s="327" t="s">
        <v>305</v>
      </c>
      <c r="D247" s="759"/>
      <c r="E247" s="918"/>
      <c r="F247" s="919"/>
      <c r="G247" s="991"/>
    </row>
    <row r="248" spans="1:7" s="337" customFormat="1" ht="19.5" customHeight="1" hidden="1">
      <c r="A248" s="378"/>
      <c r="B248" s="341"/>
      <c r="C248" s="331" t="s">
        <v>307</v>
      </c>
      <c r="D248" s="761">
        <f>SUM(D249,D250)</f>
        <v>0</v>
      </c>
      <c r="E248" s="920">
        <f>SUM(E249,E250)</f>
        <v>0</v>
      </c>
      <c r="F248" s="921" t="e">
        <f>E248/D248*100</f>
        <v>#DIV/0!</v>
      </c>
      <c r="G248" s="991"/>
    </row>
    <row r="249" spans="1:7" s="323" customFormat="1" ht="19.5" customHeight="1" hidden="1">
      <c r="A249" s="375"/>
      <c r="B249" s="322"/>
      <c r="C249" s="333" t="s">
        <v>280</v>
      </c>
      <c r="D249" s="759">
        <v>0</v>
      </c>
      <c r="E249" s="918">
        <v>0</v>
      </c>
      <c r="F249" s="922" t="e">
        <f>E249/D249*100</f>
        <v>#DIV/0!</v>
      </c>
      <c r="G249" s="991"/>
    </row>
    <row r="250" spans="1:7" s="323" customFormat="1" ht="19.5" customHeight="1" hidden="1">
      <c r="A250" s="375"/>
      <c r="B250" s="322"/>
      <c r="C250" s="333" t="s">
        <v>281</v>
      </c>
      <c r="D250" s="759">
        <v>0</v>
      </c>
      <c r="E250" s="918">
        <v>0</v>
      </c>
      <c r="F250" s="922" t="e">
        <f>E250/D250*100</f>
        <v>#DIV/0!</v>
      </c>
      <c r="G250" s="991"/>
    </row>
    <row r="251" spans="1:7" s="337" customFormat="1" ht="18.75" customHeight="1" hidden="1">
      <c r="A251" s="378"/>
      <c r="B251" s="341"/>
      <c r="C251" s="331" t="s">
        <v>308</v>
      </c>
      <c r="D251" s="761">
        <v>0</v>
      </c>
      <c r="E251" s="920">
        <v>0</v>
      </c>
      <c r="F251" s="921" t="e">
        <f>E251/D251*100</f>
        <v>#DIV/0!</v>
      </c>
      <c r="G251" s="991"/>
    </row>
    <row r="252" spans="1:8" s="328" customFormat="1" ht="18.75" customHeight="1">
      <c r="A252" s="376"/>
      <c r="B252" s="320" t="s">
        <v>399</v>
      </c>
      <c r="C252" s="324" t="s">
        <v>400</v>
      </c>
      <c r="D252" s="844">
        <f>SUM(D253)</f>
        <v>316800</v>
      </c>
      <c r="E252" s="844">
        <f>SUM(E253)</f>
        <v>309362.73</v>
      </c>
      <c r="F252" s="917">
        <f t="shared" si="10"/>
        <v>97.65237689393939</v>
      </c>
      <c r="G252" s="991"/>
      <c r="H252" s="323"/>
    </row>
    <row r="253" spans="1:7" s="81" customFormat="1" ht="18.75" customHeight="1">
      <c r="A253" s="374"/>
      <c r="B253" s="326"/>
      <c r="C253" s="161" t="s">
        <v>288</v>
      </c>
      <c r="D253" s="845">
        <v>316800</v>
      </c>
      <c r="E253" s="845">
        <v>309362.73</v>
      </c>
      <c r="F253" s="917">
        <f t="shared" si="10"/>
        <v>97.65237689393939</v>
      </c>
      <c r="G253" s="82"/>
    </row>
    <row r="254" spans="1:7" s="323" customFormat="1" ht="18.75" customHeight="1">
      <c r="A254" s="376"/>
      <c r="B254" s="320" t="s">
        <v>31</v>
      </c>
      <c r="C254" s="172" t="s">
        <v>1160</v>
      </c>
      <c r="D254" s="844">
        <f>SUM(D255)</f>
        <v>169750</v>
      </c>
      <c r="E254" s="844">
        <f>SUM(E255)</f>
        <v>169750</v>
      </c>
      <c r="F254" s="916">
        <f t="shared" si="10"/>
        <v>100</v>
      </c>
      <c r="G254" s="991"/>
    </row>
    <row r="255" spans="1:8" s="328" customFormat="1" ht="18.75" customHeight="1">
      <c r="A255" s="375"/>
      <c r="B255" s="322"/>
      <c r="C255" s="161" t="s">
        <v>288</v>
      </c>
      <c r="D255" s="845">
        <v>169750</v>
      </c>
      <c r="E255" s="845">
        <v>169750</v>
      </c>
      <c r="F255" s="917">
        <f t="shared" si="10"/>
        <v>100</v>
      </c>
      <c r="G255" s="991"/>
      <c r="H255" s="323"/>
    </row>
    <row r="256" spans="1:8" s="328" customFormat="1" ht="14.25" customHeight="1">
      <c r="A256" s="375"/>
      <c r="B256" s="322"/>
      <c r="C256" s="327" t="s">
        <v>305</v>
      </c>
      <c r="D256" s="918"/>
      <c r="E256" s="759"/>
      <c r="F256" s="760"/>
      <c r="G256" s="991"/>
      <c r="H256" s="323"/>
    </row>
    <row r="257" spans="1:8" s="332" customFormat="1" ht="18.75" customHeight="1">
      <c r="A257" s="378"/>
      <c r="B257" s="341"/>
      <c r="C257" s="331" t="s">
        <v>308</v>
      </c>
      <c r="D257" s="920">
        <v>169750</v>
      </c>
      <c r="E257" s="920">
        <v>169750</v>
      </c>
      <c r="F257" s="921">
        <f>E257/D257*100</f>
        <v>100</v>
      </c>
      <c r="G257" s="991"/>
      <c r="H257" s="337"/>
    </row>
    <row r="258" spans="1:7" s="78" customFormat="1" ht="40.5" customHeight="1">
      <c r="A258" s="376"/>
      <c r="B258" s="320" t="s">
        <v>21</v>
      </c>
      <c r="C258" s="324" t="s">
        <v>326</v>
      </c>
      <c r="D258" s="844">
        <f>SUM(D259)</f>
        <v>5354455</v>
      </c>
      <c r="E258" s="844">
        <f>SUM(E259)</f>
        <v>5346613.12</v>
      </c>
      <c r="F258" s="917">
        <f t="shared" si="10"/>
        <v>99.85354475852351</v>
      </c>
      <c r="G258" s="82"/>
    </row>
    <row r="259" spans="1:7" s="323" customFormat="1" ht="16.5" customHeight="1">
      <c r="A259" s="376"/>
      <c r="B259" s="320"/>
      <c r="C259" s="161" t="s">
        <v>288</v>
      </c>
      <c r="D259" s="845">
        <v>5354455</v>
      </c>
      <c r="E259" s="845">
        <v>5346613.12</v>
      </c>
      <c r="F259" s="917">
        <f t="shared" si="10"/>
        <v>99.85354475852351</v>
      </c>
      <c r="G259" s="991"/>
    </row>
    <row r="260" spans="1:8" s="328" customFormat="1" ht="12" customHeight="1">
      <c r="A260" s="376"/>
      <c r="B260" s="320"/>
      <c r="C260" s="327" t="s">
        <v>305</v>
      </c>
      <c r="D260" s="844"/>
      <c r="E260" s="844"/>
      <c r="F260" s="989"/>
      <c r="G260" s="991"/>
      <c r="H260" s="323"/>
    </row>
    <row r="261" spans="1:8" s="332" customFormat="1" ht="18.75" customHeight="1">
      <c r="A261" s="377"/>
      <c r="B261" s="318"/>
      <c r="C261" s="331" t="s">
        <v>307</v>
      </c>
      <c r="D261" s="920">
        <f>SUM(D262,D263)</f>
        <v>174774</v>
      </c>
      <c r="E261" s="920">
        <f>SUM(E262,E263)</f>
        <v>171616.41</v>
      </c>
      <c r="F261" s="921">
        <f t="shared" si="10"/>
        <v>98.19332967146143</v>
      </c>
      <c r="G261" s="991"/>
      <c r="H261" s="337"/>
    </row>
    <row r="262" spans="1:8" s="328" customFormat="1" ht="17.25" customHeight="1">
      <c r="A262" s="376"/>
      <c r="B262" s="320"/>
      <c r="C262" s="333" t="s">
        <v>280</v>
      </c>
      <c r="D262" s="918">
        <v>103978</v>
      </c>
      <c r="E262" s="918">
        <v>103977.89</v>
      </c>
      <c r="F262" s="922">
        <f t="shared" si="10"/>
        <v>99.99989420839024</v>
      </c>
      <c r="G262" s="991"/>
      <c r="H262" s="323"/>
    </row>
    <row r="263" spans="1:8" s="328" customFormat="1" ht="16.5" customHeight="1">
      <c r="A263" s="376"/>
      <c r="B263" s="320"/>
      <c r="C263" s="333" t="s">
        <v>281</v>
      </c>
      <c r="D263" s="918">
        <v>70796</v>
      </c>
      <c r="E263" s="918">
        <v>67638.52</v>
      </c>
      <c r="F263" s="922">
        <f t="shared" si="10"/>
        <v>95.54003051019832</v>
      </c>
      <c r="G263" s="991"/>
      <c r="H263" s="323"/>
    </row>
    <row r="264" spans="1:7" s="78" customFormat="1" ht="65.25" customHeight="1">
      <c r="A264" s="376"/>
      <c r="B264" s="338" t="s">
        <v>22</v>
      </c>
      <c r="C264" s="324" t="s">
        <v>1121</v>
      </c>
      <c r="D264" s="844">
        <f>D265</f>
        <v>72000</v>
      </c>
      <c r="E264" s="844">
        <v>71198.55</v>
      </c>
      <c r="F264" s="916">
        <f aca="true" t="shared" si="11" ref="F264:F278">E264/D264*100</f>
        <v>98.886875</v>
      </c>
      <c r="G264" s="82"/>
    </row>
    <row r="265" spans="1:7" s="78" customFormat="1" ht="18.75" customHeight="1">
      <c r="A265" s="375"/>
      <c r="B265" s="322"/>
      <c r="C265" s="161" t="s">
        <v>288</v>
      </c>
      <c r="D265" s="845">
        <v>72000</v>
      </c>
      <c r="E265" s="845">
        <v>71198.55</v>
      </c>
      <c r="F265" s="917">
        <f t="shared" si="11"/>
        <v>98.886875</v>
      </c>
      <c r="G265" s="82"/>
    </row>
    <row r="266" spans="1:7" s="78" customFormat="1" ht="30" customHeight="1">
      <c r="A266" s="376"/>
      <c r="B266" s="338" t="s">
        <v>23</v>
      </c>
      <c r="C266" s="324" t="s">
        <v>275</v>
      </c>
      <c r="D266" s="844">
        <f>D267</f>
        <v>1828732</v>
      </c>
      <c r="E266" s="844">
        <f>E267</f>
        <v>1812206.41</v>
      </c>
      <c r="F266" s="916">
        <f t="shared" si="11"/>
        <v>99.09633614985684</v>
      </c>
      <c r="G266" s="82"/>
    </row>
    <row r="267" spans="1:8" s="328" customFormat="1" ht="18.75" customHeight="1">
      <c r="A267" s="375"/>
      <c r="B267" s="322"/>
      <c r="C267" s="161" t="s">
        <v>288</v>
      </c>
      <c r="D267" s="845">
        <v>1828732</v>
      </c>
      <c r="E267" s="845">
        <v>1812206.41</v>
      </c>
      <c r="F267" s="917">
        <f t="shared" si="11"/>
        <v>99.09633614985684</v>
      </c>
      <c r="G267" s="991"/>
      <c r="H267" s="323"/>
    </row>
    <row r="268" spans="1:8" s="328" customFormat="1" ht="12.75" customHeight="1">
      <c r="A268" s="376"/>
      <c r="B268" s="320"/>
      <c r="C268" s="327" t="s">
        <v>305</v>
      </c>
      <c r="D268" s="844"/>
      <c r="E268" s="844"/>
      <c r="F268" s="989"/>
      <c r="G268" s="991"/>
      <c r="H268" s="323"/>
    </row>
    <row r="269" spans="1:8" s="332" customFormat="1" ht="18.75" customHeight="1">
      <c r="A269" s="377"/>
      <c r="B269" s="318"/>
      <c r="C269" s="331" t="s">
        <v>307</v>
      </c>
      <c r="D269" s="920">
        <f>SUM(D270)</f>
        <v>1500</v>
      </c>
      <c r="E269" s="920">
        <f>SUM(E270)</f>
        <v>1074.96</v>
      </c>
      <c r="F269" s="921">
        <f>E269/D269*100</f>
        <v>71.664</v>
      </c>
      <c r="G269" s="991"/>
      <c r="H269" s="337"/>
    </row>
    <row r="270" spans="1:8" s="328" customFormat="1" ht="18.75" customHeight="1">
      <c r="A270" s="376"/>
      <c r="B270" s="320"/>
      <c r="C270" s="333" t="s">
        <v>281</v>
      </c>
      <c r="D270" s="918">
        <v>1500</v>
      </c>
      <c r="E270" s="918">
        <v>1074.96</v>
      </c>
      <c r="F270" s="922">
        <f>E270/D270*100</f>
        <v>71.664</v>
      </c>
      <c r="G270" s="991"/>
      <c r="H270" s="323"/>
    </row>
    <row r="271" spans="1:7" s="78" customFormat="1" ht="18.75" customHeight="1">
      <c r="A271" s="376"/>
      <c r="B271" s="320" t="s">
        <v>24</v>
      </c>
      <c r="C271" s="172" t="s">
        <v>911</v>
      </c>
      <c r="D271" s="844">
        <f>D272</f>
        <v>898012</v>
      </c>
      <c r="E271" s="844">
        <f>E272</f>
        <v>896946.25</v>
      </c>
      <c r="F271" s="916">
        <f t="shared" si="11"/>
        <v>99.88132118501757</v>
      </c>
      <c r="G271" s="82"/>
    </row>
    <row r="272" spans="1:7" s="323" customFormat="1" ht="18.75" customHeight="1">
      <c r="A272" s="375"/>
      <c r="B272" s="322"/>
      <c r="C272" s="161" t="s">
        <v>288</v>
      </c>
      <c r="D272" s="845">
        <v>898012</v>
      </c>
      <c r="E272" s="845">
        <v>896946.25</v>
      </c>
      <c r="F272" s="917">
        <f t="shared" si="11"/>
        <v>99.88132118501757</v>
      </c>
      <c r="G272" s="991"/>
    </row>
    <row r="273" spans="1:7" s="323" customFormat="1" ht="18.75" customHeight="1">
      <c r="A273" s="376"/>
      <c r="B273" s="320" t="s">
        <v>25</v>
      </c>
      <c r="C273" s="324" t="s">
        <v>912</v>
      </c>
      <c r="D273" s="844">
        <f>D274+D279</f>
        <v>1585380</v>
      </c>
      <c r="E273" s="844">
        <f>E274+E279</f>
        <v>1573958.95</v>
      </c>
      <c r="F273" s="916">
        <f t="shared" si="11"/>
        <v>99.27960173586143</v>
      </c>
      <c r="G273" s="991"/>
    </row>
    <row r="274" spans="1:8" s="328" customFormat="1" ht="16.5" customHeight="1">
      <c r="A274" s="375"/>
      <c r="B274" s="322"/>
      <c r="C274" s="161" t="s">
        <v>288</v>
      </c>
      <c r="D274" s="845">
        <v>1581580</v>
      </c>
      <c r="E274" s="845">
        <v>1570158.95</v>
      </c>
      <c r="F274" s="917">
        <f t="shared" si="11"/>
        <v>99.2778708633139</v>
      </c>
      <c r="G274" s="991"/>
      <c r="H274" s="323"/>
    </row>
    <row r="275" spans="1:7" s="78" customFormat="1" ht="12" customHeight="1">
      <c r="A275" s="374"/>
      <c r="B275" s="326"/>
      <c r="C275" s="327" t="s">
        <v>305</v>
      </c>
      <c r="D275" s="759"/>
      <c r="E275" s="918"/>
      <c r="F275" s="919"/>
      <c r="G275" s="82"/>
    </row>
    <row r="276" spans="1:7" s="337" customFormat="1" ht="18.75" customHeight="1">
      <c r="A276" s="361"/>
      <c r="B276" s="330"/>
      <c r="C276" s="331" t="s">
        <v>307</v>
      </c>
      <c r="D276" s="920">
        <f>SUM(D277,D278)</f>
        <v>1259602</v>
      </c>
      <c r="E276" s="920">
        <f>SUM(E277,E278)</f>
        <v>1251273.24</v>
      </c>
      <c r="F276" s="921">
        <f t="shared" si="11"/>
        <v>99.33877843953883</v>
      </c>
      <c r="G276" s="991"/>
    </row>
    <row r="277" spans="1:7" s="323" customFormat="1" ht="18.75" customHeight="1">
      <c r="A277" s="374"/>
      <c r="B277" s="326"/>
      <c r="C277" s="333" t="s">
        <v>280</v>
      </c>
      <c r="D277" s="918">
        <v>1099984</v>
      </c>
      <c r="E277" s="918">
        <v>1094344.93</v>
      </c>
      <c r="F277" s="922">
        <f t="shared" si="11"/>
        <v>99.48734981599732</v>
      </c>
      <c r="G277" s="991"/>
    </row>
    <row r="278" spans="1:7" s="323" customFormat="1" ht="18.75" customHeight="1">
      <c r="A278" s="374"/>
      <c r="B278" s="326"/>
      <c r="C278" s="333" t="s">
        <v>281</v>
      </c>
      <c r="D278" s="918">
        <v>159618</v>
      </c>
      <c r="E278" s="918">
        <v>156928.31</v>
      </c>
      <c r="F278" s="922">
        <f t="shared" si="11"/>
        <v>98.31492062298737</v>
      </c>
      <c r="G278" s="991"/>
    </row>
    <row r="279" spans="1:8" s="328" customFormat="1" ht="18.75" customHeight="1">
      <c r="A279" s="375"/>
      <c r="B279" s="322"/>
      <c r="C279" s="161" t="s">
        <v>309</v>
      </c>
      <c r="D279" s="845">
        <v>3800</v>
      </c>
      <c r="E279" s="845">
        <v>3800</v>
      </c>
      <c r="F279" s="989">
        <f>E279/D279*100</f>
        <v>100</v>
      </c>
      <c r="G279" s="991"/>
      <c r="H279" s="323"/>
    </row>
    <row r="280" spans="1:8" s="328" customFormat="1" ht="18.75" customHeight="1">
      <c r="A280" s="376"/>
      <c r="B280" s="320" t="s">
        <v>27</v>
      </c>
      <c r="C280" s="324" t="s">
        <v>915</v>
      </c>
      <c r="D280" s="844">
        <f>D281</f>
        <v>731533</v>
      </c>
      <c r="E280" s="844">
        <f>E281</f>
        <v>708352.61</v>
      </c>
      <c r="F280" s="916">
        <f>E280/D280*100</f>
        <v>96.83125846680875</v>
      </c>
      <c r="G280" s="991"/>
      <c r="H280" s="323"/>
    </row>
    <row r="281" spans="1:7" s="78" customFormat="1" ht="18.75" customHeight="1">
      <c r="A281" s="375"/>
      <c r="B281" s="322"/>
      <c r="C281" s="161" t="s">
        <v>288</v>
      </c>
      <c r="D281" s="845">
        <v>731533</v>
      </c>
      <c r="E281" s="845">
        <v>708352.61</v>
      </c>
      <c r="F281" s="917">
        <f>E281/D281*100</f>
        <v>96.83125846680875</v>
      </c>
      <c r="G281" s="82"/>
    </row>
    <row r="282" spans="1:7" s="323" customFormat="1" ht="12" customHeight="1">
      <c r="A282" s="374"/>
      <c r="B282" s="326"/>
      <c r="C282" s="327" t="s">
        <v>305</v>
      </c>
      <c r="D282" s="759"/>
      <c r="E282" s="918"/>
      <c r="F282" s="919"/>
      <c r="G282" s="991"/>
    </row>
    <row r="283" spans="1:8" s="332" customFormat="1" ht="17.25" customHeight="1">
      <c r="A283" s="361"/>
      <c r="B283" s="330"/>
      <c r="C283" s="331" t="s">
        <v>307</v>
      </c>
      <c r="D283" s="920">
        <f>SUM(D284,D285)</f>
        <v>675276</v>
      </c>
      <c r="E283" s="920">
        <f>SUM(E284,E285)</f>
        <v>653466.8500000001</v>
      </c>
      <c r="F283" s="921">
        <f aca="true" t="shared" si="12" ref="F283:F295">E283/D283*100</f>
        <v>96.77033538878919</v>
      </c>
      <c r="G283" s="991"/>
      <c r="H283" s="337"/>
    </row>
    <row r="284" spans="1:8" s="328" customFormat="1" ht="17.25" customHeight="1">
      <c r="A284" s="374"/>
      <c r="B284" s="326"/>
      <c r="C284" s="333" t="s">
        <v>280</v>
      </c>
      <c r="D284" s="918">
        <v>580819</v>
      </c>
      <c r="E284" s="918">
        <v>567317.56</v>
      </c>
      <c r="F284" s="922">
        <f t="shared" si="12"/>
        <v>97.6754479450569</v>
      </c>
      <c r="G284" s="991"/>
      <c r="H284" s="323"/>
    </row>
    <row r="285" spans="1:8" s="328" customFormat="1" ht="17.25" customHeight="1">
      <c r="A285" s="374"/>
      <c r="B285" s="326"/>
      <c r="C285" s="333" t="s">
        <v>281</v>
      </c>
      <c r="D285" s="918">
        <v>94457</v>
      </c>
      <c r="E285" s="918">
        <v>86149.29</v>
      </c>
      <c r="F285" s="922">
        <f t="shared" si="12"/>
        <v>91.20477042463766</v>
      </c>
      <c r="G285" s="991"/>
      <c r="H285" s="323"/>
    </row>
    <row r="286" spans="1:7" s="323" customFormat="1" ht="18.75" customHeight="1">
      <c r="A286" s="376"/>
      <c r="B286" s="320" t="s">
        <v>29</v>
      </c>
      <c r="C286" s="172" t="s">
        <v>840</v>
      </c>
      <c r="D286" s="844">
        <f>SUM(D287,D292)</f>
        <v>956720</v>
      </c>
      <c r="E286" s="844">
        <f>SUM(E287,E292)</f>
        <v>830402.6399999999</v>
      </c>
      <c r="F286" s="916">
        <f t="shared" si="12"/>
        <v>86.79683083869888</v>
      </c>
      <c r="G286" s="991"/>
    </row>
    <row r="287" spans="1:8" s="328" customFormat="1" ht="18.75" customHeight="1">
      <c r="A287" s="375"/>
      <c r="B287" s="322"/>
      <c r="C287" s="161" t="s">
        <v>288</v>
      </c>
      <c r="D287" s="845">
        <v>543720</v>
      </c>
      <c r="E287" s="845">
        <v>543193.44</v>
      </c>
      <c r="F287" s="917">
        <f t="shared" si="12"/>
        <v>99.9031560361951</v>
      </c>
      <c r="G287" s="991"/>
      <c r="H287" s="323"/>
    </row>
    <row r="288" spans="1:7" s="323" customFormat="1" ht="12" customHeight="1">
      <c r="A288" s="374"/>
      <c r="B288" s="326"/>
      <c r="C288" s="327" t="s">
        <v>305</v>
      </c>
      <c r="D288" s="759"/>
      <c r="E288" s="918"/>
      <c r="F288" s="919"/>
      <c r="G288" s="991"/>
    </row>
    <row r="289" spans="1:8" s="332" customFormat="1" ht="17.25" customHeight="1">
      <c r="A289" s="361"/>
      <c r="B289" s="330"/>
      <c r="C289" s="331" t="s">
        <v>307</v>
      </c>
      <c r="D289" s="920">
        <f>SUM(D290,D291)</f>
        <v>9720</v>
      </c>
      <c r="E289" s="920">
        <f>SUM(E290,E291)</f>
        <v>9720</v>
      </c>
      <c r="F289" s="921">
        <f>E289/D289*100</f>
        <v>100</v>
      </c>
      <c r="G289" s="991">
        <v>0</v>
      </c>
      <c r="H289" s="337"/>
    </row>
    <row r="290" spans="1:8" s="328" customFormat="1" ht="17.25" customHeight="1">
      <c r="A290" s="374"/>
      <c r="B290" s="326"/>
      <c r="C290" s="333" t="s">
        <v>280</v>
      </c>
      <c r="D290" s="918">
        <v>9506</v>
      </c>
      <c r="E290" s="918">
        <v>9506</v>
      </c>
      <c r="F290" s="922">
        <f>E290/D290*100</f>
        <v>100</v>
      </c>
      <c r="G290" s="991">
        <v>0</v>
      </c>
      <c r="H290" s="323"/>
    </row>
    <row r="291" spans="1:8" s="938" customFormat="1" ht="17.25" customHeight="1">
      <c r="A291" s="947"/>
      <c r="B291" s="934"/>
      <c r="C291" s="945" t="s">
        <v>281</v>
      </c>
      <c r="D291" s="936">
        <v>214</v>
      </c>
      <c r="E291" s="936">
        <v>214</v>
      </c>
      <c r="F291" s="946">
        <f>E291/D291*100</f>
        <v>100</v>
      </c>
      <c r="G291" s="991"/>
      <c r="H291" s="927"/>
    </row>
    <row r="292" spans="1:8" s="328" customFormat="1" ht="18.75" customHeight="1">
      <c r="A292" s="375"/>
      <c r="B292" s="322"/>
      <c r="C292" s="161" t="s">
        <v>309</v>
      </c>
      <c r="D292" s="845">
        <v>413000</v>
      </c>
      <c r="E292" s="845">
        <v>287209.2</v>
      </c>
      <c r="F292" s="917">
        <f t="shared" si="12"/>
        <v>69.54217917675545</v>
      </c>
      <c r="G292" s="991"/>
      <c r="H292" s="323"/>
    </row>
    <row r="293" spans="1:7" s="323" customFormat="1" ht="27" customHeight="1">
      <c r="A293" s="377" t="s">
        <v>904</v>
      </c>
      <c r="B293" s="318"/>
      <c r="C293" s="335" t="s">
        <v>405</v>
      </c>
      <c r="D293" s="914">
        <f>SUM(D294,D301)</f>
        <v>1352821</v>
      </c>
      <c r="E293" s="914">
        <f>SUM(E294,E301)</f>
        <v>1345998.3399999999</v>
      </c>
      <c r="F293" s="915">
        <f t="shared" si="12"/>
        <v>99.49567163726759</v>
      </c>
      <c r="G293" s="991"/>
    </row>
    <row r="294" spans="1:8" s="328" customFormat="1" ht="18.75" customHeight="1">
      <c r="A294" s="376"/>
      <c r="B294" s="320" t="s">
        <v>905</v>
      </c>
      <c r="C294" s="324" t="s">
        <v>406</v>
      </c>
      <c r="D294" s="844">
        <f>SUM(D295,D300)</f>
        <v>599747</v>
      </c>
      <c r="E294" s="844">
        <f>SUM(E295,E300)</f>
        <v>599747</v>
      </c>
      <c r="F294" s="916">
        <f t="shared" si="12"/>
        <v>100</v>
      </c>
      <c r="G294" s="991"/>
      <c r="H294" s="323"/>
    </row>
    <row r="295" spans="1:8" s="328" customFormat="1" ht="18.75" customHeight="1">
      <c r="A295" s="375"/>
      <c r="B295" s="322"/>
      <c r="C295" s="161" t="s">
        <v>288</v>
      </c>
      <c r="D295" s="845">
        <v>589747</v>
      </c>
      <c r="E295" s="845">
        <v>589749.1</v>
      </c>
      <c r="F295" s="916">
        <f t="shared" si="12"/>
        <v>100.00035608489742</v>
      </c>
      <c r="G295" s="991"/>
      <c r="H295" s="323"/>
    </row>
    <row r="296" spans="1:8" s="328" customFormat="1" ht="12" customHeight="1">
      <c r="A296" s="375"/>
      <c r="B296" s="322"/>
      <c r="C296" s="327" t="s">
        <v>305</v>
      </c>
      <c r="D296" s="845"/>
      <c r="E296" s="845"/>
      <c r="F296" s="989"/>
      <c r="G296" s="991"/>
      <c r="H296" s="323"/>
    </row>
    <row r="297" spans="1:7" s="81" customFormat="1" ht="18.75" customHeight="1">
      <c r="A297" s="378"/>
      <c r="B297" s="341"/>
      <c r="C297" s="331" t="s">
        <v>307</v>
      </c>
      <c r="D297" s="920">
        <f>SUM(D298,D299)</f>
        <v>524802</v>
      </c>
      <c r="E297" s="920">
        <f>SUM(E298,E299)</f>
        <v>524803.87</v>
      </c>
      <c r="F297" s="921">
        <f aca="true" t="shared" si="13" ref="F297:F302">E297/D297*100</f>
        <v>100.00035632486157</v>
      </c>
      <c r="G297" s="82"/>
    </row>
    <row r="298" spans="1:7" s="78" customFormat="1" ht="18" customHeight="1">
      <c r="A298" s="375"/>
      <c r="B298" s="322"/>
      <c r="C298" s="333" t="s">
        <v>280</v>
      </c>
      <c r="D298" s="968">
        <v>446714</v>
      </c>
      <c r="E298" s="968">
        <v>446714.54</v>
      </c>
      <c r="F298" s="922">
        <f t="shared" si="13"/>
        <v>100.00012088271242</v>
      </c>
      <c r="G298" s="82"/>
    </row>
    <row r="299" spans="1:7" s="78" customFormat="1" ht="18.75" customHeight="1">
      <c r="A299" s="375"/>
      <c r="B299" s="322"/>
      <c r="C299" s="333" t="s">
        <v>281</v>
      </c>
      <c r="D299" s="968">
        <v>78088</v>
      </c>
      <c r="E299" s="968">
        <v>78089.33</v>
      </c>
      <c r="F299" s="922">
        <f t="shared" si="13"/>
        <v>100.00170320663867</v>
      </c>
      <c r="G299" s="82"/>
    </row>
    <row r="300" spans="1:7" s="78" customFormat="1" ht="16.5" customHeight="1">
      <c r="A300" s="375"/>
      <c r="B300" s="322"/>
      <c r="C300" s="161" t="s">
        <v>309</v>
      </c>
      <c r="D300" s="967">
        <v>10000</v>
      </c>
      <c r="E300" s="967">
        <v>9997.9</v>
      </c>
      <c r="F300" s="917">
        <f t="shared" si="13"/>
        <v>99.979</v>
      </c>
      <c r="G300" s="82"/>
    </row>
    <row r="301" spans="1:7" s="323" customFormat="1" ht="18.75" customHeight="1">
      <c r="A301" s="376"/>
      <c r="B301" s="320" t="s">
        <v>409</v>
      </c>
      <c r="C301" s="324" t="s">
        <v>840</v>
      </c>
      <c r="D301" s="844">
        <f>SUM(D302)</f>
        <v>753074</v>
      </c>
      <c r="E301" s="844">
        <f>SUM(E302)</f>
        <v>746251.34</v>
      </c>
      <c r="F301" s="916">
        <f t="shared" si="13"/>
        <v>99.09402528835147</v>
      </c>
      <c r="G301" s="991"/>
    </row>
    <row r="302" spans="1:7" s="323" customFormat="1" ht="18.75" customHeight="1">
      <c r="A302" s="374"/>
      <c r="B302" s="326"/>
      <c r="C302" s="161" t="s">
        <v>288</v>
      </c>
      <c r="D302" s="845">
        <v>753074</v>
      </c>
      <c r="E302" s="845">
        <v>746251.34</v>
      </c>
      <c r="F302" s="917">
        <f t="shared" si="13"/>
        <v>99.09402528835147</v>
      </c>
      <c r="G302" s="991"/>
    </row>
    <row r="303" spans="1:7" s="323" customFormat="1" ht="12" customHeight="1">
      <c r="A303" s="375"/>
      <c r="B303" s="322"/>
      <c r="C303" s="327" t="s">
        <v>305</v>
      </c>
      <c r="D303" s="918"/>
      <c r="E303" s="918"/>
      <c r="F303" s="922"/>
      <c r="G303" s="991"/>
    </row>
    <row r="304" spans="1:7" s="81" customFormat="1" ht="18.75" customHeight="1">
      <c r="A304" s="378"/>
      <c r="B304" s="341"/>
      <c r="C304" s="331" t="s">
        <v>307</v>
      </c>
      <c r="D304" s="920">
        <f>SUM(D305,D306)</f>
        <v>89240</v>
      </c>
      <c r="E304" s="920">
        <f>SUM(E305,E306)</f>
        <v>88514.69</v>
      </c>
      <c r="F304" s="921">
        <f aca="true" t="shared" si="14" ref="F304:F310">E304/D304*100</f>
        <v>99.18723666517258</v>
      </c>
      <c r="G304" s="82"/>
    </row>
    <row r="305" spans="1:7" s="78" customFormat="1" ht="18.75" customHeight="1">
      <c r="A305" s="375"/>
      <c r="B305" s="322"/>
      <c r="C305" s="333" t="s">
        <v>280</v>
      </c>
      <c r="D305" s="968">
        <v>78152</v>
      </c>
      <c r="E305" s="968">
        <v>77540.83</v>
      </c>
      <c r="F305" s="922">
        <f t="shared" si="14"/>
        <v>99.21797266864571</v>
      </c>
      <c r="G305" s="82"/>
    </row>
    <row r="306" spans="1:7" s="78" customFormat="1" ht="18.75" customHeight="1">
      <c r="A306" s="375"/>
      <c r="B306" s="322"/>
      <c r="C306" s="333" t="s">
        <v>281</v>
      </c>
      <c r="D306" s="968">
        <v>11088</v>
      </c>
      <c r="E306" s="968">
        <v>10973.86</v>
      </c>
      <c r="F306" s="922">
        <f t="shared" si="14"/>
        <v>98.97059884559886</v>
      </c>
      <c r="G306" s="82"/>
    </row>
    <row r="307" spans="1:7" s="337" customFormat="1" ht="18.75" customHeight="1">
      <c r="A307" s="378"/>
      <c r="B307" s="341"/>
      <c r="C307" s="331" t="s">
        <v>308</v>
      </c>
      <c r="D307" s="920">
        <v>500000</v>
      </c>
      <c r="E307" s="920">
        <v>499337.91</v>
      </c>
      <c r="F307" s="921">
        <f t="shared" si="14"/>
        <v>99.867582</v>
      </c>
      <c r="G307" s="991"/>
    </row>
    <row r="308" spans="1:7" s="323" customFormat="1" ht="18.75" customHeight="1">
      <c r="A308" s="377" t="s">
        <v>916</v>
      </c>
      <c r="B308" s="318"/>
      <c r="C308" s="335" t="s">
        <v>920</v>
      </c>
      <c r="D308" s="914">
        <f>SUM(D309,D315,D322,D324,D326)</f>
        <v>2008010</v>
      </c>
      <c r="E308" s="914">
        <f>SUM(E309,E315,E322,E324,E326)</f>
        <v>1943965.5399999998</v>
      </c>
      <c r="F308" s="915">
        <f t="shared" si="14"/>
        <v>96.8105507442692</v>
      </c>
      <c r="G308" s="991"/>
    </row>
    <row r="309" spans="1:7" s="323" customFormat="1" ht="18.75" customHeight="1">
      <c r="A309" s="376"/>
      <c r="B309" s="320" t="s">
        <v>410</v>
      </c>
      <c r="C309" s="324" t="s">
        <v>411</v>
      </c>
      <c r="D309" s="844">
        <f>SUM(D310)</f>
        <v>658988</v>
      </c>
      <c r="E309" s="844">
        <f>SUM(E310)</f>
        <v>658984.43</v>
      </c>
      <c r="F309" s="916">
        <f t="shared" si="14"/>
        <v>99.99945826024147</v>
      </c>
      <c r="G309" s="991"/>
    </row>
    <row r="310" spans="1:7" s="323" customFormat="1" ht="18.75" customHeight="1">
      <c r="A310" s="375"/>
      <c r="B310" s="322"/>
      <c r="C310" s="161" t="s">
        <v>288</v>
      </c>
      <c r="D310" s="845">
        <v>658988</v>
      </c>
      <c r="E310" s="845">
        <v>658984.43</v>
      </c>
      <c r="F310" s="917">
        <f t="shared" si="14"/>
        <v>99.99945826024147</v>
      </c>
      <c r="G310" s="991"/>
    </row>
    <row r="311" spans="1:7" s="323" customFormat="1" ht="12" customHeight="1">
      <c r="A311" s="374"/>
      <c r="B311" s="326"/>
      <c r="C311" s="327" t="s">
        <v>305</v>
      </c>
      <c r="D311" s="918"/>
      <c r="E311" s="918"/>
      <c r="F311" s="919"/>
      <c r="G311" s="991"/>
    </row>
    <row r="312" spans="1:7" s="337" customFormat="1" ht="18.75" customHeight="1">
      <c r="A312" s="361"/>
      <c r="B312" s="330"/>
      <c r="C312" s="331" t="s">
        <v>307</v>
      </c>
      <c r="D312" s="920">
        <f>SUM(D313,D314)</f>
        <v>476804</v>
      </c>
      <c r="E312" s="920">
        <f>SUM(E313,E314)</f>
        <v>476802.86</v>
      </c>
      <c r="F312" s="921">
        <f>E312/D312*100</f>
        <v>99.99976090804607</v>
      </c>
      <c r="G312" s="991"/>
    </row>
    <row r="313" spans="1:7" s="323" customFormat="1" ht="18.75" customHeight="1">
      <c r="A313" s="374"/>
      <c r="B313" s="326"/>
      <c r="C313" s="333" t="s">
        <v>280</v>
      </c>
      <c r="D313" s="918">
        <v>403626</v>
      </c>
      <c r="E313" s="918">
        <v>403626.35</v>
      </c>
      <c r="F313" s="922">
        <f>E313/D313*100</f>
        <v>100.00008671393815</v>
      </c>
      <c r="G313" s="991"/>
    </row>
    <row r="314" spans="1:7" s="323" customFormat="1" ht="18.75" customHeight="1">
      <c r="A314" s="374"/>
      <c r="B314" s="326"/>
      <c r="C314" s="333" t="s">
        <v>281</v>
      </c>
      <c r="D314" s="918">
        <v>73178</v>
      </c>
      <c r="E314" s="918">
        <v>73176.51</v>
      </c>
      <c r="F314" s="922">
        <f>E314/D314*100</f>
        <v>99.99796386892234</v>
      </c>
      <c r="G314" s="991"/>
    </row>
    <row r="315" spans="1:8" s="328" customFormat="1" ht="18.75" customHeight="1">
      <c r="A315" s="376"/>
      <c r="B315" s="320" t="s">
        <v>970</v>
      </c>
      <c r="C315" s="172" t="s">
        <v>413</v>
      </c>
      <c r="D315" s="844">
        <f>SUM(D316,D321)</f>
        <v>809932</v>
      </c>
      <c r="E315" s="844">
        <f>SUM(E316,E321)</f>
        <v>809932.7799999999</v>
      </c>
      <c r="F315" s="916">
        <f aca="true" t="shared" si="15" ref="F315:F325">E315/D315*100</f>
        <v>100.00009630438109</v>
      </c>
      <c r="G315" s="991"/>
      <c r="H315" s="323"/>
    </row>
    <row r="316" spans="1:8" s="328" customFormat="1" ht="18" customHeight="1">
      <c r="A316" s="375"/>
      <c r="B316" s="322"/>
      <c r="C316" s="161" t="s">
        <v>288</v>
      </c>
      <c r="D316" s="845">
        <v>688225</v>
      </c>
      <c r="E316" s="845">
        <v>688225.58</v>
      </c>
      <c r="F316" s="917">
        <f t="shared" si="15"/>
        <v>100.00008427476479</v>
      </c>
      <c r="G316" s="991"/>
      <c r="H316" s="323"/>
    </row>
    <row r="317" spans="1:7" s="78" customFormat="1" ht="12" customHeight="1">
      <c r="A317" s="374"/>
      <c r="B317" s="326"/>
      <c r="C317" s="327" t="s">
        <v>305</v>
      </c>
      <c r="D317" s="918"/>
      <c r="E317" s="918"/>
      <c r="F317" s="919"/>
      <c r="G317" s="82"/>
    </row>
    <row r="318" spans="1:7" s="337" customFormat="1" ht="18.75" customHeight="1">
      <c r="A318" s="361"/>
      <c r="B318" s="330"/>
      <c r="C318" s="331" t="s">
        <v>307</v>
      </c>
      <c r="D318" s="920">
        <f>SUM(D319,D320)</f>
        <v>527537</v>
      </c>
      <c r="E318" s="920">
        <f>SUM(E319,E320)</f>
        <v>527536.98</v>
      </c>
      <c r="F318" s="921">
        <f t="shared" si="15"/>
        <v>99.99999620879673</v>
      </c>
      <c r="G318" s="991"/>
    </row>
    <row r="319" spans="1:7" s="323" customFormat="1" ht="18.75" customHeight="1">
      <c r="A319" s="374"/>
      <c r="B319" s="326"/>
      <c r="C319" s="333" t="s">
        <v>280</v>
      </c>
      <c r="D319" s="918">
        <v>441956</v>
      </c>
      <c r="E319" s="918">
        <v>441955.67</v>
      </c>
      <c r="F319" s="922">
        <f t="shared" si="15"/>
        <v>99.9999253319335</v>
      </c>
      <c r="G319" s="991"/>
    </row>
    <row r="320" spans="1:7" s="323" customFormat="1" ht="18.75" customHeight="1">
      <c r="A320" s="374"/>
      <c r="B320" s="326"/>
      <c r="C320" s="333" t="s">
        <v>281</v>
      </c>
      <c r="D320" s="918">
        <v>85581</v>
      </c>
      <c r="E320" s="918">
        <v>85581.31</v>
      </c>
      <c r="F320" s="922">
        <f t="shared" si="15"/>
        <v>100.0003622299342</v>
      </c>
      <c r="G320" s="991"/>
    </row>
    <row r="321" spans="1:8" s="328" customFormat="1" ht="18" customHeight="1">
      <c r="A321" s="375"/>
      <c r="B321" s="322"/>
      <c r="C321" s="161" t="s">
        <v>309</v>
      </c>
      <c r="D321" s="845">
        <v>121707</v>
      </c>
      <c r="E321" s="845">
        <v>121707.2</v>
      </c>
      <c r="F321" s="917">
        <f>E321/D321*100</f>
        <v>100.00016432908542</v>
      </c>
      <c r="G321" s="991" t="s">
        <v>1293</v>
      </c>
      <c r="H321" s="323"/>
    </row>
    <row r="322" spans="1:8" s="328" customFormat="1" ht="18.75" customHeight="1">
      <c r="A322" s="376"/>
      <c r="B322" s="320" t="s">
        <v>973</v>
      </c>
      <c r="C322" s="172" t="s">
        <v>974</v>
      </c>
      <c r="D322" s="844">
        <f>D323</f>
        <v>334912</v>
      </c>
      <c r="E322" s="844">
        <f>E323</f>
        <v>270871.11</v>
      </c>
      <c r="F322" s="916">
        <f t="shared" si="15"/>
        <v>80.878293402446</v>
      </c>
      <c r="G322" s="991"/>
      <c r="H322" s="323"/>
    </row>
    <row r="323" spans="1:8" s="328" customFormat="1" ht="18" customHeight="1">
      <c r="A323" s="375"/>
      <c r="B323" s="322"/>
      <c r="C323" s="161" t="s">
        <v>288</v>
      </c>
      <c r="D323" s="845">
        <v>334912</v>
      </c>
      <c r="E323" s="845">
        <v>270871.11</v>
      </c>
      <c r="F323" s="917">
        <f t="shared" si="15"/>
        <v>80.878293402446</v>
      </c>
      <c r="G323" s="991"/>
      <c r="H323" s="323"/>
    </row>
    <row r="324" spans="1:8" s="328" customFormat="1" ht="18.75" customHeight="1">
      <c r="A324" s="376"/>
      <c r="B324" s="320" t="s">
        <v>417</v>
      </c>
      <c r="C324" s="172" t="s">
        <v>384</v>
      </c>
      <c r="D324" s="844">
        <f>D325</f>
        <v>1310</v>
      </c>
      <c r="E324" s="844">
        <f>E325</f>
        <v>1310</v>
      </c>
      <c r="F324" s="916">
        <f t="shared" si="15"/>
        <v>100</v>
      </c>
      <c r="G324" s="991"/>
      <c r="H324" s="323"/>
    </row>
    <row r="325" spans="1:8" s="328" customFormat="1" ht="18.75" customHeight="1">
      <c r="A325" s="375"/>
      <c r="B325" s="322"/>
      <c r="C325" s="161" t="s">
        <v>288</v>
      </c>
      <c r="D325" s="845">
        <v>1310</v>
      </c>
      <c r="E325" s="845">
        <v>1310</v>
      </c>
      <c r="F325" s="917">
        <f t="shared" si="15"/>
        <v>100</v>
      </c>
      <c r="G325" s="991"/>
      <c r="H325" s="323"/>
    </row>
    <row r="326" spans="1:8" s="328" customFormat="1" ht="18.75" customHeight="1">
      <c r="A326" s="376"/>
      <c r="B326" s="320" t="s">
        <v>418</v>
      </c>
      <c r="C326" s="172" t="s">
        <v>840</v>
      </c>
      <c r="D326" s="844">
        <f>D327</f>
        <v>202868</v>
      </c>
      <c r="E326" s="844">
        <f>E327</f>
        <v>202867.22</v>
      </c>
      <c r="F326" s="916">
        <f aca="true" t="shared" si="16" ref="F326:F349">E326/D326*100</f>
        <v>99.9996155135359</v>
      </c>
      <c r="G326" s="991"/>
      <c r="H326" s="323"/>
    </row>
    <row r="327" spans="1:8" s="328" customFormat="1" ht="17.25" customHeight="1">
      <c r="A327" s="375"/>
      <c r="B327" s="322"/>
      <c r="C327" s="161" t="s">
        <v>288</v>
      </c>
      <c r="D327" s="845">
        <v>202868</v>
      </c>
      <c r="E327" s="845">
        <v>202867.22</v>
      </c>
      <c r="F327" s="917">
        <f t="shared" si="16"/>
        <v>99.9996155135359</v>
      </c>
      <c r="G327" s="991"/>
      <c r="H327" s="323"/>
    </row>
    <row r="328" spans="1:7" s="78" customFormat="1" ht="12" customHeight="1">
      <c r="A328" s="374"/>
      <c r="B328" s="326"/>
      <c r="C328" s="327" t="s">
        <v>305</v>
      </c>
      <c r="D328" s="918"/>
      <c r="E328" s="918"/>
      <c r="F328" s="919"/>
      <c r="G328" s="82"/>
    </row>
    <row r="329" spans="1:7" s="337" customFormat="1" ht="18.75" customHeight="1">
      <c r="A329" s="361"/>
      <c r="B329" s="330"/>
      <c r="C329" s="331" t="s">
        <v>307</v>
      </c>
      <c r="D329" s="920">
        <f>SUM(D330,D331)</f>
        <v>2364</v>
      </c>
      <c r="E329" s="920">
        <f>SUM(E330,E331)</f>
        <v>2363.6</v>
      </c>
      <c r="F329" s="921">
        <f>E329/D329*100</f>
        <v>99.98307952622673</v>
      </c>
      <c r="G329" s="991"/>
    </row>
    <row r="330" spans="1:7" s="323" customFormat="1" ht="18.75" customHeight="1">
      <c r="A330" s="374"/>
      <c r="B330" s="326"/>
      <c r="C330" s="333" t="s">
        <v>280</v>
      </c>
      <c r="D330" s="918">
        <v>2000</v>
      </c>
      <c r="E330" s="918">
        <v>2000</v>
      </c>
      <c r="F330" s="922">
        <f>E330/D330*100</f>
        <v>100</v>
      </c>
      <c r="G330" s="991"/>
    </row>
    <row r="331" spans="1:7" s="323" customFormat="1" ht="18.75" customHeight="1">
      <c r="A331" s="374"/>
      <c r="B331" s="326"/>
      <c r="C331" s="333" t="s">
        <v>281</v>
      </c>
      <c r="D331" s="918">
        <v>364</v>
      </c>
      <c r="E331" s="918">
        <v>363.6</v>
      </c>
      <c r="F331" s="922">
        <f>E331/D331*100</f>
        <v>99.8901098901099</v>
      </c>
      <c r="G331" s="991"/>
    </row>
    <row r="332" spans="1:7" s="323" customFormat="1" ht="27" customHeight="1">
      <c r="A332" s="377" t="s">
        <v>976</v>
      </c>
      <c r="B332" s="318"/>
      <c r="C332" s="335" t="s">
        <v>429</v>
      </c>
      <c r="D332" s="914">
        <f>SUM(D333,D336,D338,D341,D343,D346,D348)</f>
        <v>12066232</v>
      </c>
      <c r="E332" s="914">
        <f>SUM(E333,E336,E338,E341,E343,E346,E348)</f>
        <v>11690994.009999998</v>
      </c>
      <c r="F332" s="915">
        <f t="shared" si="16"/>
        <v>96.89018087833881</v>
      </c>
      <c r="G332" s="991"/>
    </row>
    <row r="333" spans="1:7" s="78" customFormat="1" ht="18.75" customHeight="1">
      <c r="A333" s="376"/>
      <c r="B333" s="320" t="s">
        <v>32</v>
      </c>
      <c r="C333" s="172" t="s">
        <v>33</v>
      </c>
      <c r="D333" s="844">
        <f>SUM(D334,D335)</f>
        <v>264770</v>
      </c>
      <c r="E333" s="844">
        <f>SUM(E334,E335)</f>
        <v>263490.36</v>
      </c>
      <c r="F333" s="916">
        <f>E333/D333*100</f>
        <v>99.51669751104731</v>
      </c>
      <c r="G333" s="82"/>
    </row>
    <row r="334" spans="1:7" s="323" customFormat="1" ht="18.75" customHeight="1">
      <c r="A334" s="375"/>
      <c r="B334" s="322"/>
      <c r="C334" s="161" t="s">
        <v>288</v>
      </c>
      <c r="D334" s="845">
        <v>64425</v>
      </c>
      <c r="E334" s="845">
        <v>63325.36</v>
      </c>
      <c r="F334" s="917">
        <f>E334/D334*100</f>
        <v>98.29314707023671</v>
      </c>
      <c r="G334" s="991"/>
    </row>
    <row r="335" spans="1:7" s="927" customFormat="1" ht="18.75" customHeight="1">
      <c r="A335" s="969"/>
      <c r="B335" s="929"/>
      <c r="C335" s="930" t="s">
        <v>309</v>
      </c>
      <c r="D335" s="931">
        <v>200345</v>
      </c>
      <c r="E335" s="931">
        <v>200165</v>
      </c>
      <c r="F335" s="932">
        <f>E335/D335*100</f>
        <v>99.91015498265492</v>
      </c>
      <c r="G335" s="991"/>
    </row>
    <row r="336" spans="1:8" s="328" customFormat="1" ht="18.75" customHeight="1">
      <c r="A336" s="376"/>
      <c r="B336" s="320" t="s">
        <v>977</v>
      </c>
      <c r="C336" s="172" t="s">
        <v>1167</v>
      </c>
      <c r="D336" s="844">
        <f>SUM(D337)</f>
        <v>2324579</v>
      </c>
      <c r="E336" s="844">
        <f>SUM(E337)</f>
        <v>2320459.68</v>
      </c>
      <c r="F336" s="916">
        <f t="shared" si="16"/>
        <v>99.82279285840576</v>
      </c>
      <c r="G336" s="991"/>
      <c r="H336" s="323"/>
    </row>
    <row r="337" spans="1:8" s="328" customFormat="1" ht="18.75" customHeight="1">
      <c r="A337" s="375"/>
      <c r="B337" s="322"/>
      <c r="C337" s="161" t="s">
        <v>288</v>
      </c>
      <c r="D337" s="845">
        <v>2324579</v>
      </c>
      <c r="E337" s="845">
        <v>2320459.68</v>
      </c>
      <c r="F337" s="917">
        <f t="shared" si="16"/>
        <v>99.82279285840576</v>
      </c>
      <c r="G337" s="991"/>
      <c r="H337" s="323"/>
    </row>
    <row r="338" spans="1:7" s="78" customFormat="1" ht="18.75" customHeight="1">
      <c r="A338" s="376"/>
      <c r="B338" s="320" t="s">
        <v>430</v>
      </c>
      <c r="C338" s="172" t="s">
        <v>431</v>
      </c>
      <c r="D338" s="844">
        <f>SUM(D339,D340)</f>
        <v>4294000</v>
      </c>
      <c r="E338" s="844">
        <f>SUM(E339,E340)</f>
        <v>4027196.81</v>
      </c>
      <c r="F338" s="916">
        <f t="shared" si="16"/>
        <v>93.78660479739172</v>
      </c>
      <c r="G338" s="82"/>
    </row>
    <row r="339" spans="1:7" s="323" customFormat="1" ht="18.75" customHeight="1">
      <c r="A339" s="375"/>
      <c r="B339" s="322"/>
      <c r="C339" s="161" t="s">
        <v>288</v>
      </c>
      <c r="D339" s="845">
        <v>1265000</v>
      </c>
      <c r="E339" s="845">
        <v>1241251.15</v>
      </c>
      <c r="F339" s="917">
        <f t="shared" si="16"/>
        <v>98.12262055335967</v>
      </c>
      <c r="G339" s="991"/>
    </row>
    <row r="340" spans="1:7" s="323" customFormat="1" ht="18.75" customHeight="1">
      <c r="A340" s="375"/>
      <c r="B340" s="322"/>
      <c r="C340" s="161" t="s">
        <v>309</v>
      </c>
      <c r="D340" s="845">
        <v>3029000</v>
      </c>
      <c r="E340" s="845">
        <v>2785945.66</v>
      </c>
      <c r="F340" s="917">
        <f t="shared" si="16"/>
        <v>91.97575635523275</v>
      </c>
      <c r="G340" s="991"/>
    </row>
    <row r="341" spans="1:7" s="78" customFormat="1" ht="18.75" customHeight="1">
      <c r="A341" s="376"/>
      <c r="B341" s="320" t="s">
        <v>434</v>
      </c>
      <c r="C341" s="172" t="s">
        <v>435</v>
      </c>
      <c r="D341" s="844">
        <f>SUM(D342)</f>
        <v>288009</v>
      </c>
      <c r="E341" s="844">
        <f>SUM(E342)</f>
        <v>264666.56</v>
      </c>
      <c r="F341" s="916">
        <f t="shared" si="16"/>
        <v>91.89523938488034</v>
      </c>
      <c r="G341" s="82"/>
    </row>
    <row r="342" spans="1:7" s="323" customFormat="1" ht="18.75" customHeight="1">
      <c r="A342" s="375"/>
      <c r="B342" s="322"/>
      <c r="C342" s="161" t="s">
        <v>288</v>
      </c>
      <c r="D342" s="845">
        <v>288009</v>
      </c>
      <c r="E342" s="845">
        <v>264666.56</v>
      </c>
      <c r="F342" s="917">
        <f t="shared" si="16"/>
        <v>91.89523938488034</v>
      </c>
      <c r="G342" s="991"/>
    </row>
    <row r="343" spans="1:8" s="328" customFormat="1" ht="18.75" customHeight="1">
      <c r="A343" s="376"/>
      <c r="B343" s="320" t="s">
        <v>978</v>
      </c>
      <c r="C343" s="172" t="s">
        <v>979</v>
      </c>
      <c r="D343" s="844">
        <f>SUM(D344,D345)</f>
        <v>1548400</v>
      </c>
      <c r="E343" s="844">
        <f>SUM(E344,E345)</f>
        <v>1489714.23</v>
      </c>
      <c r="F343" s="916">
        <f t="shared" si="16"/>
        <v>96.20990893825885</v>
      </c>
      <c r="G343" s="991"/>
      <c r="H343" s="323"/>
    </row>
    <row r="344" spans="1:8" s="328" customFormat="1" ht="18.75" customHeight="1">
      <c r="A344" s="375"/>
      <c r="B344" s="322"/>
      <c r="C344" s="161" t="s">
        <v>288</v>
      </c>
      <c r="D344" s="845">
        <v>867400</v>
      </c>
      <c r="E344" s="845">
        <v>866734.84</v>
      </c>
      <c r="F344" s="917">
        <f t="shared" si="16"/>
        <v>99.92331565598339</v>
      </c>
      <c r="G344" s="991"/>
      <c r="H344" s="323"/>
    </row>
    <row r="345" spans="1:8" s="328" customFormat="1" ht="18.75" customHeight="1">
      <c r="A345" s="375"/>
      <c r="B345" s="322"/>
      <c r="C345" s="161" t="s">
        <v>309</v>
      </c>
      <c r="D345" s="845">
        <v>681000</v>
      </c>
      <c r="E345" s="845">
        <v>622979.39</v>
      </c>
      <c r="F345" s="917">
        <f t="shared" si="16"/>
        <v>91.4800866372981</v>
      </c>
      <c r="G345" s="991"/>
      <c r="H345" s="323"/>
    </row>
    <row r="346" spans="1:7" s="323" customFormat="1" ht="27.75" customHeight="1">
      <c r="A346" s="376"/>
      <c r="B346" s="320" t="s">
        <v>1196</v>
      </c>
      <c r="C346" s="324" t="s">
        <v>1197</v>
      </c>
      <c r="D346" s="844">
        <f>SUM(D347)</f>
        <v>9000</v>
      </c>
      <c r="E346" s="844">
        <f>SUM(E347)</f>
        <v>8182.6</v>
      </c>
      <c r="F346" s="916">
        <f t="shared" si="16"/>
        <v>90.91777777777779</v>
      </c>
      <c r="G346" s="991"/>
    </row>
    <row r="347" spans="1:7" s="323" customFormat="1" ht="18.75" customHeight="1">
      <c r="A347" s="375"/>
      <c r="B347" s="322"/>
      <c r="C347" s="161" t="s">
        <v>288</v>
      </c>
      <c r="D347" s="845">
        <v>9000</v>
      </c>
      <c r="E347" s="845">
        <v>8182.6</v>
      </c>
      <c r="F347" s="917">
        <f t="shared" si="16"/>
        <v>90.91777777777779</v>
      </c>
      <c r="G347" s="991"/>
    </row>
    <row r="348" spans="1:7" s="78" customFormat="1" ht="18.75" customHeight="1">
      <c r="A348" s="376"/>
      <c r="B348" s="320" t="s">
        <v>980</v>
      </c>
      <c r="C348" s="172" t="s">
        <v>840</v>
      </c>
      <c r="D348" s="844">
        <f>D349+D353</f>
        <v>3337474</v>
      </c>
      <c r="E348" s="844">
        <f>E349+E353</f>
        <v>3317283.7700000005</v>
      </c>
      <c r="F348" s="916">
        <f t="shared" si="16"/>
        <v>99.39504457562816</v>
      </c>
      <c r="G348" s="82"/>
    </row>
    <row r="349" spans="1:7" s="323" customFormat="1" ht="18.75" customHeight="1">
      <c r="A349" s="375"/>
      <c r="B349" s="322"/>
      <c r="C349" s="161" t="s">
        <v>288</v>
      </c>
      <c r="D349" s="845">
        <v>624429</v>
      </c>
      <c r="E349" s="845">
        <v>604252.28</v>
      </c>
      <c r="F349" s="917">
        <f t="shared" si="16"/>
        <v>96.76877275078513</v>
      </c>
      <c r="G349" s="991"/>
    </row>
    <row r="350" spans="1:7" s="78" customFormat="1" ht="12" customHeight="1">
      <c r="A350" s="374"/>
      <c r="B350" s="326"/>
      <c r="C350" s="327" t="s">
        <v>305</v>
      </c>
      <c r="D350" s="759"/>
      <c r="E350" s="918"/>
      <c r="F350" s="919"/>
      <c r="G350" s="82"/>
    </row>
    <row r="351" spans="1:7" s="337" customFormat="1" ht="18.75" customHeight="1">
      <c r="A351" s="361"/>
      <c r="B351" s="330"/>
      <c r="C351" s="331" t="s">
        <v>307</v>
      </c>
      <c r="D351" s="920">
        <f>SUM(D352)</f>
        <v>1093</v>
      </c>
      <c r="E351" s="920">
        <f>SUM(E352)</f>
        <v>1093</v>
      </c>
      <c r="F351" s="921">
        <f>E351/D351*100</f>
        <v>100</v>
      </c>
      <c r="G351" s="991"/>
    </row>
    <row r="352" spans="1:7" s="323" customFormat="1" ht="18.75" customHeight="1">
      <c r="A352" s="374"/>
      <c r="B352" s="326"/>
      <c r="C352" s="333" t="s">
        <v>280</v>
      </c>
      <c r="D352" s="918">
        <v>1093</v>
      </c>
      <c r="E352" s="918">
        <v>1093</v>
      </c>
      <c r="F352" s="922">
        <f>E352/D352*100</f>
        <v>100</v>
      </c>
      <c r="G352" s="991"/>
    </row>
    <row r="353" spans="1:7" s="323" customFormat="1" ht="18.75" customHeight="1">
      <c r="A353" s="375"/>
      <c r="B353" s="322"/>
      <c r="C353" s="161" t="s">
        <v>309</v>
      </c>
      <c r="D353" s="845">
        <v>2713045</v>
      </c>
      <c r="E353" s="845">
        <v>2713031.49</v>
      </c>
      <c r="F353" s="917">
        <f aca="true" t="shared" si="17" ref="F353:F395">E353/D353*100</f>
        <v>99.99950203553573</v>
      </c>
      <c r="G353" s="991"/>
    </row>
    <row r="354" spans="1:8" s="328" customFormat="1" ht="31.5" customHeight="1">
      <c r="A354" s="377" t="s">
        <v>1008</v>
      </c>
      <c r="B354" s="318"/>
      <c r="C354" s="335" t="s">
        <v>436</v>
      </c>
      <c r="D354" s="914">
        <f>SUM(D355,D362,D366,D373,D378)</f>
        <v>4456981</v>
      </c>
      <c r="E354" s="914">
        <f>SUM(E355,E362,E366,E373,E378)</f>
        <v>3818197.1</v>
      </c>
      <c r="F354" s="915">
        <f t="shared" si="17"/>
        <v>85.66778947453444</v>
      </c>
      <c r="G354" s="991"/>
      <c r="H354" s="323"/>
    </row>
    <row r="355" spans="1:7" s="78" customFormat="1" ht="18.75" customHeight="1">
      <c r="A355" s="376"/>
      <c r="B355" s="320" t="s">
        <v>437</v>
      </c>
      <c r="C355" s="324" t="s">
        <v>438</v>
      </c>
      <c r="D355" s="844">
        <f>D356+D359</f>
        <v>1897878</v>
      </c>
      <c r="E355" s="844">
        <f>E356+E359</f>
        <v>1321116.6400000001</v>
      </c>
      <c r="F355" s="916">
        <f t="shared" si="17"/>
        <v>69.61019833730093</v>
      </c>
      <c r="G355" s="82"/>
    </row>
    <row r="356" spans="1:7" s="323" customFormat="1" ht="18.75" customHeight="1">
      <c r="A356" s="375"/>
      <c r="B356" s="322"/>
      <c r="C356" s="161" t="s">
        <v>288</v>
      </c>
      <c r="D356" s="845">
        <v>1297878</v>
      </c>
      <c r="E356" s="845">
        <v>1294877.84</v>
      </c>
      <c r="F356" s="917">
        <f t="shared" si="17"/>
        <v>99.76884113915176</v>
      </c>
      <c r="G356" s="991"/>
    </row>
    <row r="357" spans="1:7" s="323" customFormat="1" ht="12" customHeight="1">
      <c r="A357" s="375"/>
      <c r="B357" s="322"/>
      <c r="C357" s="327" t="s">
        <v>305</v>
      </c>
      <c r="D357" s="845"/>
      <c r="E357" s="751"/>
      <c r="F357" s="760"/>
      <c r="G357" s="991"/>
    </row>
    <row r="358" spans="1:7" s="337" customFormat="1" ht="18.75" customHeight="1">
      <c r="A358" s="361"/>
      <c r="B358" s="330"/>
      <c r="C358" s="331" t="s">
        <v>308</v>
      </c>
      <c r="D358" s="920">
        <v>1290742</v>
      </c>
      <c r="E358" s="920">
        <v>1287742</v>
      </c>
      <c r="F358" s="921">
        <f t="shared" si="17"/>
        <v>99.76757554956761</v>
      </c>
      <c r="G358" s="991"/>
    </row>
    <row r="359" spans="1:7" s="323" customFormat="1" ht="18.75" customHeight="1">
      <c r="A359" s="375"/>
      <c r="B359" s="322"/>
      <c r="C359" s="161" t="s">
        <v>309</v>
      </c>
      <c r="D359" s="845">
        <v>600000</v>
      </c>
      <c r="E359" s="845">
        <v>26238.8</v>
      </c>
      <c r="F359" s="917">
        <f>E359/D359*100</f>
        <v>4.373133333333333</v>
      </c>
      <c r="G359" s="991"/>
    </row>
    <row r="360" spans="1:8" s="328" customFormat="1" ht="12" customHeight="1">
      <c r="A360" s="375"/>
      <c r="B360" s="322"/>
      <c r="C360" s="327" t="s">
        <v>305</v>
      </c>
      <c r="D360" s="845"/>
      <c r="E360" s="845"/>
      <c r="F360" s="917"/>
      <c r="G360" s="991"/>
      <c r="H360" s="323"/>
    </row>
    <row r="361" spans="1:7" s="81" customFormat="1" ht="18.75" customHeight="1">
      <c r="A361" s="378"/>
      <c r="B361" s="341"/>
      <c r="C361" s="331" t="s">
        <v>308</v>
      </c>
      <c r="D361" s="920">
        <v>600000</v>
      </c>
      <c r="E361" s="920">
        <v>26238.8</v>
      </c>
      <c r="F361" s="921">
        <f>E361/D361*100</f>
        <v>4.373133333333333</v>
      </c>
      <c r="G361" s="82"/>
    </row>
    <row r="362" spans="1:7" s="323" customFormat="1" ht="18.75" customHeight="1">
      <c r="A362" s="376"/>
      <c r="B362" s="320" t="s">
        <v>439</v>
      </c>
      <c r="C362" s="172" t="s">
        <v>440</v>
      </c>
      <c r="D362" s="844">
        <f>SUM(D363)</f>
        <v>1075000</v>
      </c>
      <c r="E362" s="844">
        <f>SUM(E363)</f>
        <v>1075000</v>
      </c>
      <c r="F362" s="916">
        <f t="shared" si="17"/>
        <v>100</v>
      </c>
      <c r="G362" s="991"/>
    </row>
    <row r="363" spans="1:7" s="323" customFormat="1" ht="18.75" customHeight="1">
      <c r="A363" s="375"/>
      <c r="B363" s="322"/>
      <c r="C363" s="161" t="s">
        <v>288</v>
      </c>
      <c r="D363" s="845">
        <v>1075000</v>
      </c>
      <c r="E363" s="845">
        <v>1075000</v>
      </c>
      <c r="F363" s="917">
        <f t="shared" si="17"/>
        <v>100</v>
      </c>
      <c r="G363" s="991"/>
    </row>
    <row r="364" spans="1:8" s="328" customFormat="1" ht="12" customHeight="1">
      <c r="A364" s="374"/>
      <c r="B364" s="326"/>
      <c r="C364" s="327" t="s">
        <v>305</v>
      </c>
      <c r="D364" s="918"/>
      <c r="E364" s="918"/>
      <c r="F364" s="919"/>
      <c r="G364" s="991"/>
      <c r="H364" s="323"/>
    </row>
    <row r="365" spans="1:7" s="337" customFormat="1" ht="18.75" customHeight="1">
      <c r="A365" s="361"/>
      <c r="B365" s="330"/>
      <c r="C365" s="331" t="s">
        <v>308</v>
      </c>
      <c r="D365" s="920">
        <v>1075000</v>
      </c>
      <c r="E365" s="920">
        <v>1075000</v>
      </c>
      <c r="F365" s="921">
        <f t="shared" si="17"/>
        <v>100</v>
      </c>
      <c r="G365" s="991"/>
    </row>
    <row r="366" spans="1:7" s="323" customFormat="1" ht="18.75" customHeight="1">
      <c r="A366" s="376"/>
      <c r="B366" s="320" t="s">
        <v>441</v>
      </c>
      <c r="C366" s="172" t="s">
        <v>442</v>
      </c>
      <c r="D366" s="844">
        <f>SUM(D367,D370)</f>
        <v>406000</v>
      </c>
      <c r="E366" s="844">
        <f>SUM(E367,E370)</f>
        <v>406000</v>
      </c>
      <c r="F366" s="916">
        <f t="shared" si="17"/>
        <v>100</v>
      </c>
      <c r="G366" s="991"/>
    </row>
    <row r="367" spans="1:8" s="328" customFormat="1" ht="17.25" customHeight="1">
      <c r="A367" s="375"/>
      <c r="B367" s="322"/>
      <c r="C367" s="161" t="s">
        <v>288</v>
      </c>
      <c r="D367" s="845">
        <v>381000</v>
      </c>
      <c r="E367" s="845">
        <v>381000</v>
      </c>
      <c r="F367" s="917">
        <f t="shared" si="17"/>
        <v>100</v>
      </c>
      <c r="G367" s="991"/>
      <c r="H367" s="323"/>
    </row>
    <row r="368" spans="1:8" s="328" customFormat="1" ht="12" customHeight="1">
      <c r="A368" s="374"/>
      <c r="B368" s="326"/>
      <c r="C368" s="327" t="s">
        <v>305</v>
      </c>
      <c r="D368" s="918"/>
      <c r="E368" s="918"/>
      <c r="F368" s="919"/>
      <c r="G368" s="991"/>
      <c r="H368" s="323"/>
    </row>
    <row r="369" spans="1:8" s="332" customFormat="1" ht="18.75" customHeight="1">
      <c r="A369" s="361"/>
      <c r="B369" s="330"/>
      <c r="C369" s="331" t="s">
        <v>308</v>
      </c>
      <c r="D369" s="920">
        <v>381000</v>
      </c>
      <c r="E369" s="920">
        <v>381000</v>
      </c>
      <c r="F369" s="921">
        <f t="shared" si="17"/>
        <v>100</v>
      </c>
      <c r="G369" s="991"/>
      <c r="H369" s="337"/>
    </row>
    <row r="370" spans="1:7" s="323" customFormat="1" ht="18.75" customHeight="1">
      <c r="A370" s="375"/>
      <c r="B370" s="322"/>
      <c r="C370" s="161" t="s">
        <v>309</v>
      </c>
      <c r="D370" s="845">
        <v>25000</v>
      </c>
      <c r="E370" s="845">
        <v>25000</v>
      </c>
      <c r="F370" s="917">
        <f>E370/D370*100</f>
        <v>100</v>
      </c>
      <c r="G370" s="991"/>
    </row>
    <row r="371" spans="1:8" s="328" customFormat="1" ht="12" customHeight="1">
      <c r="A371" s="375"/>
      <c r="B371" s="322"/>
      <c r="C371" s="327" t="s">
        <v>305</v>
      </c>
      <c r="D371" s="845"/>
      <c r="E371" s="845"/>
      <c r="F371" s="917"/>
      <c r="G371" s="991"/>
      <c r="H371" s="323"/>
    </row>
    <row r="372" spans="1:7" s="81" customFormat="1" ht="18.75" customHeight="1">
      <c r="A372" s="378"/>
      <c r="B372" s="341"/>
      <c r="C372" s="331" t="s">
        <v>308</v>
      </c>
      <c r="D372" s="920">
        <v>25000</v>
      </c>
      <c r="E372" s="920">
        <v>25000</v>
      </c>
      <c r="F372" s="921">
        <f>E372/D372*100</f>
        <v>100</v>
      </c>
      <c r="G372" s="82"/>
    </row>
    <row r="373" spans="1:7" s="78" customFormat="1" ht="18.75" customHeight="1">
      <c r="A373" s="376"/>
      <c r="B373" s="320" t="s">
        <v>48</v>
      </c>
      <c r="C373" s="324" t="s">
        <v>49</v>
      </c>
      <c r="D373" s="844">
        <f>SUM(D374,D377)</f>
        <v>327500</v>
      </c>
      <c r="E373" s="844">
        <f>SUM(E374,E377)</f>
        <v>287387.08999999997</v>
      </c>
      <c r="F373" s="917">
        <f t="shared" si="17"/>
        <v>87.75178320610686</v>
      </c>
      <c r="G373" s="82"/>
    </row>
    <row r="374" spans="1:7" s="78" customFormat="1" ht="18.75" customHeight="1">
      <c r="A374" s="376"/>
      <c r="B374" s="320"/>
      <c r="C374" s="930" t="s">
        <v>288</v>
      </c>
      <c r="D374" s="1296">
        <v>117500</v>
      </c>
      <c r="E374" s="931">
        <v>79987.09</v>
      </c>
      <c r="F374" s="932">
        <f>E374/D374*100</f>
        <v>68.07411914893616</v>
      </c>
      <c r="G374" s="82"/>
    </row>
    <row r="375" spans="1:7" s="78" customFormat="1" ht="18.75" customHeight="1">
      <c r="A375" s="376"/>
      <c r="B375" s="320"/>
      <c r="C375" s="935" t="s">
        <v>305</v>
      </c>
      <c r="D375" s="1297"/>
      <c r="E375" s="936"/>
      <c r="F375" s="937"/>
      <c r="G375" s="82"/>
    </row>
    <row r="376" spans="1:7" s="78" customFormat="1" ht="18.75" customHeight="1">
      <c r="A376" s="376"/>
      <c r="B376" s="320"/>
      <c r="C376" s="941" t="s">
        <v>308</v>
      </c>
      <c r="D376" s="1298">
        <v>117500</v>
      </c>
      <c r="E376" s="942">
        <v>79987.09</v>
      </c>
      <c r="F376" s="943">
        <f>E376/D376*100</f>
        <v>68.07411914893616</v>
      </c>
      <c r="G376" s="82"/>
    </row>
    <row r="377" spans="1:7" s="81" customFormat="1" ht="18.75" customHeight="1">
      <c r="A377" s="378"/>
      <c r="B377" s="341"/>
      <c r="C377" s="161" t="s">
        <v>309</v>
      </c>
      <c r="D377" s="845">
        <v>210000</v>
      </c>
      <c r="E377" s="845">
        <v>207400</v>
      </c>
      <c r="F377" s="917">
        <f t="shared" si="17"/>
        <v>98.76190476190476</v>
      </c>
      <c r="G377" s="82"/>
    </row>
    <row r="378" spans="1:8" s="328" customFormat="1" ht="18.75" customHeight="1">
      <c r="A378" s="376"/>
      <c r="B378" s="320" t="s">
        <v>443</v>
      </c>
      <c r="C378" s="172" t="s">
        <v>840</v>
      </c>
      <c r="D378" s="844">
        <f>SUM(D379,D384)</f>
        <v>750603</v>
      </c>
      <c r="E378" s="844">
        <f>SUM(E379,E384)</f>
        <v>728693.37</v>
      </c>
      <c r="F378" s="916">
        <f t="shared" si="17"/>
        <v>97.0810628254883</v>
      </c>
      <c r="G378" s="991"/>
      <c r="H378" s="323"/>
    </row>
    <row r="379" spans="1:8" s="328" customFormat="1" ht="17.25" customHeight="1">
      <c r="A379" s="375"/>
      <c r="B379" s="322"/>
      <c r="C379" s="161" t="s">
        <v>288</v>
      </c>
      <c r="D379" s="845">
        <v>750603</v>
      </c>
      <c r="E379" s="845">
        <v>728693.37</v>
      </c>
      <c r="F379" s="917">
        <f t="shared" si="17"/>
        <v>97.0810628254883</v>
      </c>
      <c r="G379" s="991"/>
      <c r="H379" s="323"/>
    </row>
    <row r="380" spans="1:7" s="78" customFormat="1" ht="12" customHeight="1">
      <c r="A380" s="374"/>
      <c r="B380" s="326"/>
      <c r="C380" s="327" t="s">
        <v>305</v>
      </c>
      <c r="D380" s="918"/>
      <c r="E380" s="918"/>
      <c r="F380" s="919"/>
      <c r="G380" s="82"/>
    </row>
    <row r="381" spans="1:7" s="337" customFormat="1" ht="18.75" customHeight="1">
      <c r="A381" s="361"/>
      <c r="B381" s="330"/>
      <c r="C381" s="331" t="s">
        <v>307</v>
      </c>
      <c r="D381" s="920">
        <f>SUM(D382)</f>
        <v>5000</v>
      </c>
      <c r="E381" s="920">
        <f>SUM(E382)</f>
        <v>5000</v>
      </c>
      <c r="F381" s="921">
        <f>E381/D381*100</f>
        <v>100</v>
      </c>
      <c r="G381" s="991"/>
    </row>
    <row r="382" spans="1:7" s="323" customFormat="1" ht="18.75" customHeight="1">
      <c r="A382" s="325"/>
      <c r="B382" s="326"/>
      <c r="C382" s="333" t="s">
        <v>280</v>
      </c>
      <c r="D382" s="918">
        <v>5000</v>
      </c>
      <c r="E382" s="918">
        <v>5000</v>
      </c>
      <c r="F382" s="922">
        <f>E382/D382*100</f>
        <v>100</v>
      </c>
      <c r="G382" s="991"/>
    </row>
    <row r="383" spans="1:7" s="337" customFormat="1" ht="18.75" customHeight="1">
      <c r="A383" s="329"/>
      <c r="B383" s="330"/>
      <c r="C383" s="331" t="s">
        <v>308</v>
      </c>
      <c r="D383" s="920">
        <v>56783</v>
      </c>
      <c r="E383" s="920">
        <v>54079.13</v>
      </c>
      <c r="F383" s="921">
        <f t="shared" si="17"/>
        <v>95.23824031840516</v>
      </c>
      <c r="G383" s="991"/>
    </row>
    <row r="384" spans="1:7" s="323" customFormat="1" ht="17.25" customHeight="1" hidden="1">
      <c r="A384" s="325"/>
      <c r="B384" s="326"/>
      <c r="C384" s="161" t="s">
        <v>309</v>
      </c>
      <c r="D384" s="751"/>
      <c r="E384" s="751"/>
      <c r="F384" s="758" t="e">
        <f>E384/D384*100</f>
        <v>#DIV/0!</v>
      </c>
      <c r="G384" s="991"/>
    </row>
    <row r="385" spans="1:7" s="323" customFormat="1" ht="10.5" customHeight="1" hidden="1">
      <c r="A385" s="325"/>
      <c r="B385" s="326"/>
      <c r="C385" s="327" t="s">
        <v>305</v>
      </c>
      <c r="D385" s="759"/>
      <c r="E385" s="759"/>
      <c r="F385" s="760"/>
      <c r="G385" s="991"/>
    </row>
    <row r="386" spans="1:7" s="337" customFormat="1" ht="18.75" customHeight="1" hidden="1">
      <c r="A386" s="329"/>
      <c r="B386" s="330"/>
      <c r="C386" s="331" t="s">
        <v>308</v>
      </c>
      <c r="D386" s="761"/>
      <c r="E386" s="761"/>
      <c r="F386" s="762" t="e">
        <f>E386/D386*100</f>
        <v>#DIV/0!</v>
      </c>
      <c r="G386" s="991"/>
    </row>
    <row r="387" spans="1:8" s="328" customFormat="1" ht="18.75" customHeight="1">
      <c r="A387" s="317" t="s">
        <v>1009</v>
      </c>
      <c r="B387" s="318"/>
      <c r="C387" s="173" t="s">
        <v>1010</v>
      </c>
      <c r="D387" s="914">
        <f>SUM(D388,D390,D399)</f>
        <v>14826576</v>
      </c>
      <c r="E387" s="914">
        <f>SUM(E388,E390,E399)</f>
        <v>14198707.719999999</v>
      </c>
      <c r="F387" s="915">
        <f t="shared" si="17"/>
        <v>95.76525099254202</v>
      </c>
      <c r="G387" s="991"/>
      <c r="H387" s="323"/>
    </row>
    <row r="388" spans="1:8" s="328" customFormat="1" ht="18.75" customHeight="1">
      <c r="A388" s="319"/>
      <c r="B388" s="320" t="s">
        <v>1014</v>
      </c>
      <c r="C388" s="172" t="s">
        <v>1015</v>
      </c>
      <c r="D388" s="844">
        <f>D389</f>
        <v>11761000</v>
      </c>
      <c r="E388" s="844">
        <f>E389</f>
        <v>11190761.27</v>
      </c>
      <c r="F388" s="916">
        <f t="shared" si="17"/>
        <v>95.15144349970241</v>
      </c>
      <c r="G388" s="991"/>
      <c r="H388" s="323"/>
    </row>
    <row r="389" spans="1:7" s="78" customFormat="1" ht="18.75" customHeight="1">
      <c r="A389" s="321"/>
      <c r="B389" s="322"/>
      <c r="C389" s="161" t="s">
        <v>309</v>
      </c>
      <c r="D389" s="845">
        <v>11761000</v>
      </c>
      <c r="E389" s="845">
        <v>11190761.27</v>
      </c>
      <c r="F389" s="917">
        <f t="shared" si="17"/>
        <v>95.15144349970241</v>
      </c>
      <c r="G389" s="82"/>
    </row>
    <row r="390" spans="1:8" s="328" customFormat="1" ht="18.75" customHeight="1">
      <c r="A390" s="319"/>
      <c r="B390" s="320" t="s">
        <v>1016</v>
      </c>
      <c r="C390" s="324" t="s">
        <v>1017</v>
      </c>
      <c r="D390" s="844">
        <f>SUM(D391,D396)</f>
        <v>3055176</v>
      </c>
      <c r="E390" s="844">
        <f>SUM(E391,E396)</f>
        <v>2997546.45</v>
      </c>
      <c r="F390" s="916">
        <f t="shared" si="17"/>
        <v>98.11370768819866</v>
      </c>
      <c r="G390" s="991"/>
      <c r="H390" s="323"/>
    </row>
    <row r="391" spans="1:8" s="328" customFormat="1" ht="18.75" customHeight="1">
      <c r="A391" s="321"/>
      <c r="B391" s="322"/>
      <c r="C391" s="161" t="s">
        <v>288</v>
      </c>
      <c r="D391" s="845">
        <v>2260420</v>
      </c>
      <c r="E391" s="845">
        <v>2202790.45</v>
      </c>
      <c r="F391" s="917">
        <f t="shared" si="17"/>
        <v>97.45049371355766</v>
      </c>
      <c r="G391" s="991"/>
      <c r="H391" s="323"/>
    </row>
    <row r="392" spans="1:8" s="328" customFormat="1" ht="12" customHeight="1">
      <c r="A392" s="325"/>
      <c r="B392" s="326"/>
      <c r="C392" s="327" t="s">
        <v>305</v>
      </c>
      <c r="D392" s="918"/>
      <c r="E392" s="759"/>
      <c r="F392" s="760"/>
      <c r="G392" s="991"/>
      <c r="H392" s="323"/>
    </row>
    <row r="393" spans="1:7" s="81" customFormat="1" ht="18.75" customHeight="1" hidden="1">
      <c r="A393" s="329"/>
      <c r="B393" s="330"/>
      <c r="C393" s="331" t="s">
        <v>139</v>
      </c>
      <c r="D393" s="920">
        <f>SUM(D394)</f>
        <v>0</v>
      </c>
      <c r="E393" s="920">
        <f>SUM(E394)</f>
        <v>0</v>
      </c>
      <c r="F393" s="921" t="e">
        <f t="shared" si="17"/>
        <v>#DIV/0!</v>
      </c>
      <c r="G393" s="82"/>
    </row>
    <row r="394" spans="1:7" s="81" customFormat="1" ht="18.75" customHeight="1" hidden="1">
      <c r="A394" s="325"/>
      <c r="B394" s="326"/>
      <c r="C394" s="333" t="s">
        <v>140</v>
      </c>
      <c r="D394" s="918"/>
      <c r="E394" s="918"/>
      <c r="F394" s="922" t="e">
        <f t="shared" si="17"/>
        <v>#DIV/0!</v>
      </c>
      <c r="G394" s="82"/>
    </row>
    <row r="395" spans="1:7" s="81" customFormat="1" ht="18.75" customHeight="1">
      <c r="A395" s="329"/>
      <c r="B395" s="330"/>
      <c r="C395" s="331" t="s">
        <v>308</v>
      </c>
      <c r="D395" s="920">
        <v>1411320</v>
      </c>
      <c r="E395" s="920">
        <v>1411120</v>
      </c>
      <c r="F395" s="921">
        <f t="shared" si="17"/>
        <v>99.98582886942721</v>
      </c>
      <c r="G395" s="82"/>
    </row>
    <row r="396" spans="1:7" s="78" customFormat="1" ht="18.75" customHeight="1">
      <c r="A396" s="325"/>
      <c r="B396" s="326"/>
      <c r="C396" s="161" t="s">
        <v>309</v>
      </c>
      <c r="D396" s="845">
        <v>794756</v>
      </c>
      <c r="E396" s="845">
        <v>794756</v>
      </c>
      <c r="F396" s="917">
        <f>E396/D396*100</f>
        <v>100</v>
      </c>
      <c r="G396" s="82"/>
    </row>
    <row r="397" spans="1:7" s="78" customFormat="1" ht="13.5" customHeight="1">
      <c r="A397" s="325"/>
      <c r="B397" s="326"/>
      <c r="C397" s="327" t="s">
        <v>305</v>
      </c>
      <c r="D397" s="845"/>
      <c r="E397" s="845"/>
      <c r="F397" s="917"/>
      <c r="G397" s="82"/>
    </row>
    <row r="398" spans="1:7" s="81" customFormat="1" ht="18.75" customHeight="1">
      <c r="A398" s="361"/>
      <c r="B398" s="362"/>
      <c r="C398" s="331" t="s">
        <v>308</v>
      </c>
      <c r="D398" s="920">
        <v>794756</v>
      </c>
      <c r="E398" s="920">
        <v>794756</v>
      </c>
      <c r="F398" s="921">
        <f>E398/D398*100</f>
        <v>100</v>
      </c>
      <c r="G398" s="82"/>
    </row>
    <row r="399" spans="1:8" s="938" customFormat="1" ht="18.75" customHeight="1">
      <c r="A399" s="970"/>
      <c r="B399" s="924" t="s">
        <v>423</v>
      </c>
      <c r="C399" s="971" t="s">
        <v>840</v>
      </c>
      <c r="D399" s="925">
        <f>SUM(D400)</f>
        <v>10400</v>
      </c>
      <c r="E399" s="925">
        <f>SUM(E400)</f>
        <v>10400</v>
      </c>
      <c r="F399" s="926">
        <f>E399/D399*100</f>
        <v>100</v>
      </c>
      <c r="G399" s="991"/>
      <c r="H399" s="927"/>
    </row>
    <row r="400" spans="1:8" s="938" customFormat="1" ht="18.75" customHeight="1">
      <c r="A400" s="928"/>
      <c r="B400" s="929"/>
      <c r="C400" s="930" t="s">
        <v>288</v>
      </c>
      <c r="D400" s="931">
        <v>10400</v>
      </c>
      <c r="E400" s="931">
        <v>10400</v>
      </c>
      <c r="F400" s="932">
        <f>E400/D400*100</f>
        <v>100</v>
      </c>
      <c r="G400" s="991"/>
      <c r="H400" s="927"/>
    </row>
    <row r="401" spans="1:7" s="81" customFormat="1" ht="18.75" customHeight="1">
      <c r="A401" s="1475" t="s">
        <v>873</v>
      </c>
      <c r="B401" s="1476"/>
      <c r="C401" s="1477"/>
      <c r="D401" s="972">
        <f>SUM(D402,D405,D415,D419,D434,D453,D470,D525,D544,D573,D594,D646)</f>
        <v>77638035</v>
      </c>
      <c r="E401" s="972">
        <f>SUM(E402,E405,E415,E419,E434,E453,E470,E525,E544,E573,E594,E646)</f>
        <v>75489908.41</v>
      </c>
      <c r="F401" s="990">
        <f aca="true" t="shared" si="18" ref="F401:F409">E401/D401*100</f>
        <v>97.23315177927931</v>
      </c>
      <c r="G401" s="82"/>
    </row>
    <row r="402" spans="1:7" s="78" customFormat="1" ht="18.75" customHeight="1" hidden="1">
      <c r="A402" s="317" t="s">
        <v>839</v>
      </c>
      <c r="B402" s="318"/>
      <c r="C402" s="335" t="s">
        <v>285</v>
      </c>
      <c r="D402" s="752">
        <f>SUM(D403)</f>
        <v>0</v>
      </c>
      <c r="E402" s="914">
        <f>SUM(E403)</f>
        <v>0</v>
      </c>
      <c r="F402" s="915" t="e">
        <f t="shared" si="18"/>
        <v>#DIV/0!</v>
      </c>
      <c r="G402" s="82"/>
    </row>
    <row r="403" spans="1:7" s="78" customFormat="1" ht="27.75" customHeight="1" hidden="1">
      <c r="A403" s="319"/>
      <c r="B403" s="320" t="s">
        <v>1324</v>
      </c>
      <c r="C403" s="324" t="s">
        <v>1326</v>
      </c>
      <c r="D403" s="750">
        <f>D404</f>
        <v>0</v>
      </c>
      <c r="E403" s="844">
        <f>E404</f>
        <v>0</v>
      </c>
      <c r="F403" s="916" t="e">
        <f t="shared" si="18"/>
        <v>#DIV/0!</v>
      </c>
      <c r="G403" s="82"/>
    </row>
    <row r="404" spans="1:7" s="78" customFormat="1" ht="18.75" customHeight="1" hidden="1">
      <c r="A404" s="321"/>
      <c r="B404" s="322"/>
      <c r="C404" s="161" t="s">
        <v>288</v>
      </c>
      <c r="D404" s="751"/>
      <c r="E404" s="845"/>
      <c r="F404" s="917" t="e">
        <f t="shared" si="18"/>
        <v>#DIV/0!</v>
      </c>
      <c r="G404" s="82"/>
    </row>
    <row r="405" spans="1:7" s="81" customFormat="1" ht="18.75" customHeight="1">
      <c r="A405" s="317" t="s">
        <v>844</v>
      </c>
      <c r="B405" s="318"/>
      <c r="C405" s="173" t="s">
        <v>845</v>
      </c>
      <c r="D405" s="914">
        <f>SUM(D406,D408)</f>
        <v>37731133</v>
      </c>
      <c r="E405" s="914">
        <f>SUM(E406,E408)</f>
        <v>36027156.400000006</v>
      </c>
      <c r="F405" s="915">
        <f t="shared" si="18"/>
        <v>95.4838976078455</v>
      </c>
      <c r="G405" s="82"/>
    </row>
    <row r="406" spans="1:7" s="78" customFormat="1" ht="18.75" customHeight="1">
      <c r="A406" s="319"/>
      <c r="B406" s="320" t="s">
        <v>875</v>
      </c>
      <c r="C406" s="172" t="s">
        <v>982</v>
      </c>
      <c r="D406" s="844">
        <f>SUM(D407)</f>
        <v>700000</v>
      </c>
      <c r="E406" s="844">
        <f>SUM(E407)</f>
        <v>677414.84</v>
      </c>
      <c r="F406" s="916">
        <f t="shared" si="18"/>
        <v>96.77354857142856</v>
      </c>
      <c r="G406" s="82"/>
    </row>
    <row r="407" spans="1:7" s="323" customFormat="1" ht="18.75" customHeight="1">
      <c r="A407" s="321"/>
      <c r="B407" s="322"/>
      <c r="C407" s="161" t="s">
        <v>309</v>
      </c>
      <c r="D407" s="845">
        <v>700000</v>
      </c>
      <c r="E407" s="845">
        <v>677414.84</v>
      </c>
      <c r="F407" s="917">
        <f t="shared" si="18"/>
        <v>96.77354857142856</v>
      </c>
      <c r="G407" s="991"/>
    </row>
    <row r="408" spans="1:7" s="78" customFormat="1" ht="30" customHeight="1">
      <c r="A408" s="319"/>
      <c r="B408" s="320" t="s">
        <v>846</v>
      </c>
      <c r="C408" s="324" t="s">
        <v>0</v>
      </c>
      <c r="D408" s="844">
        <f>D409+D414</f>
        <v>37031133</v>
      </c>
      <c r="E408" s="844">
        <f>E409+E414</f>
        <v>35349741.56</v>
      </c>
      <c r="F408" s="916">
        <f t="shared" si="18"/>
        <v>95.45951931851505</v>
      </c>
      <c r="G408" s="82"/>
    </row>
    <row r="409" spans="1:7" s="323" customFormat="1" ht="16.5" customHeight="1">
      <c r="A409" s="321"/>
      <c r="B409" s="322"/>
      <c r="C409" s="161" t="s">
        <v>288</v>
      </c>
      <c r="D409" s="845">
        <v>27076883</v>
      </c>
      <c r="E409" s="845">
        <v>27055981.7</v>
      </c>
      <c r="F409" s="917">
        <f t="shared" si="18"/>
        <v>99.92280758461008</v>
      </c>
      <c r="G409" s="991"/>
    </row>
    <row r="410" spans="1:8" s="328" customFormat="1" ht="11.25" customHeight="1">
      <c r="A410" s="325"/>
      <c r="B410" s="326"/>
      <c r="C410" s="327" t="s">
        <v>305</v>
      </c>
      <c r="D410" s="759"/>
      <c r="E410" s="759"/>
      <c r="F410" s="760"/>
      <c r="G410" s="991"/>
      <c r="H410" s="323"/>
    </row>
    <row r="411" spans="1:8" s="332" customFormat="1" ht="18.75" customHeight="1">
      <c r="A411" s="329"/>
      <c r="B411" s="330"/>
      <c r="C411" s="331" t="s">
        <v>307</v>
      </c>
      <c r="D411" s="920">
        <f>SUM(D412,D413)</f>
        <v>10808439</v>
      </c>
      <c r="E411" s="920">
        <f>SUM(E412,E413)</f>
        <v>10799165.940000001</v>
      </c>
      <c r="F411" s="921">
        <f aca="true" t="shared" si="19" ref="F411:F436">E411/D411*100</f>
        <v>99.91420537230215</v>
      </c>
      <c r="G411" s="991"/>
      <c r="H411" s="337"/>
    </row>
    <row r="412" spans="1:8" s="328" customFormat="1" ht="15.75" customHeight="1">
      <c r="A412" s="325"/>
      <c r="B412" s="326"/>
      <c r="C412" s="333" t="s">
        <v>280</v>
      </c>
      <c r="D412" s="918">
        <v>9201636</v>
      </c>
      <c r="E412" s="918">
        <v>9195466.55</v>
      </c>
      <c r="F412" s="922">
        <f t="shared" si="19"/>
        <v>99.93295268363148</v>
      </c>
      <c r="G412" s="991"/>
      <c r="H412" s="323"/>
    </row>
    <row r="413" spans="1:8" s="328" customFormat="1" ht="15.75" customHeight="1">
      <c r="A413" s="325"/>
      <c r="B413" s="326"/>
      <c r="C413" s="333" t="s">
        <v>281</v>
      </c>
      <c r="D413" s="918">
        <v>1606803</v>
      </c>
      <c r="E413" s="918">
        <v>1603699.39</v>
      </c>
      <c r="F413" s="922">
        <f t="shared" si="19"/>
        <v>99.80684564318089</v>
      </c>
      <c r="G413" s="991"/>
      <c r="H413" s="323"/>
    </row>
    <row r="414" spans="1:7" s="323" customFormat="1" ht="18.75" customHeight="1">
      <c r="A414" s="321"/>
      <c r="B414" s="322"/>
      <c r="C414" s="161" t="s">
        <v>309</v>
      </c>
      <c r="D414" s="845">
        <v>9954250</v>
      </c>
      <c r="E414" s="845">
        <v>8293759.86</v>
      </c>
      <c r="F414" s="917">
        <f t="shared" si="19"/>
        <v>83.31878202777709</v>
      </c>
      <c r="G414" s="991"/>
    </row>
    <row r="415" spans="1:7" s="81" customFormat="1" ht="18" customHeight="1">
      <c r="A415" s="317" t="s">
        <v>851</v>
      </c>
      <c r="B415" s="318"/>
      <c r="C415" s="173" t="s">
        <v>852</v>
      </c>
      <c r="D415" s="914">
        <f>SUM(D416)</f>
        <v>145000</v>
      </c>
      <c r="E415" s="914">
        <f>SUM(E416)</f>
        <v>113514.66</v>
      </c>
      <c r="F415" s="915">
        <f t="shared" si="19"/>
        <v>78.2859724137931</v>
      </c>
      <c r="G415" s="82"/>
    </row>
    <row r="416" spans="1:7" s="78" customFormat="1" ht="17.25" customHeight="1">
      <c r="A416" s="319"/>
      <c r="B416" s="320" t="s">
        <v>853</v>
      </c>
      <c r="C416" s="324" t="s">
        <v>854</v>
      </c>
      <c r="D416" s="844">
        <f>SUM(D417,D418)</f>
        <v>145000</v>
      </c>
      <c r="E416" s="844">
        <f>SUM(E417,E418)</f>
        <v>113514.66</v>
      </c>
      <c r="F416" s="916">
        <f t="shared" si="19"/>
        <v>78.2859724137931</v>
      </c>
      <c r="G416" s="82"/>
    </row>
    <row r="417" spans="1:7" s="323" customFormat="1" ht="18.75" customHeight="1">
      <c r="A417" s="321"/>
      <c r="B417" s="322"/>
      <c r="C417" s="161" t="s">
        <v>288</v>
      </c>
      <c r="D417" s="845">
        <v>141735</v>
      </c>
      <c r="E417" s="845">
        <v>110249.66</v>
      </c>
      <c r="F417" s="917">
        <f t="shared" si="19"/>
        <v>77.78576921720112</v>
      </c>
      <c r="G417" s="991"/>
    </row>
    <row r="418" spans="1:7" s="323" customFormat="1" ht="18.75" customHeight="1">
      <c r="A418" s="321"/>
      <c r="B418" s="322"/>
      <c r="C418" s="161" t="s">
        <v>309</v>
      </c>
      <c r="D418" s="845">
        <v>3265</v>
      </c>
      <c r="E418" s="845">
        <v>3265</v>
      </c>
      <c r="F418" s="917">
        <f t="shared" si="19"/>
        <v>100</v>
      </c>
      <c r="G418" s="991"/>
    </row>
    <row r="419" spans="1:7" s="81" customFormat="1" ht="18.75" customHeight="1">
      <c r="A419" s="317" t="s">
        <v>855</v>
      </c>
      <c r="B419" s="318"/>
      <c r="C419" s="335" t="s">
        <v>856</v>
      </c>
      <c r="D419" s="914">
        <f>SUM(D420,D426,D428)</f>
        <v>471358</v>
      </c>
      <c r="E419" s="914">
        <f>SUM(E420,E426,E428)</f>
        <v>447147.37</v>
      </c>
      <c r="F419" s="915">
        <f t="shared" si="19"/>
        <v>94.86364292109182</v>
      </c>
      <c r="G419" s="82"/>
    </row>
    <row r="420" spans="1:7" s="78" customFormat="1" ht="18.75" customHeight="1">
      <c r="A420" s="319"/>
      <c r="B420" s="320" t="s">
        <v>857</v>
      </c>
      <c r="C420" s="165" t="s">
        <v>1152</v>
      </c>
      <c r="D420" s="844">
        <f>D421</f>
        <v>51000</v>
      </c>
      <c r="E420" s="844">
        <f>E421</f>
        <v>51000</v>
      </c>
      <c r="F420" s="916">
        <f t="shared" si="19"/>
        <v>100</v>
      </c>
      <c r="G420" s="82"/>
    </row>
    <row r="421" spans="1:7" s="323" customFormat="1" ht="18.75" customHeight="1">
      <c r="A421" s="321"/>
      <c r="B421" s="322"/>
      <c r="C421" s="161" t="s">
        <v>288</v>
      </c>
      <c r="D421" s="845">
        <v>51000</v>
      </c>
      <c r="E421" s="845">
        <v>51000</v>
      </c>
      <c r="F421" s="917">
        <f t="shared" si="19"/>
        <v>100</v>
      </c>
      <c r="G421" s="991"/>
    </row>
    <row r="422" spans="1:8" s="328" customFormat="1" ht="11.25" customHeight="1" hidden="1">
      <c r="A422" s="325"/>
      <c r="B422" s="326"/>
      <c r="C422" s="327" t="s">
        <v>305</v>
      </c>
      <c r="D422" s="759"/>
      <c r="E422" s="759"/>
      <c r="F422" s="760"/>
      <c r="G422" s="991"/>
      <c r="H422" s="323"/>
    </row>
    <row r="423" spans="1:8" s="332" customFormat="1" ht="18.75" customHeight="1" hidden="1">
      <c r="A423" s="329"/>
      <c r="B423" s="330"/>
      <c r="C423" s="331" t="s">
        <v>307</v>
      </c>
      <c r="D423" s="761">
        <f>SUM(D424,D425)</f>
        <v>0</v>
      </c>
      <c r="E423" s="761">
        <f>SUM(E424,E425)</f>
        <v>0</v>
      </c>
      <c r="F423" s="762" t="e">
        <f>E423/D423*100</f>
        <v>#DIV/0!</v>
      </c>
      <c r="G423" s="991"/>
      <c r="H423" s="337"/>
    </row>
    <row r="424" spans="1:8" s="328" customFormat="1" ht="15.75" customHeight="1" hidden="1">
      <c r="A424" s="325"/>
      <c r="B424" s="326"/>
      <c r="C424" s="333" t="s">
        <v>280</v>
      </c>
      <c r="D424" s="759">
        <v>0</v>
      </c>
      <c r="E424" s="759">
        <v>0</v>
      </c>
      <c r="F424" s="763" t="e">
        <f>E424/D424*100</f>
        <v>#DIV/0!</v>
      </c>
      <c r="G424" s="991"/>
      <c r="H424" s="323"/>
    </row>
    <row r="425" spans="1:8" s="328" customFormat="1" ht="15.75" customHeight="1" hidden="1">
      <c r="A425" s="325"/>
      <c r="B425" s="326"/>
      <c r="C425" s="333" t="s">
        <v>281</v>
      </c>
      <c r="D425" s="759">
        <v>0</v>
      </c>
      <c r="E425" s="759">
        <v>0</v>
      </c>
      <c r="F425" s="763" t="e">
        <f>E425/D425*100</f>
        <v>#DIV/0!</v>
      </c>
      <c r="G425" s="991"/>
      <c r="H425" s="323"/>
    </row>
    <row r="426" spans="1:7" s="78" customFormat="1" ht="18.75" customHeight="1">
      <c r="A426" s="319"/>
      <c r="B426" s="320" t="s">
        <v>858</v>
      </c>
      <c r="C426" s="324" t="s">
        <v>859</v>
      </c>
      <c r="D426" s="844">
        <f>D427</f>
        <v>34000</v>
      </c>
      <c r="E426" s="844">
        <f>E427</f>
        <v>14000</v>
      </c>
      <c r="F426" s="916">
        <f t="shared" si="19"/>
        <v>41.17647058823529</v>
      </c>
      <c r="G426" s="82"/>
    </row>
    <row r="427" spans="1:7" s="323" customFormat="1" ht="18.75" customHeight="1">
      <c r="A427" s="321"/>
      <c r="B427" s="322"/>
      <c r="C427" s="161" t="s">
        <v>288</v>
      </c>
      <c r="D427" s="845">
        <v>34000</v>
      </c>
      <c r="E427" s="845">
        <v>14000</v>
      </c>
      <c r="F427" s="917">
        <f t="shared" si="19"/>
        <v>41.17647058823529</v>
      </c>
      <c r="G427" s="991"/>
    </row>
    <row r="428" spans="1:7" s="78" customFormat="1" ht="18.75" customHeight="1">
      <c r="A428" s="376"/>
      <c r="B428" s="320" t="s">
        <v>860</v>
      </c>
      <c r="C428" s="165" t="s">
        <v>864</v>
      </c>
      <c r="D428" s="844">
        <f>SUM(D429)</f>
        <v>386358</v>
      </c>
      <c r="E428" s="844">
        <f>SUM(E429)</f>
        <v>382147.37</v>
      </c>
      <c r="F428" s="916">
        <f>E428/D428*100</f>
        <v>98.91017398371459</v>
      </c>
      <c r="G428" s="82"/>
    </row>
    <row r="429" spans="1:7" s="323" customFormat="1" ht="18.75" customHeight="1">
      <c r="A429" s="375"/>
      <c r="B429" s="322"/>
      <c r="C429" s="161" t="s">
        <v>288</v>
      </c>
      <c r="D429" s="845">
        <v>386358</v>
      </c>
      <c r="E429" s="845">
        <v>382147.37</v>
      </c>
      <c r="F429" s="917">
        <f>E429/D429*100</f>
        <v>98.91017398371459</v>
      </c>
      <c r="G429" s="991"/>
    </row>
    <row r="430" spans="1:8" s="328" customFormat="1" ht="12" customHeight="1">
      <c r="A430" s="374"/>
      <c r="B430" s="326"/>
      <c r="C430" s="327" t="s">
        <v>305</v>
      </c>
      <c r="D430" s="918"/>
      <c r="E430" s="759"/>
      <c r="F430" s="760"/>
      <c r="G430" s="991"/>
      <c r="H430" s="323"/>
    </row>
    <row r="431" spans="1:8" s="332" customFormat="1" ht="18.75" customHeight="1">
      <c r="A431" s="361"/>
      <c r="B431" s="330"/>
      <c r="C431" s="331" t="s">
        <v>307</v>
      </c>
      <c r="D431" s="920">
        <f>SUM(D432,D433)</f>
        <v>328217</v>
      </c>
      <c r="E431" s="920">
        <f>SUM(E432,E433)</f>
        <v>324288.72</v>
      </c>
      <c r="F431" s="921">
        <f>E431/D431*100</f>
        <v>98.80314547997209</v>
      </c>
      <c r="G431" s="991"/>
      <c r="H431" s="337"/>
    </row>
    <row r="432" spans="1:8" s="328" customFormat="1" ht="18.75" customHeight="1">
      <c r="A432" s="374"/>
      <c r="B432" s="326"/>
      <c r="C432" s="333" t="s">
        <v>280</v>
      </c>
      <c r="D432" s="918">
        <v>285169</v>
      </c>
      <c r="E432" s="918">
        <v>282257.66</v>
      </c>
      <c r="F432" s="922">
        <f>E432/D432*100</f>
        <v>98.97908257910221</v>
      </c>
      <c r="G432" s="991"/>
      <c r="H432" s="323"/>
    </row>
    <row r="433" spans="1:8" s="328" customFormat="1" ht="18.75" customHeight="1">
      <c r="A433" s="374"/>
      <c r="B433" s="326"/>
      <c r="C433" s="333" t="s">
        <v>281</v>
      </c>
      <c r="D433" s="918">
        <v>43048</v>
      </c>
      <c r="E433" s="918">
        <v>42031.06</v>
      </c>
      <c r="F433" s="922">
        <f>E433/D433*100</f>
        <v>97.63766028619216</v>
      </c>
      <c r="G433" s="991"/>
      <c r="H433" s="323"/>
    </row>
    <row r="434" spans="1:7" s="81" customFormat="1" ht="18.75" customHeight="1">
      <c r="A434" s="377" t="s">
        <v>867</v>
      </c>
      <c r="B434" s="318"/>
      <c r="C434" s="173" t="s">
        <v>869</v>
      </c>
      <c r="D434" s="914">
        <f>SUM(D435,D441,D447)</f>
        <v>1894282</v>
      </c>
      <c r="E434" s="914">
        <f>SUM(E435,E441,E447)</f>
        <v>1893556.78</v>
      </c>
      <c r="F434" s="915">
        <f t="shared" si="19"/>
        <v>99.96171530954736</v>
      </c>
      <c r="G434" s="82"/>
    </row>
    <row r="435" spans="1:7" s="78" customFormat="1" ht="18.75" customHeight="1">
      <c r="A435" s="376"/>
      <c r="B435" s="320" t="s">
        <v>870</v>
      </c>
      <c r="C435" s="165" t="s">
        <v>876</v>
      </c>
      <c r="D435" s="844">
        <f>D436</f>
        <v>80000</v>
      </c>
      <c r="E435" s="844">
        <f>E436</f>
        <v>80000</v>
      </c>
      <c r="F435" s="916">
        <f t="shared" si="19"/>
        <v>100</v>
      </c>
      <c r="G435" s="82"/>
    </row>
    <row r="436" spans="1:7" s="323" customFormat="1" ht="18.75" customHeight="1">
      <c r="A436" s="375"/>
      <c r="B436" s="322"/>
      <c r="C436" s="161" t="s">
        <v>288</v>
      </c>
      <c r="D436" s="845">
        <v>80000</v>
      </c>
      <c r="E436" s="845">
        <v>80000</v>
      </c>
      <c r="F436" s="917">
        <f t="shared" si="19"/>
        <v>100</v>
      </c>
      <c r="G436" s="991"/>
    </row>
    <row r="437" spans="1:8" s="328" customFormat="1" ht="12" customHeight="1">
      <c r="A437" s="374"/>
      <c r="B437" s="326"/>
      <c r="C437" s="327" t="s">
        <v>305</v>
      </c>
      <c r="D437" s="918"/>
      <c r="E437" s="918"/>
      <c r="F437" s="919"/>
      <c r="G437" s="991"/>
      <c r="H437" s="323"/>
    </row>
    <row r="438" spans="1:8" s="332" customFormat="1" ht="18.75" customHeight="1">
      <c r="A438" s="361"/>
      <c r="B438" s="330"/>
      <c r="C438" s="331" t="s">
        <v>307</v>
      </c>
      <c r="D438" s="920">
        <f>SUM(D439,D440)</f>
        <v>77730</v>
      </c>
      <c r="E438" s="920">
        <f>SUM(E439,E440)</f>
        <v>77730</v>
      </c>
      <c r="F438" s="921">
        <f>E438/D438*100</f>
        <v>100</v>
      </c>
      <c r="G438" s="991"/>
      <c r="H438" s="337"/>
    </row>
    <row r="439" spans="1:8" s="328" customFormat="1" ht="18.75" customHeight="1">
      <c r="A439" s="374"/>
      <c r="B439" s="326"/>
      <c r="C439" s="333" t="s">
        <v>280</v>
      </c>
      <c r="D439" s="918">
        <v>64895</v>
      </c>
      <c r="E439" s="918">
        <v>64895</v>
      </c>
      <c r="F439" s="922">
        <f>E439/D439*100</f>
        <v>100</v>
      </c>
      <c r="G439" s="991"/>
      <c r="H439" s="323"/>
    </row>
    <row r="440" spans="1:8" s="328" customFormat="1" ht="18.75" customHeight="1">
      <c r="A440" s="374"/>
      <c r="B440" s="326"/>
      <c r="C440" s="333" t="s">
        <v>281</v>
      </c>
      <c r="D440" s="918">
        <v>12835</v>
      </c>
      <c r="E440" s="918">
        <v>12835</v>
      </c>
      <c r="F440" s="922">
        <f>E440/D440*100</f>
        <v>100</v>
      </c>
      <c r="G440" s="991"/>
      <c r="H440" s="323"/>
    </row>
    <row r="441" spans="1:7" s="78" customFormat="1" ht="18.75" customHeight="1">
      <c r="A441" s="376"/>
      <c r="B441" s="320" t="s">
        <v>877</v>
      </c>
      <c r="C441" s="172" t="s">
        <v>878</v>
      </c>
      <c r="D441" s="844">
        <f>D442</f>
        <v>1792737</v>
      </c>
      <c r="E441" s="844">
        <f>E442</f>
        <v>1792013.1</v>
      </c>
      <c r="F441" s="916">
        <f>E441/D441*100</f>
        <v>99.95962040165402</v>
      </c>
      <c r="G441" s="82"/>
    </row>
    <row r="442" spans="1:7" s="323" customFormat="1" ht="18.75" customHeight="1">
      <c r="A442" s="375"/>
      <c r="B442" s="322"/>
      <c r="C442" s="161" t="s">
        <v>288</v>
      </c>
      <c r="D442" s="845">
        <v>1792737</v>
      </c>
      <c r="E442" s="845">
        <v>1792013.1</v>
      </c>
      <c r="F442" s="917">
        <f>E442/D442*100</f>
        <v>99.95962040165402</v>
      </c>
      <c r="G442" s="991"/>
    </row>
    <row r="443" spans="1:8" s="328" customFormat="1" ht="12" customHeight="1">
      <c r="A443" s="374"/>
      <c r="B443" s="326"/>
      <c r="C443" s="327" t="s">
        <v>305</v>
      </c>
      <c r="D443" s="918"/>
      <c r="E443" s="759"/>
      <c r="F443" s="760"/>
      <c r="G443" s="991"/>
      <c r="H443" s="323"/>
    </row>
    <row r="444" spans="1:8" s="332" customFormat="1" ht="18.75" customHeight="1">
      <c r="A444" s="361"/>
      <c r="B444" s="330"/>
      <c r="C444" s="331" t="s">
        <v>307</v>
      </c>
      <c r="D444" s="920">
        <f>SUM(D445,D446)</f>
        <v>1393552</v>
      </c>
      <c r="E444" s="920">
        <f>SUM(E445,E446)</f>
        <v>1393268.9</v>
      </c>
      <c r="F444" s="921">
        <f>E444/D444*100</f>
        <v>99.9796850063722</v>
      </c>
      <c r="G444" s="991"/>
      <c r="H444" s="337"/>
    </row>
    <row r="445" spans="1:8" s="328" customFormat="1" ht="18.75" customHeight="1">
      <c r="A445" s="374"/>
      <c r="B445" s="326"/>
      <c r="C445" s="333" t="s">
        <v>280</v>
      </c>
      <c r="D445" s="918">
        <v>1188260</v>
      </c>
      <c r="E445" s="918">
        <v>1188162.23</v>
      </c>
      <c r="F445" s="922">
        <f>E445/D445*100</f>
        <v>99.99177200276034</v>
      </c>
      <c r="G445" s="991"/>
      <c r="H445" s="323"/>
    </row>
    <row r="446" spans="1:8" s="328" customFormat="1" ht="18.75" customHeight="1">
      <c r="A446" s="374"/>
      <c r="B446" s="326"/>
      <c r="C446" s="333" t="s">
        <v>281</v>
      </c>
      <c r="D446" s="918">
        <v>205292</v>
      </c>
      <c r="E446" s="918">
        <v>205106.67</v>
      </c>
      <c r="F446" s="922">
        <f>E446/D446*100</f>
        <v>99.90972371061709</v>
      </c>
      <c r="G446" s="991"/>
      <c r="H446" s="323"/>
    </row>
    <row r="447" spans="1:7" s="78" customFormat="1" ht="18.75" customHeight="1">
      <c r="A447" s="376"/>
      <c r="B447" s="320" t="s">
        <v>880</v>
      </c>
      <c r="C447" s="165" t="s">
        <v>881</v>
      </c>
      <c r="D447" s="844">
        <f>D448</f>
        <v>21545</v>
      </c>
      <c r="E447" s="844">
        <f>E448</f>
        <v>21543.68</v>
      </c>
      <c r="F447" s="916">
        <f>E447/D447*100</f>
        <v>99.993873288466</v>
      </c>
      <c r="G447" s="82"/>
    </row>
    <row r="448" spans="1:7" s="323" customFormat="1" ht="18.75" customHeight="1">
      <c r="A448" s="375"/>
      <c r="B448" s="322"/>
      <c r="C448" s="161" t="s">
        <v>288</v>
      </c>
      <c r="D448" s="845">
        <v>21545</v>
      </c>
      <c r="E448" s="845">
        <v>21543.68</v>
      </c>
      <c r="F448" s="917">
        <f>E448/D448*100</f>
        <v>99.993873288466</v>
      </c>
      <c r="G448" s="991"/>
    </row>
    <row r="449" spans="1:8" s="328" customFormat="1" ht="12" customHeight="1">
      <c r="A449" s="374"/>
      <c r="B449" s="326"/>
      <c r="C449" s="327" t="s">
        <v>305</v>
      </c>
      <c r="D449" s="918"/>
      <c r="E449" s="759"/>
      <c r="F449" s="760"/>
      <c r="G449" s="991"/>
      <c r="H449" s="323"/>
    </row>
    <row r="450" spans="1:8" s="332" customFormat="1" ht="18.75" customHeight="1">
      <c r="A450" s="361"/>
      <c r="B450" s="330"/>
      <c r="C450" s="331" t="s">
        <v>307</v>
      </c>
      <c r="D450" s="920">
        <f>SUM(D451,D452)</f>
        <v>6454</v>
      </c>
      <c r="E450" s="920">
        <f>SUM(E451,E452)</f>
        <v>6452.82</v>
      </c>
      <c r="F450" s="921">
        <f aca="true" t="shared" si="20" ref="F450:F464">E450/D450*100</f>
        <v>99.98171676479703</v>
      </c>
      <c r="G450" s="991"/>
      <c r="H450" s="337"/>
    </row>
    <row r="451" spans="1:8" s="332" customFormat="1" ht="18.75" customHeight="1">
      <c r="A451" s="361"/>
      <c r="B451" s="330"/>
      <c r="C451" s="333" t="s">
        <v>280</v>
      </c>
      <c r="D451" s="918">
        <v>6100</v>
      </c>
      <c r="E451" s="918">
        <v>6100</v>
      </c>
      <c r="F451" s="922">
        <f t="shared" si="20"/>
        <v>100</v>
      </c>
      <c r="G451" s="991"/>
      <c r="H451" s="337"/>
    </row>
    <row r="452" spans="1:8" s="332" customFormat="1" ht="18.75" customHeight="1">
      <c r="A452" s="361"/>
      <c r="B452" s="330"/>
      <c r="C452" s="333" t="s">
        <v>281</v>
      </c>
      <c r="D452" s="918">
        <v>354</v>
      </c>
      <c r="E452" s="918">
        <v>352.82</v>
      </c>
      <c r="F452" s="922">
        <f t="shared" si="20"/>
        <v>99.66666666666667</v>
      </c>
      <c r="G452" s="991"/>
      <c r="H452" s="337"/>
    </row>
    <row r="453" spans="1:8" s="328" customFormat="1" ht="27.75" customHeight="1">
      <c r="A453" s="379" t="s">
        <v>884</v>
      </c>
      <c r="B453" s="318"/>
      <c r="C453" s="335" t="s">
        <v>1191</v>
      </c>
      <c r="D453" s="914">
        <f>SUM(D454,D461,D463)</f>
        <v>3775323</v>
      </c>
      <c r="E453" s="914">
        <f>SUM(E454,E461,E463)</f>
        <v>3775323.05</v>
      </c>
      <c r="F453" s="915">
        <f t="shared" si="20"/>
        <v>100.00000132439</v>
      </c>
      <c r="G453" s="991"/>
      <c r="H453" s="323"/>
    </row>
    <row r="454" spans="1:8" s="328" customFormat="1" ht="18.75" customHeight="1">
      <c r="A454" s="376"/>
      <c r="B454" s="320" t="s">
        <v>320</v>
      </c>
      <c r="C454" s="172" t="s">
        <v>321</v>
      </c>
      <c r="D454" s="844">
        <f>SUM(D455,D458)</f>
        <v>177640</v>
      </c>
      <c r="E454" s="844">
        <f>SUM(E455,E458)</f>
        <v>177640</v>
      </c>
      <c r="F454" s="916">
        <f t="shared" si="20"/>
        <v>100</v>
      </c>
      <c r="G454" s="991"/>
      <c r="H454" s="323"/>
    </row>
    <row r="455" spans="1:8" s="328" customFormat="1" ht="18.75" customHeight="1">
      <c r="A455" s="375"/>
      <c r="B455" s="322"/>
      <c r="C455" s="161" t="s">
        <v>288</v>
      </c>
      <c r="D455" s="845">
        <v>132640</v>
      </c>
      <c r="E455" s="845">
        <v>132640</v>
      </c>
      <c r="F455" s="917">
        <f t="shared" si="20"/>
        <v>100</v>
      </c>
      <c r="G455" s="991"/>
      <c r="H455" s="992"/>
    </row>
    <row r="456" spans="1:8" s="328" customFormat="1" ht="12" customHeight="1">
      <c r="A456" s="374"/>
      <c r="B456" s="326"/>
      <c r="C456" s="327" t="s">
        <v>305</v>
      </c>
      <c r="D456" s="918"/>
      <c r="E456" s="918"/>
      <c r="F456" s="919"/>
      <c r="G456" s="991"/>
      <c r="H456" s="323"/>
    </row>
    <row r="457" spans="1:8" s="332" customFormat="1" ht="18.75" customHeight="1">
      <c r="A457" s="361"/>
      <c r="B457" s="330"/>
      <c r="C457" s="331" t="s">
        <v>308</v>
      </c>
      <c r="D457" s="920">
        <v>132640</v>
      </c>
      <c r="E457" s="920">
        <v>132640</v>
      </c>
      <c r="F457" s="921">
        <f>E457/D457*100</f>
        <v>100</v>
      </c>
      <c r="G457" s="991"/>
      <c r="H457" s="337"/>
    </row>
    <row r="458" spans="1:7" s="948" customFormat="1" ht="18.75" customHeight="1">
      <c r="A458" s="933"/>
      <c r="B458" s="934"/>
      <c r="C458" s="930" t="s">
        <v>309</v>
      </c>
      <c r="D458" s="931">
        <v>45000</v>
      </c>
      <c r="E458" s="931">
        <v>45000</v>
      </c>
      <c r="F458" s="932">
        <f>E458/D458*100</f>
        <v>100</v>
      </c>
      <c r="G458" s="82"/>
    </row>
    <row r="459" spans="1:7" s="948" customFormat="1" ht="13.5" customHeight="1">
      <c r="A459" s="933"/>
      <c r="B459" s="934"/>
      <c r="C459" s="935" t="s">
        <v>305</v>
      </c>
      <c r="D459" s="931"/>
      <c r="E459" s="931"/>
      <c r="F459" s="932"/>
      <c r="G459" s="82"/>
    </row>
    <row r="460" spans="1:7" s="975" customFormat="1" ht="18.75" customHeight="1">
      <c r="A460" s="973"/>
      <c r="B460" s="974"/>
      <c r="C460" s="941" t="s">
        <v>308</v>
      </c>
      <c r="D460" s="942">
        <v>45000</v>
      </c>
      <c r="E460" s="942">
        <v>45000</v>
      </c>
      <c r="F460" s="943">
        <f>E460/D460*100</f>
        <v>100</v>
      </c>
      <c r="G460" s="82"/>
    </row>
    <row r="461" spans="1:8" s="336" customFormat="1" ht="18.75" customHeight="1">
      <c r="A461" s="376"/>
      <c r="B461" s="320" t="s">
        <v>823</v>
      </c>
      <c r="C461" s="324" t="s">
        <v>824</v>
      </c>
      <c r="D461" s="844">
        <f>SUM(D462)</f>
        <v>7000</v>
      </c>
      <c r="E461" s="844">
        <f>SUM(E462)</f>
        <v>7000.05</v>
      </c>
      <c r="F461" s="916">
        <f t="shared" si="20"/>
        <v>100.00071428571428</v>
      </c>
      <c r="G461" s="82"/>
      <c r="H461" s="993"/>
    </row>
    <row r="462" spans="1:8" s="328" customFormat="1" ht="18.75" customHeight="1">
      <c r="A462" s="375"/>
      <c r="B462" s="322"/>
      <c r="C462" s="161" t="s">
        <v>288</v>
      </c>
      <c r="D462" s="845">
        <v>7000</v>
      </c>
      <c r="E462" s="845">
        <v>7000.05</v>
      </c>
      <c r="F462" s="917">
        <f>E462/D462*100</f>
        <v>100.00071428571428</v>
      </c>
      <c r="G462" s="991"/>
      <c r="H462" s="992"/>
    </row>
    <row r="463" spans="1:8" s="328" customFormat="1" ht="18.75" customHeight="1">
      <c r="A463" s="376"/>
      <c r="B463" s="320" t="s">
        <v>885</v>
      </c>
      <c r="C463" s="324" t="s">
        <v>1158</v>
      </c>
      <c r="D463" s="844">
        <f>SUM(D464,D469)</f>
        <v>3590683</v>
      </c>
      <c r="E463" s="844">
        <f>SUM(E464,E469)</f>
        <v>3590683</v>
      </c>
      <c r="F463" s="916">
        <f t="shared" si="20"/>
        <v>100</v>
      </c>
      <c r="G463" s="991"/>
      <c r="H463" s="323"/>
    </row>
    <row r="464" spans="1:8" s="328" customFormat="1" ht="18.75" customHeight="1">
      <c r="A464" s="375"/>
      <c r="B464" s="322"/>
      <c r="C464" s="161" t="s">
        <v>288</v>
      </c>
      <c r="D464" s="845">
        <v>3577683</v>
      </c>
      <c r="E464" s="845">
        <v>3577683</v>
      </c>
      <c r="F464" s="917">
        <f t="shared" si="20"/>
        <v>100</v>
      </c>
      <c r="G464" s="991"/>
      <c r="H464" s="323"/>
    </row>
    <row r="465" spans="1:8" s="328" customFormat="1" ht="12" customHeight="1">
      <c r="A465" s="374"/>
      <c r="B465" s="326"/>
      <c r="C465" s="327" t="s">
        <v>305</v>
      </c>
      <c r="D465" s="918"/>
      <c r="E465" s="759"/>
      <c r="F465" s="760"/>
      <c r="G465" s="991"/>
      <c r="H465" s="323"/>
    </row>
    <row r="466" spans="1:7" s="81" customFormat="1" ht="18.75" customHeight="1">
      <c r="A466" s="361"/>
      <c r="B466" s="330"/>
      <c r="C466" s="331" t="s">
        <v>307</v>
      </c>
      <c r="D466" s="920">
        <f>SUM(D467,D468)</f>
        <v>2822960</v>
      </c>
      <c r="E466" s="920">
        <v>2819015.47</v>
      </c>
      <c r="F466" s="921">
        <f aca="true" t="shared" si="21" ref="F466:F472">E466/D466*100</f>
        <v>99.86026971689292</v>
      </c>
      <c r="G466" s="82"/>
    </row>
    <row r="467" spans="1:7" s="78" customFormat="1" ht="18.75" customHeight="1">
      <c r="A467" s="374"/>
      <c r="B467" s="326"/>
      <c r="C467" s="333" t="s">
        <v>280</v>
      </c>
      <c r="D467" s="918">
        <v>2819015</v>
      </c>
      <c r="E467" s="918">
        <v>2819015.82</v>
      </c>
      <c r="F467" s="922">
        <f t="shared" si="21"/>
        <v>100.0000290881744</v>
      </c>
      <c r="G467" s="82"/>
    </row>
    <row r="468" spans="1:7" s="78" customFormat="1" ht="18.75" customHeight="1">
      <c r="A468" s="374"/>
      <c r="B468" s="976"/>
      <c r="C468" s="977" t="s">
        <v>281</v>
      </c>
      <c r="D468" s="978">
        <v>3945</v>
      </c>
      <c r="E468" s="978">
        <v>3944.71</v>
      </c>
      <c r="F468" s="1335">
        <f t="shared" si="21"/>
        <v>99.99264892268694</v>
      </c>
      <c r="G468" s="82"/>
    </row>
    <row r="469" spans="1:8" s="328" customFormat="1" ht="18.75" customHeight="1">
      <c r="A469" s="321"/>
      <c r="B469" s="322"/>
      <c r="C469" s="161" t="s">
        <v>309</v>
      </c>
      <c r="D469" s="845">
        <v>13000</v>
      </c>
      <c r="E469" s="845">
        <v>13000</v>
      </c>
      <c r="F469" s="917">
        <f t="shared" si="21"/>
        <v>100</v>
      </c>
      <c r="G469" s="991">
        <v>0</v>
      </c>
      <c r="H469" s="323"/>
    </row>
    <row r="470" spans="1:7" s="78" customFormat="1" ht="18.75" customHeight="1">
      <c r="A470" s="377" t="s">
        <v>891</v>
      </c>
      <c r="B470" s="318"/>
      <c r="C470" s="173" t="s">
        <v>892</v>
      </c>
      <c r="D470" s="914">
        <f>SUM(D471,D477,D483,D491,D497,D504,D510,D516,D518)</f>
        <v>12785411</v>
      </c>
      <c r="E470" s="914">
        <f>SUM(E471,E477,E483,E491,E497,E504,E510,E516,E518)</f>
        <v>12712317.379999999</v>
      </c>
      <c r="F470" s="915">
        <f t="shared" si="21"/>
        <v>99.42830449486527</v>
      </c>
      <c r="G470" s="82"/>
    </row>
    <row r="471" spans="1:8" s="328" customFormat="1" ht="18.75" customHeight="1">
      <c r="A471" s="376"/>
      <c r="B471" s="320" t="s">
        <v>344</v>
      </c>
      <c r="C471" s="172" t="s">
        <v>345</v>
      </c>
      <c r="D471" s="844">
        <f>D472</f>
        <v>765416</v>
      </c>
      <c r="E471" s="844">
        <f>E472</f>
        <v>765416</v>
      </c>
      <c r="F471" s="916">
        <f t="shared" si="21"/>
        <v>100</v>
      </c>
      <c r="G471" s="991"/>
      <c r="H471" s="323"/>
    </row>
    <row r="472" spans="1:7" s="323" customFormat="1" ht="18.75" customHeight="1">
      <c r="A472" s="375"/>
      <c r="B472" s="322"/>
      <c r="C472" s="161" t="s">
        <v>288</v>
      </c>
      <c r="D472" s="845">
        <v>765416</v>
      </c>
      <c r="E472" s="845">
        <v>765416</v>
      </c>
      <c r="F472" s="917">
        <f t="shared" si="21"/>
        <v>100</v>
      </c>
      <c r="G472" s="991"/>
    </row>
    <row r="473" spans="1:8" s="328" customFormat="1" ht="12" customHeight="1">
      <c r="A473" s="374"/>
      <c r="B473" s="326"/>
      <c r="C473" s="327" t="s">
        <v>305</v>
      </c>
      <c r="D473" s="918"/>
      <c r="E473" s="918"/>
      <c r="F473" s="919"/>
      <c r="G473" s="991"/>
      <c r="H473" s="323"/>
    </row>
    <row r="474" spans="1:7" s="81" customFormat="1" ht="18.75" customHeight="1">
      <c r="A474" s="361"/>
      <c r="B474" s="330"/>
      <c r="C474" s="331" t="s">
        <v>307</v>
      </c>
      <c r="D474" s="920">
        <f>SUM(D475,D476)</f>
        <v>648458</v>
      </c>
      <c r="E474" s="920">
        <f>SUM(E475,E476)</f>
        <v>648458</v>
      </c>
      <c r="F474" s="921">
        <f>E474/D474*100</f>
        <v>100</v>
      </c>
      <c r="G474" s="82"/>
    </row>
    <row r="475" spans="1:7" s="78" customFormat="1" ht="18.75" customHeight="1">
      <c r="A475" s="374"/>
      <c r="B475" s="326"/>
      <c r="C475" s="333" t="s">
        <v>280</v>
      </c>
      <c r="D475" s="918">
        <v>556561</v>
      </c>
      <c r="E475" s="918">
        <v>556560.55</v>
      </c>
      <c r="F475" s="922">
        <f>E475/D475*100</f>
        <v>99.99991914632899</v>
      </c>
      <c r="G475" s="82"/>
    </row>
    <row r="476" spans="1:7" s="78" customFormat="1" ht="18.75" customHeight="1">
      <c r="A476" s="374"/>
      <c r="B476" s="326"/>
      <c r="C476" s="333" t="s">
        <v>281</v>
      </c>
      <c r="D476" s="918">
        <v>91897</v>
      </c>
      <c r="E476" s="918">
        <v>91897.45</v>
      </c>
      <c r="F476" s="922">
        <f>E476/D476*100</f>
        <v>100.00048967866198</v>
      </c>
      <c r="G476" s="82"/>
    </row>
    <row r="477" spans="1:8" s="328" customFormat="1" ht="18.75" customHeight="1">
      <c r="A477" s="376"/>
      <c r="B477" s="320" t="s">
        <v>374</v>
      </c>
      <c r="C477" s="172" t="s">
        <v>375</v>
      </c>
      <c r="D477" s="844">
        <f>D478</f>
        <v>573374</v>
      </c>
      <c r="E477" s="844">
        <f>E478</f>
        <v>573374</v>
      </c>
      <c r="F477" s="916">
        <f>E477/D477*100</f>
        <v>100</v>
      </c>
      <c r="G477" s="991"/>
      <c r="H477" s="323"/>
    </row>
    <row r="478" spans="1:6" ht="15.75" customHeight="1">
      <c r="A478" s="375"/>
      <c r="B478" s="322"/>
      <c r="C478" s="161" t="s">
        <v>288</v>
      </c>
      <c r="D478" s="845">
        <v>573374</v>
      </c>
      <c r="E478" s="845">
        <v>573374</v>
      </c>
      <c r="F478" s="917">
        <f>E478/D478*100</f>
        <v>100</v>
      </c>
    </row>
    <row r="479" spans="1:6" ht="12" customHeight="1">
      <c r="A479" s="374"/>
      <c r="B479" s="326"/>
      <c r="C479" s="327" t="s">
        <v>305</v>
      </c>
      <c r="D479" s="918"/>
      <c r="E479" s="918"/>
      <c r="F479" s="919"/>
    </row>
    <row r="480" spans="1:7" s="81" customFormat="1" ht="17.25" customHeight="1">
      <c r="A480" s="361"/>
      <c r="B480" s="330"/>
      <c r="C480" s="331" t="s">
        <v>307</v>
      </c>
      <c r="D480" s="920">
        <f>SUM(D481,D482)</f>
        <v>514935</v>
      </c>
      <c r="E480" s="920">
        <f>SUM(E481,E482)</f>
        <v>514935</v>
      </c>
      <c r="F480" s="921">
        <f>E480/D480*100</f>
        <v>100</v>
      </c>
      <c r="G480" s="82"/>
    </row>
    <row r="481" spans="1:7" s="78" customFormat="1" ht="17.25" customHeight="1">
      <c r="A481" s="374"/>
      <c r="B481" s="326"/>
      <c r="C481" s="333" t="s">
        <v>280</v>
      </c>
      <c r="D481" s="918">
        <v>442900</v>
      </c>
      <c r="E481" s="918">
        <v>442899.97</v>
      </c>
      <c r="F481" s="922">
        <f>E481/D481*100</f>
        <v>99.99999322646195</v>
      </c>
      <c r="G481" s="82"/>
    </row>
    <row r="482" spans="1:7" s="78" customFormat="1" ht="17.25" customHeight="1">
      <c r="A482" s="374"/>
      <c r="B482" s="326"/>
      <c r="C482" s="333" t="s">
        <v>281</v>
      </c>
      <c r="D482" s="918">
        <v>72035</v>
      </c>
      <c r="E482" s="918">
        <v>72035.03</v>
      </c>
      <c r="F482" s="922">
        <f>E482/D482*100</f>
        <v>100.00004164642186</v>
      </c>
      <c r="G482" s="82"/>
    </row>
    <row r="483" spans="1:8" s="328" customFormat="1" ht="18.75" customHeight="1">
      <c r="A483" s="376"/>
      <c r="B483" s="320" t="s">
        <v>897</v>
      </c>
      <c r="C483" s="172" t="s">
        <v>376</v>
      </c>
      <c r="D483" s="844">
        <f>SUM(D484,D490)</f>
        <v>4312818</v>
      </c>
      <c r="E483" s="844">
        <f>SUM(E484,E490)</f>
        <v>4239724.15</v>
      </c>
      <c r="F483" s="916">
        <f>E483/D483*100</f>
        <v>98.30519511836577</v>
      </c>
      <c r="G483" s="991"/>
      <c r="H483" s="323"/>
    </row>
    <row r="484" spans="1:8" s="328" customFormat="1" ht="18.75" customHeight="1">
      <c r="A484" s="375"/>
      <c r="B484" s="322"/>
      <c r="C484" s="161" t="s">
        <v>288</v>
      </c>
      <c r="D484" s="845">
        <v>4312818</v>
      </c>
      <c r="E484" s="845">
        <v>4239724.15</v>
      </c>
      <c r="F484" s="917">
        <f>E484/D484*100</f>
        <v>98.30519511836577</v>
      </c>
      <c r="G484" s="991" t="s">
        <v>868</v>
      </c>
      <c r="H484" s="323"/>
    </row>
    <row r="485" spans="1:8" s="328" customFormat="1" ht="12" customHeight="1">
      <c r="A485" s="374"/>
      <c r="B485" s="326"/>
      <c r="C485" s="327" t="s">
        <v>305</v>
      </c>
      <c r="D485" s="918"/>
      <c r="E485" s="918"/>
      <c r="F485" s="919"/>
      <c r="G485" s="991"/>
      <c r="H485" s="323"/>
    </row>
    <row r="486" spans="1:7" s="81" customFormat="1" ht="18.75" customHeight="1">
      <c r="A486" s="361"/>
      <c r="B486" s="330"/>
      <c r="C486" s="331" t="s">
        <v>307</v>
      </c>
      <c r="D486" s="920">
        <f>SUM(D487,D488)</f>
        <v>2608896</v>
      </c>
      <c r="E486" s="920">
        <f>SUM(E487,E488)</f>
        <v>2608895.61</v>
      </c>
      <c r="F486" s="921">
        <f aca="true" t="shared" si="22" ref="F486:F492">E486/D486*100</f>
        <v>99.99998505114806</v>
      </c>
      <c r="G486" s="82"/>
    </row>
    <row r="487" spans="1:7" s="78" customFormat="1" ht="18.75" customHeight="1">
      <c r="A487" s="374"/>
      <c r="B487" s="326"/>
      <c r="C487" s="333" t="s">
        <v>280</v>
      </c>
      <c r="D487" s="918">
        <v>2240410</v>
      </c>
      <c r="E487" s="918">
        <v>2240409.65</v>
      </c>
      <c r="F487" s="922">
        <f t="shared" si="22"/>
        <v>99.9999843778594</v>
      </c>
      <c r="G487" s="82"/>
    </row>
    <row r="488" spans="1:7" s="78" customFormat="1" ht="18.75" customHeight="1">
      <c r="A488" s="374"/>
      <c r="B488" s="326"/>
      <c r="C488" s="333" t="s">
        <v>281</v>
      </c>
      <c r="D488" s="918">
        <v>368486</v>
      </c>
      <c r="E488" s="918">
        <v>368485.96</v>
      </c>
      <c r="F488" s="922">
        <f t="shared" si="22"/>
        <v>99.99998914477078</v>
      </c>
      <c r="G488" s="82"/>
    </row>
    <row r="489" spans="1:7" s="337" customFormat="1" ht="18.75" customHeight="1">
      <c r="A489" s="361"/>
      <c r="B489" s="330"/>
      <c r="C489" s="331" t="s">
        <v>308</v>
      </c>
      <c r="D489" s="920">
        <v>907752</v>
      </c>
      <c r="E489" s="920">
        <v>907752.54</v>
      </c>
      <c r="F489" s="921">
        <f t="shared" si="22"/>
        <v>100.00005948761337</v>
      </c>
      <c r="G489" s="991"/>
    </row>
    <row r="490" spans="1:8" s="328" customFormat="1" ht="18.75" customHeight="1" hidden="1">
      <c r="A490" s="375"/>
      <c r="B490" s="322"/>
      <c r="C490" s="161" t="s">
        <v>309</v>
      </c>
      <c r="D490" s="751">
        <v>0</v>
      </c>
      <c r="E490" s="751">
        <v>0</v>
      </c>
      <c r="F490" s="758" t="e">
        <f>E490/D490*100</f>
        <v>#DIV/0!</v>
      </c>
      <c r="G490" s="991"/>
      <c r="H490" s="323"/>
    </row>
    <row r="491" spans="1:8" s="328" customFormat="1" ht="18.75" customHeight="1">
      <c r="A491" s="376"/>
      <c r="B491" s="320" t="s">
        <v>377</v>
      </c>
      <c r="C491" s="172" t="s">
        <v>378</v>
      </c>
      <c r="D491" s="844">
        <f>D492</f>
        <v>157152</v>
      </c>
      <c r="E491" s="844">
        <f>E492</f>
        <v>157152.89</v>
      </c>
      <c r="F491" s="916">
        <f t="shared" si="22"/>
        <v>100.00056633068621</v>
      </c>
      <c r="G491" s="991"/>
      <c r="H491" s="323"/>
    </row>
    <row r="492" spans="1:7" s="323" customFormat="1" ht="18.75" customHeight="1">
      <c r="A492" s="375"/>
      <c r="B492" s="322"/>
      <c r="C492" s="161" t="s">
        <v>288</v>
      </c>
      <c r="D492" s="845">
        <v>157152</v>
      </c>
      <c r="E492" s="845">
        <v>157152.89</v>
      </c>
      <c r="F492" s="917">
        <f t="shared" si="22"/>
        <v>100.00056633068621</v>
      </c>
      <c r="G492" s="991"/>
    </row>
    <row r="493" spans="1:8" s="328" customFormat="1" ht="12" customHeight="1">
      <c r="A493" s="374"/>
      <c r="B493" s="326"/>
      <c r="C493" s="327" t="s">
        <v>305</v>
      </c>
      <c r="D493" s="918"/>
      <c r="E493" s="918"/>
      <c r="F493" s="919"/>
      <c r="G493" s="991"/>
      <c r="H493" s="323"/>
    </row>
    <row r="494" spans="1:7" s="81" customFormat="1" ht="18.75" customHeight="1">
      <c r="A494" s="361"/>
      <c r="B494" s="330"/>
      <c r="C494" s="331" t="s">
        <v>307</v>
      </c>
      <c r="D494" s="920">
        <f>SUM(D495,D496)</f>
        <v>136002</v>
      </c>
      <c r="E494" s="920">
        <f>SUM(E495,E496)</f>
        <v>136002.66</v>
      </c>
      <c r="F494" s="921">
        <f>E494/D494*100</f>
        <v>100.00048528698106</v>
      </c>
      <c r="G494" s="82"/>
    </row>
    <row r="495" spans="1:7" s="78" customFormat="1" ht="18.75" customHeight="1">
      <c r="A495" s="374"/>
      <c r="B495" s="326"/>
      <c r="C495" s="333" t="s">
        <v>280</v>
      </c>
      <c r="D495" s="918">
        <v>119277</v>
      </c>
      <c r="E495" s="918">
        <v>119277.08</v>
      </c>
      <c r="F495" s="922">
        <f>E495/D495*100</f>
        <v>100.00006707076805</v>
      </c>
      <c r="G495" s="82"/>
    </row>
    <row r="496" spans="1:7" s="78" customFormat="1" ht="18.75" customHeight="1">
      <c r="A496" s="374"/>
      <c r="B496" s="326"/>
      <c r="C496" s="333" t="s">
        <v>281</v>
      </c>
      <c r="D496" s="918">
        <v>16725</v>
      </c>
      <c r="E496" s="918">
        <v>16725.58</v>
      </c>
      <c r="F496" s="922">
        <f>E496/D496*100</f>
        <v>100.00346786248133</v>
      </c>
      <c r="G496" s="82"/>
    </row>
    <row r="497" spans="1:8" s="328" customFormat="1" ht="18.75" customHeight="1">
      <c r="A497" s="376"/>
      <c r="B497" s="320" t="s">
        <v>898</v>
      </c>
      <c r="C497" s="172" t="s">
        <v>899</v>
      </c>
      <c r="D497" s="844">
        <f>SUM(D498)</f>
        <v>5997924</v>
      </c>
      <c r="E497" s="844">
        <f>SUM(E498)</f>
        <v>5997924.06</v>
      </c>
      <c r="F497" s="916">
        <f>E497/D497*100</f>
        <v>100.00000100034612</v>
      </c>
      <c r="G497" s="991"/>
      <c r="H497" s="323"/>
    </row>
    <row r="498" spans="1:8" s="328" customFormat="1" ht="18.75" customHeight="1">
      <c r="A498" s="375"/>
      <c r="B498" s="322"/>
      <c r="C498" s="161" t="s">
        <v>288</v>
      </c>
      <c r="D498" s="845">
        <v>5997924</v>
      </c>
      <c r="E498" s="845">
        <v>5997924.06</v>
      </c>
      <c r="F498" s="917">
        <f>E498/D498*100</f>
        <v>100.00000100034612</v>
      </c>
      <c r="G498" s="991"/>
      <c r="H498" s="323"/>
    </row>
    <row r="499" spans="1:8" s="328" customFormat="1" ht="12" customHeight="1">
      <c r="A499" s="374"/>
      <c r="B499" s="326"/>
      <c r="C499" s="327" t="s">
        <v>305</v>
      </c>
      <c r="D499" s="918"/>
      <c r="E499" s="918"/>
      <c r="F499" s="919"/>
      <c r="G499" s="991"/>
      <c r="H499" s="323"/>
    </row>
    <row r="500" spans="1:7" s="81" customFormat="1" ht="18.75" customHeight="1">
      <c r="A500" s="361"/>
      <c r="B500" s="330"/>
      <c r="C500" s="331" t="s">
        <v>307</v>
      </c>
      <c r="D500" s="920">
        <f>SUM(D501,D502)</f>
        <v>3783304</v>
      </c>
      <c r="E500" s="920">
        <f>SUM(E501,E502)</f>
        <v>3783305.5999999996</v>
      </c>
      <c r="F500" s="921">
        <f aca="true" t="shared" si="23" ref="F500:F505">E500/D500*100</f>
        <v>100.00004229107677</v>
      </c>
      <c r="G500" s="82"/>
    </row>
    <row r="501" spans="1:7" s="78" customFormat="1" ht="18.75" customHeight="1">
      <c r="A501" s="374"/>
      <c r="B501" s="326"/>
      <c r="C501" s="333" t="s">
        <v>280</v>
      </c>
      <c r="D501" s="918">
        <v>3270163</v>
      </c>
      <c r="E501" s="918">
        <v>3270163.07</v>
      </c>
      <c r="F501" s="922">
        <f t="shared" si="23"/>
        <v>100.00000214056608</v>
      </c>
      <c r="G501" s="82"/>
    </row>
    <row r="502" spans="1:7" s="78" customFormat="1" ht="18.75" customHeight="1">
      <c r="A502" s="374"/>
      <c r="B502" s="326"/>
      <c r="C502" s="333" t="s">
        <v>281</v>
      </c>
      <c r="D502" s="918">
        <v>513141</v>
      </c>
      <c r="E502" s="918">
        <v>513142.53</v>
      </c>
      <c r="F502" s="922">
        <f t="shared" si="23"/>
        <v>100.00029816366262</v>
      </c>
      <c r="G502" s="82"/>
    </row>
    <row r="503" spans="1:7" s="337" customFormat="1" ht="16.5" customHeight="1">
      <c r="A503" s="361"/>
      <c r="B503" s="330"/>
      <c r="C503" s="331" t="s">
        <v>308</v>
      </c>
      <c r="D503" s="920">
        <v>856755</v>
      </c>
      <c r="E503" s="920">
        <v>856755.1</v>
      </c>
      <c r="F503" s="921">
        <f t="shared" si="23"/>
        <v>100.00001167194823</v>
      </c>
      <c r="G503" s="991" t="s">
        <v>868</v>
      </c>
    </row>
    <row r="504" spans="1:8" s="328" customFormat="1" ht="18.75" customHeight="1">
      <c r="A504" s="376"/>
      <c r="B504" s="320" t="s">
        <v>379</v>
      </c>
      <c r="C504" s="172" t="s">
        <v>380</v>
      </c>
      <c r="D504" s="844">
        <f>SUM(D505)</f>
        <v>597344</v>
      </c>
      <c r="E504" s="844">
        <f>SUM(E505)</f>
        <v>597344.4</v>
      </c>
      <c r="F504" s="916">
        <f t="shared" si="23"/>
        <v>100.00006696308994</v>
      </c>
      <c r="G504" s="991"/>
      <c r="H504" s="323"/>
    </row>
    <row r="505" spans="1:8" s="328" customFormat="1" ht="18.75" customHeight="1">
      <c r="A505" s="375"/>
      <c r="B505" s="322"/>
      <c r="C505" s="161" t="s">
        <v>288</v>
      </c>
      <c r="D505" s="845">
        <v>597344</v>
      </c>
      <c r="E505" s="845">
        <v>597344.4</v>
      </c>
      <c r="F505" s="917">
        <f t="shared" si="23"/>
        <v>100.00006696308994</v>
      </c>
      <c r="G505" s="991"/>
      <c r="H505" s="323"/>
    </row>
    <row r="506" spans="1:8" s="328" customFormat="1" ht="12" customHeight="1">
      <c r="A506" s="374"/>
      <c r="B506" s="326"/>
      <c r="C506" s="327" t="s">
        <v>305</v>
      </c>
      <c r="D506" s="918"/>
      <c r="E506" s="918"/>
      <c r="F506" s="919"/>
      <c r="G506" s="991"/>
      <c r="H506" s="323"/>
    </row>
    <row r="507" spans="1:7" s="81" customFormat="1" ht="18.75" customHeight="1">
      <c r="A507" s="361"/>
      <c r="B507" s="330"/>
      <c r="C507" s="331" t="s">
        <v>307</v>
      </c>
      <c r="D507" s="920">
        <f>SUM(D508,D509)</f>
        <v>535184</v>
      </c>
      <c r="E507" s="920">
        <f>SUM(E508,E509)</f>
        <v>535184.4</v>
      </c>
      <c r="F507" s="921">
        <f>E507/D507*100</f>
        <v>100.00007474064996</v>
      </c>
      <c r="G507" s="82"/>
    </row>
    <row r="508" spans="1:7" s="78" customFormat="1" ht="18.75" customHeight="1">
      <c r="A508" s="374"/>
      <c r="B508" s="326"/>
      <c r="C508" s="333" t="s">
        <v>280</v>
      </c>
      <c r="D508" s="918">
        <v>457922</v>
      </c>
      <c r="E508" s="918">
        <v>457922</v>
      </c>
      <c r="F508" s="922">
        <f>E508/D508*100</f>
        <v>100</v>
      </c>
      <c r="G508" s="82"/>
    </row>
    <row r="509" spans="1:7" s="78" customFormat="1" ht="18.75" customHeight="1">
      <c r="A509" s="374"/>
      <c r="B509" s="326"/>
      <c r="C509" s="333" t="s">
        <v>281</v>
      </c>
      <c r="D509" s="918">
        <v>77262</v>
      </c>
      <c r="E509" s="918">
        <v>77262.4</v>
      </c>
      <c r="F509" s="922">
        <f>E509/D509*100</f>
        <v>100.0005177189304</v>
      </c>
      <c r="G509" s="82"/>
    </row>
    <row r="510" spans="1:8" s="328" customFormat="1" ht="28.5" customHeight="1">
      <c r="A510" s="376"/>
      <c r="B510" s="338" t="s">
        <v>381</v>
      </c>
      <c r="C510" s="324" t="s">
        <v>382</v>
      </c>
      <c r="D510" s="844">
        <f>D511</f>
        <v>283678</v>
      </c>
      <c r="E510" s="844">
        <f>E511</f>
        <v>283677.54</v>
      </c>
      <c r="F510" s="916">
        <f>E510/D510*100</f>
        <v>99.99983784431643</v>
      </c>
      <c r="G510" s="991"/>
      <c r="H510" s="323"/>
    </row>
    <row r="511" spans="1:8" s="328" customFormat="1" ht="18.75" customHeight="1">
      <c r="A511" s="375"/>
      <c r="B511" s="322"/>
      <c r="C511" s="161" t="s">
        <v>288</v>
      </c>
      <c r="D511" s="845">
        <v>283678</v>
      </c>
      <c r="E511" s="845">
        <v>283677.54</v>
      </c>
      <c r="F511" s="917">
        <f>E511/D511*100</f>
        <v>99.99983784431643</v>
      </c>
      <c r="G511" s="991"/>
      <c r="H511" s="323"/>
    </row>
    <row r="512" spans="1:8" s="328" customFormat="1" ht="12" customHeight="1">
      <c r="A512" s="374"/>
      <c r="B512" s="326"/>
      <c r="C512" s="327" t="s">
        <v>305</v>
      </c>
      <c r="D512" s="918"/>
      <c r="E512" s="918"/>
      <c r="F512" s="919"/>
      <c r="G512" s="991"/>
      <c r="H512" s="323"/>
    </row>
    <row r="513" spans="1:8" s="332" customFormat="1" ht="18.75" customHeight="1">
      <c r="A513" s="361"/>
      <c r="B513" s="330"/>
      <c r="C513" s="331" t="s">
        <v>307</v>
      </c>
      <c r="D513" s="920">
        <f>SUM(D514,D515)</f>
        <v>213867</v>
      </c>
      <c r="E513" s="920">
        <f>SUM(E514,E515)</f>
        <v>213867.74</v>
      </c>
      <c r="F513" s="921">
        <f aca="true" t="shared" si="24" ref="F513:F527">E513/D513*100</f>
        <v>100.00034600943577</v>
      </c>
      <c r="G513" s="991"/>
      <c r="H513" s="337"/>
    </row>
    <row r="514" spans="1:8" s="328" customFormat="1" ht="18.75" customHeight="1">
      <c r="A514" s="374"/>
      <c r="B514" s="326"/>
      <c r="C514" s="333" t="s">
        <v>280</v>
      </c>
      <c r="D514" s="918">
        <v>185784</v>
      </c>
      <c r="E514" s="918">
        <v>185784.38</v>
      </c>
      <c r="F514" s="922">
        <f t="shared" si="24"/>
        <v>100.00020453860397</v>
      </c>
      <c r="G514" s="991"/>
      <c r="H514" s="323"/>
    </row>
    <row r="515" spans="1:8" s="328" customFormat="1" ht="18.75" customHeight="1">
      <c r="A515" s="374"/>
      <c r="B515" s="326"/>
      <c r="C515" s="333" t="s">
        <v>281</v>
      </c>
      <c r="D515" s="918">
        <v>28083</v>
      </c>
      <c r="E515" s="918">
        <v>28083.36</v>
      </c>
      <c r="F515" s="922">
        <f t="shared" si="24"/>
        <v>100.0012819143254</v>
      </c>
      <c r="G515" s="991"/>
      <c r="H515" s="323"/>
    </row>
    <row r="516" spans="1:7" s="78" customFormat="1" ht="18.75" customHeight="1">
      <c r="A516" s="376"/>
      <c r="B516" s="320" t="s">
        <v>383</v>
      </c>
      <c r="C516" s="172" t="s">
        <v>384</v>
      </c>
      <c r="D516" s="844">
        <f>D517</f>
        <v>36323</v>
      </c>
      <c r="E516" s="844">
        <f>E517</f>
        <v>36322.56</v>
      </c>
      <c r="F516" s="916">
        <f t="shared" si="24"/>
        <v>99.99878864631225</v>
      </c>
      <c r="G516" s="82"/>
    </row>
    <row r="517" spans="1:7" s="323" customFormat="1" ht="18.75" customHeight="1">
      <c r="A517" s="375"/>
      <c r="B517" s="322"/>
      <c r="C517" s="161" t="s">
        <v>288</v>
      </c>
      <c r="D517" s="845">
        <v>36323</v>
      </c>
      <c r="E517" s="845">
        <v>36322.56</v>
      </c>
      <c r="F517" s="917">
        <f t="shared" si="24"/>
        <v>99.99878864631225</v>
      </c>
      <c r="G517" s="991"/>
    </row>
    <row r="518" spans="1:8" s="328" customFormat="1" ht="18.75" customHeight="1">
      <c r="A518" s="376"/>
      <c r="B518" s="320" t="s">
        <v>385</v>
      </c>
      <c r="C518" s="172" t="s">
        <v>840</v>
      </c>
      <c r="D518" s="844">
        <f>SUM(D519,D524)</f>
        <v>61382</v>
      </c>
      <c r="E518" s="844">
        <f>SUM(E519,E524)</f>
        <v>61381.78</v>
      </c>
      <c r="F518" s="916">
        <f t="shared" si="24"/>
        <v>99.99964158873937</v>
      </c>
      <c r="G518" s="991"/>
      <c r="H518" s="323"/>
    </row>
    <row r="519" spans="1:8" s="328" customFormat="1" ht="18.75" customHeight="1">
      <c r="A519" s="375"/>
      <c r="B519" s="322"/>
      <c r="C519" s="161" t="s">
        <v>288</v>
      </c>
      <c r="D519" s="845">
        <v>61382</v>
      </c>
      <c r="E519" s="845">
        <v>61381.78</v>
      </c>
      <c r="F519" s="917">
        <f t="shared" si="24"/>
        <v>99.99964158873937</v>
      </c>
      <c r="G519" s="991"/>
      <c r="H519" s="323"/>
    </row>
    <row r="520" spans="1:8" s="328" customFormat="1" ht="12" customHeight="1">
      <c r="A520" s="374"/>
      <c r="B520" s="326"/>
      <c r="C520" s="327" t="s">
        <v>305</v>
      </c>
      <c r="D520" s="759"/>
      <c r="E520" s="918"/>
      <c r="F520" s="919"/>
      <c r="G520" s="991"/>
      <c r="H520" s="323"/>
    </row>
    <row r="521" spans="1:8" s="332" customFormat="1" ht="18.75" customHeight="1">
      <c r="A521" s="361"/>
      <c r="B521" s="330"/>
      <c r="C521" s="331" t="s">
        <v>307</v>
      </c>
      <c r="D521" s="920">
        <f>SUM(D522,D523)</f>
        <v>29011</v>
      </c>
      <c r="E521" s="920">
        <f>SUM(E522,E523)</f>
        <v>29010.28</v>
      </c>
      <c r="F521" s="921">
        <f>E521/D521*100</f>
        <v>99.99751818275826</v>
      </c>
      <c r="G521" s="991" t="s">
        <v>1293</v>
      </c>
      <c r="H521" s="337"/>
    </row>
    <row r="522" spans="1:8" s="328" customFormat="1" ht="18.75" customHeight="1">
      <c r="A522" s="374"/>
      <c r="B522" s="326"/>
      <c r="C522" s="333" t="s">
        <v>280</v>
      </c>
      <c r="D522" s="918">
        <v>25414</v>
      </c>
      <c r="E522" s="918">
        <v>25413.66</v>
      </c>
      <c r="F522" s="922">
        <f>E522/D522*100</f>
        <v>99.99866215471788</v>
      </c>
      <c r="G522" s="991" t="s">
        <v>1293</v>
      </c>
      <c r="H522" s="323"/>
    </row>
    <row r="523" spans="1:8" s="328" customFormat="1" ht="18.75" customHeight="1">
      <c r="A523" s="374"/>
      <c r="B523" s="326"/>
      <c r="C523" s="333" t="s">
        <v>281</v>
      </c>
      <c r="D523" s="918">
        <v>3597</v>
      </c>
      <c r="E523" s="918">
        <v>3596.62</v>
      </c>
      <c r="F523" s="922">
        <f>E523/D523*100</f>
        <v>99.98943564081179</v>
      </c>
      <c r="G523" s="991" t="s">
        <v>1293</v>
      </c>
      <c r="H523" s="323"/>
    </row>
    <row r="524" spans="1:8" s="328" customFormat="1" ht="18.75" customHeight="1" hidden="1">
      <c r="A524" s="375"/>
      <c r="B524" s="322"/>
      <c r="C524" s="161" t="s">
        <v>309</v>
      </c>
      <c r="D524" s="751">
        <v>0</v>
      </c>
      <c r="E524" s="751">
        <v>0</v>
      </c>
      <c r="F524" s="758" t="e">
        <f>E524/D524*100</f>
        <v>#DIV/0!</v>
      </c>
      <c r="G524" s="991"/>
      <c r="H524" s="323"/>
    </row>
    <row r="525" spans="1:7" s="78" customFormat="1" ht="18.75" customHeight="1">
      <c r="A525" s="377" t="s">
        <v>900</v>
      </c>
      <c r="B525" s="318"/>
      <c r="C525" s="173" t="s">
        <v>901</v>
      </c>
      <c r="D525" s="914">
        <f>SUM(D526,D533,D542)</f>
        <v>11699311</v>
      </c>
      <c r="E525" s="914">
        <f>SUM(E526,E533,E542)</f>
        <v>11567756.86</v>
      </c>
      <c r="F525" s="915">
        <f t="shared" si="24"/>
        <v>98.87553942279165</v>
      </c>
      <c r="G525" s="82"/>
    </row>
    <row r="526" spans="1:7" s="323" customFormat="1" ht="18.75" customHeight="1">
      <c r="A526" s="376"/>
      <c r="B526" s="320" t="s">
        <v>386</v>
      </c>
      <c r="C526" s="172" t="s">
        <v>387</v>
      </c>
      <c r="D526" s="844">
        <f>SUM(D527,D530)</f>
        <v>10921861</v>
      </c>
      <c r="E526" s="844">
        <f>SUM(E527,E530)</f>
        <v>10790766.86</v>
      </c>
      <c r="F526" s="916">
        <f t="shared" si="24"/>
        <v>98.79970876758091</v>
      </c>
      <c r="G526" s="991"/>
    </row>
    <row r="527" spans="1:8" s="328" customFormat="1" ht="18.75" customHeight="1">
      <c r="A527" s="375"/>
      <c r="B527" s="322"/>
      <c r="C527" s="161" t="s">
        <v>288</v>
      </c>
      <c r="D527" s="845">
        <v>2356200</v>
      </c>
      <c r="E527" s="845">
        <v>2317100</v>
      </c>
      <c r="F527" s="917">
        <f t="shared" si="24"/>
        <v>98.34054834054834</v>
      </c>
      <c r="G527" s="991"/>
      <c r="H527" s="323"/>
    </row>
    <row r="528" spans="1:8" s="328" customFormat="1" ht="12" customHeight="1">
      <c r="A528" s="374"/>
      <c r="B528" s="326"/>
      <c r="C528" s="327" t="s">
        <v>305</v>
      </c>
      <c r="D528" s="918"/>
      <c r="E528" s="918"/>
      <c r="F528" s="919"/>
      <c r="G528" s="991"/>
      <c r="H528" s="323"/>
    </row>
    <row r="529" spans="1:8" s="332" customFormat="1" ht="17.25" customHeight="1">
      <c r="A529" s="361"/>
      <c r="B529" s="330"/>
      <c r="C529" s="331" t="s">
        <v>308</v>
      </c>
      <c r="D529" s="920">
        <v>2356200</v>
      </c>
      <c r="E529" s="920">
        <v>2317100</v>
      </c>
      <c r="F529" s="921">
        <f>E529/D529*100</f>
        <v>98.34054834054834</v>
      </c>
      <c r="G529" s="991"/>
      <c r="H529" s="337"/>
    </row>
    <row r="530" spans="1:8" s="328" customFormat="1" ht="18.75" customHeight="1">
      <c r="A530" s="374"/>
      <c r="B530" s="326"/>
      <c r="C530" s="161" t="s">
        <v>309</v>
      </c>
      <c r="D530" s="845">
        <v>8565661</v>
      </c>
      <c r="E530" s="845">
        <v>8473666.86</v>
      </c>
      <c r="F530" s="917">
        <f>E530/D530*100</f>
        <v>98.9260123649535</v>
      </c>
      <c r="G530" s="991"/>
      <c r="H530" s="323"/>
    </row>
    <row r="531" spans="1:7" s="78" customFormat="1" ht="12" customHeight="1">
      <c r="A531" s="374"/>
      <c r="B531" s="326"/>
      <c r="C531" s="327" t="s">
        <v>305</v>
      </c>
      <c r="D531" s="918"/>
      <c r="E531" s="918"/>
      <c r="F531" s="919"/>
      <c r="G531" s="82"/>
    </row>
    <row r="532" spans="1:7" s="337" customFormat="1" ht="18.75" customHeight="1">
      <c r="A532" s="361"/>
      <c r="B532" s="330"/>
      <c r="C532" s="331" t="s">
        <v>308</v>
      </c>
      <c r="D532" s="920">
        <v>60000</v>
      </c>
      <c r="E532" s="920">
        <v>60000</v>
      </c>
      <c r="F532" s="921">
        <f>E532/D532*100</f>
        <v>100</v>
      </c>
      <c r="G532" s="991"/>
    </row>
    <row r="533" spans="1:7" s="78" customFormat="1" ht="27" customHeight="1">
      <c r="A533" s="376"/>
      <c r="B533" s="320" t="s">
        <v>388</v>
      </c>
      <c r="C533" s="324" t="s">
        <v>389</v>
      </c>
      <c r="D533" s="844">
        <f>D534+D539</f>
        <v>177450</v>
      </c>
      <c r="E533" s="844">
        <f>E534+E539</f>
        <v>176990</v>
      </c>
      <c r="F533" s="916">
        <f>E533/D533*100</f>
        <v>99.74077204846435</v>
      </c>
      <c r="G533" s="82"/>
    </row>
    <row r="534" spans="1:7" s="323" customFormat="1" ht="18.75" customHeight="1">
      <c r="A534" s="375"/>
      <c r="B534" s="322"/>
      <c r="C534" s="161" t="s">
        <v>288</v>
      </c>
      <c r="D534" s="845">
        <v>118930</v>
      </c>
      <c r="E534" s="845">
        <v>118470</v>
      </c>
      <c r="F534" s="916">
        <f>E534/D534*100</f>
        <v>99.61321785924493</v>
      </c>
      <c r="G534" s="991"/>
    </row>
    <row r="535" spans="1:8" s="328" customFormat="1" ht="12" customHeight="1">
      <c r="A535" s="374"/>
      <c r="B535" s="326"/>
      <c r="C535" s="327" t="s">
        <v>305</v>
      </c>
      <c r="D535" s="918"/>
      <c r="E535" s="759"/>
      <c r="F535" s="760"/>
      <c r="G535" s="991"/>
      <c r="H535" s="323"/>
    </row>
    <row r="536" spans="1:8" s="332" customFormat="1" ht="18" customHeight="1">
      <c r="A536" s="361"/>
      <c r="B536" s="330"/>
      <c r="C536" s="331" t="s">
        <v>307</v>
      </c>
      <c r="D536" s="920">
        <f>SUM(D537)</f>
        <v>4000</v>
      </c>
      <c r="E536" s="920">
        <f>SUM(E537)</f>
        <v>3540</v>
      </c>
      <c r="F536" s="921">
        <f>E536/D536*100</f>
        <v>88.5</v>
      </c>
      <c r="G536" s="991"/>
      <c r="H536" s="337"/>
    </row>
    <row r="537" spans="1:8" s="328" customFormat="1" ht="18" customHeight="1">
      <c r="A537" s="374"/>
      <c r="B537" s="326"/>
      <c r="C537" s="333" t="s">
        <v>280</v>
      </c>
      <c r="D537" s="918">
        <v>4000</v>
      </c>
      <c r="E537" s="918">
        <v>3540</v>
      </c>
      <c r="F537" s="922">
        <f>E537/D537*100</f>
        <v>88.5</v>
      </c>
      <c r="G537" s="991"/>
      <c r="H537" s="323"/>
    </row>
    <row r="538" spans="1:8" s="332" customFormat="1" ht="16.5" customHeight="1">
      <c r="A538" s="361"/>
      <c r="B538" s="330"/>
      <c r="C538" s="331" t="s">
        <v>308</v>
      </c>
      <c r="D538" s="920">
        <v>114930</v>
      </c>
      <c r="E538" s="920">
        <v>114930</v>
      </c>
      <c r="F538" s="921">
        <f>E538/D538*100</f>
        <v>100</v>
      </c>
      <c r="G538" s="991"/>
      <c r="H538" s="337"/>
    </row>
    <row r="539" spans="1:8" s="328" customFormat="1" ht="18.75" customHeight="1">
      <c r="A539" s="375"/>
      <c r="B539" s="322"/>
      <c r="C539" s="161" t="s">
        <v>309</v>
      </c>
      <c r="D539" s="845">
        <v>58520</v>
      </c>
      <c r="E539" s="845">
        <v>58520</v>
      </c>
      <c r="F539" s="917">
        <f>E539/D539*100</f>
        <v>100</v>
      </c>
      <c r="G539" s="991"/>
      <c r="H539" s="323"/>
    </row>
    <row r="540" spans="1:7" s="78" customFormat="1" ht="12" customHeight="1">
      <c r="A540" s="374"/>
      <c r="B540" s="326"/>
      <c r="C540" s="327" t="s">
        <v>305</v>
      </c>
      <c r="D540" s="918"/>
      <c r="E540" s="759"/>
      <c r="F540" s="760"/>
      <c r="G540" s="82"/>
    </row>
    <row r="541" spans="1:7" s="337" customFormat="1" ht="18.75" customHeight="1">
      <c r="A541" s="361"/>
      <c r="B541" s="330"/>
      <c r="C541" s="331" t="s">
        <v>308</v>
      </c>
      <c r="D541" s="920">
        <v>3520</v>
      </c>
      <c r="E541" s="920">
        <v>3520</v>
      </c>
      <c r="F541" s="921">
        <f aca="true" t="shared" si="25" ref="F541:F546">E541/D541*100</f>
        <v>100</v>
      </c>
      <c r="G541" s="991"/>
    </row>
    <row r="542" spans="1:8" s="328" customFormat="1" ht="40.5" customHeight="1">
      <c r="A542" s="376"/>
      <c r="B542" s="338" t="s">
        <v>1092</v>
      </c>
      <c r="C542" s="339" t="s">
        <v>282</v>
      </c>
      <c r="D542" s="844">
        <f>D543</f>
        <v>600000</v>
      </c>
      <c r="E542" s="844">
        <f>E543</f>
        <v>600000</v>
      </c>
      <c r="F542" s="916">
        <f t="shared" si="25"/>
        <v>100</v>
      </c>
      <c r="G542" s="991"/>
      <c r="H542" s="323"/>
    </row>
    <row r="543" spans="1:8" s="328" customFormat="1" ht="18.75" customHeight="1">
      <c r="A543" s="375"/>
      <c r="B543" s="322"/>
      <c r="C543" s="161" t="s">
        <v>288</v>
      </c>
      <c r="D543" s="845">
        <v>600000</v>
      </c>
      <c r="E543" s="845">
        <v>600000</v>
      </c>
      <c r="F543" s="919">
        <f t="shared" si="25"/>
        <v>100</v>
      </c>
      <c r="G543" s="991"/>
      <c r="H543" s="323"/>
    </row>
    <row r="544" spans="1:8" s="328" customFormat="1" ht="18.75" customHeight="1">
      <c r="A544" s="377" t="s">
        <v>19</v>
      </c>
      <c r="B544" s="318"/>
      <c r="C544" s="173" t="s">
        <v>397</v>
      </c>
      <c r="D544" s="914">
        <f>SUM(D545,D550,D556,D563,D569,D571)</f>
        <v>2919602</v>
      </c>
      <c r="E544" s="914">
        <f>SUM(E545,E550,E556,E563,E569,E571)</f>
        <v>2765114.4699999997</v>
      </c>
      <c r="F544" s="915">
        <f t="shared" si="25"/>
        <v>94.70860994066999</v>
      </c>
      <c r="G544" s="991"/>
      <c r="H544" s="323"/>
    </row>
    <row r="545" spans="1:7" s="78" customFormat="1" ht="18.75" customHeight="1">
      <c r="A545" s="376"/>
      <c r="B545" s="320" t="s">
        <v>20</v>
      </c>
      <c r="C545" s="172" t="s">
        <v>398</v>
      </c>
      <c r="D545" s="844">
        <f>SUM(D546,D549)</f>
        <v>887776</v>
      </c>
      <c r="E545" s="844">
        <f>SUM(E546,E549)</f>
        <v>846448.38</v>
      </c>
      <c r="F545" s="916">
        <f t="shared" si="25"/>
        <v>95.34481445770105</v>
      </c>
      <c r="G545" s="82"/>
    </row>
    <row r="546" spans="1:7" s="323" customFormat="1" ht="18.75" customHeight="1">
      <c r="A546" s="375"/>
      <c r="B546" s="322"/>
      <c r="C546" s="161" t="s">
        <v>288</v>
      </c>
      <c r="D546" s="845">
        <v>857776</v>
      </c>
      <c r="E546" s="845">
        <v>846448.38</v>
      </c>
      <c r="F546" s="917">
        <f t="shared" si="25"/>
        <v>98.67941980190632</v>
      </c>
      <c r="G546" s="991"/>
    </row>
    <row r="547" spans="1:7" s="323" customFormat="1" ht="12" customHeight="1">
      <c r="A547" s="375"/>
      <c r="B547" s="322"/>
      <c r="C547" s="327" t="s">
        <v>305</v>
      </c>
      <c r="D547" s="759"/>
      <c r="E547" s="918"/>
      <c r="F547" s="919"/>
      <c r="G547" s="991"/>
    </row>
    <row r="548" spans="1:7" s="337" customFormat="1" ht="18.75" customHeight="1">
      <c r="A548" s="378"/>
      <c r="B548" s="341"/>
      <c r="C548" s="331" t="s">
        <v>308</v>
      </c>
      <c r="D548" s="920">
        <v>796986</v>
      </c>
      <c r="E548" s="920">
        <v>789834.08</v>
      </c>
      <c r="F548" s="921">
        <f>E548/D548*100</f>
        <v>99.10262915534275</v>
      </c>
      <c r="G548" s="991"/>
    </row>
    <row r="549" spans="1:7" s="323" customFormat="1" ht="18.75" customHeight="1">
      <c r="A549" s="375"/>
      <c r="B549" s="322"/>
      <c r="C549" s="161" t="s">
        <v>309</v>
      </c>
      <c r="D549" s="845">
        <v>30000</v>
      </c>
      <c r="E549" s="845">
        <v>0</v>
      </c>
      <c r="F549" s="917">
        <f>E549/D549*100</f>
        <v>0</v>
      </c>
      <c r="G549" s="991"/>
    </row>
    <row r="550" spans="1:7" s="323" customFormat="1" ht="18.75" customHeight="1">
      <c r="A550" s="376"/>
      <c r="B550" s="320" t="s">
        <v>31</v>
      </c>
      <c r="C550" s="172" t="s">
        <v>1160</v>
      </c>
      <c r="D550" s="844">
        <f>SUM(D551)</f>
        <v>376569</v>
      </c>
      <c r="E550" s="844">
        <f>SUM(E551)</f>
        <v>352177.11</v>
      </c>
      <c r="F550" s="916">
        <f>E550/D550*100</f>
        <v>93.52259745225973</v>
      </c>
      <c r="G550" s="991"/>
    </row>
    <row r="551" spans="1:8" s="328" customFormat="1" ht="18.75" customHeight="1">
      <c r="A551" s="375"/>
      <c r="B551" s="322"/>
      <c r="C551" s="161" t="s">
        <v>288</v>
      </c>
      <c r="D551" s="845">
        <v>376569</v>
      </c>
      <c r="E551" s="845">
        <v>352177.11</v>
      </c>
      <c r="F551" s="917">
        <f>E551/D551*100</f>
        <v>93.52259745225973</v>
      </c>
      <c r="G551" s="991"/>
      <c r="H551" s="323"/>
    </row>
    <row r="552" spans="1:8" s="328" customFormat="1" ht="9.75" customHeight="1">
      <c r="A552" s="375"/>
      <c r="B552" s="322"/>
      <c r="C552" s="327" t="s">
        <v>305</v>
      </c>
      <c r="D552" s="918"/>
      <c r="E552" s="918"/>
      <c r="F552" s="919"/>
      <c r="G552" s="991"/>
      <c r="H552" s="323"/>
    </row>
    <row r="553" spans="1:8" s="332" customFormat="1" ht="18" customHeight="1">
      <c r="A553" s="378"/>
      <c r="B553" s="341"/>
      <c r="C553" s="331" t="s">
        <v>307</v>
      </c>
      <c r="D553" s="920">
        <f>SUM(D554,D555)</f>
        <v>212058</v>
      </c>
      <c r="E553" s="920">
        <f>SUM(E554,E555)</f>
        <v>200650.09999999998</v>
      </c>
      <c r="F553" s="921">
        <f>E553/D553*100</f>
        <v>94.62038687528882</v>
      </c>
      <c r="G553" s="991"/>
      <c r="H553" s="337"/>
    </row>
    <row r="554" spans="1:8" s="328" customFormat="1" ht="18" customHeight="1">
      <c r="A554" s="375"/>
      <c r="B554" s="322"/>
      <c r="C554" s="333" t="s">
        <v>280</v>
      </c>
      <c r="D554" s="918">
        <v>198435</v>
      </c>
      <c r="E554" s="918">
        <v>187758.52</v>
      </c>
      <c r="F554" s="922">
        <f>E554/D554*100</f>
        <v>94.61965883034746</v>
      </c>
      <c r="G554" s="991"/>
      <c r="H554" s="323"/>
    </row>
    <row r="555" spans="1:8" s="328" customFormat="1" ht="18" customHeight="1">
      <c r="A555" s="375"/>
      <c r="B555" s="322"/>
      <c r="C555" s="333" t="s">
        <v>281</v>
      </c>
      <c r="D555" s="918">
        <v>13623</v>
      </c>
      <c r="E555" s="918">
        <v>12891.58</v>
      </c>
      <c r="F555" s="922">
        <f>E555/D555*100</f>
        <v>94.63099170520444</v>
      </c>
      <c r="G555" s="991"/>
      <c r="H555" s="323"/>
    </row>
    <row r="556" spans="1:8" s="328" customFormat="1" ht="18.75" customHeight="1">
      <c r="A556" s="376"/>
      <c r="B556" s="320" t="s">
        <v>401</v>
      </c>
      <c r="C556" s="172" t="s">
        <v>402</v>
      </c>
      <c r="D556" s="844">
        <f>D557</f>
        <v>1460627</v>
      </c>
      <c r="E556" s="844">
        <f>E557</f>
        <v>1405755.28</v>
      </c>
      <c r="F556" s="916">
        <f>E556/D556*100</f>
        <v>96.24327634639097</v>
      </c>
      <c r="G556" s="991"/>
      <c r="H556" s="323"/>
    </row>
    <row r="557" spans="1:8" s="328" customFormat="1" ht="18.75" customHeight="1">
      <c r="A557" s="375"/>
      <c r="B557" s="322"/>
      <c r="C557" s="161" t="s">
        <v>288</v>
      </c>
      <c r="D557" s="845">
        <v>1460627</v>
      </c>
      <c r="E557" s="845">
        <v>1405755.28</v>
      </c>
      <c r="F557" s="917">
        <f>E557/D557*100</f>
        <v>96.24327634639097</v>
      </c>
      <c r="G557" s="991"/>
      <c r="H557" s="323"/>
    </row>
    <row r="558" spans="1:7" s="78" customFormat="1" ht="12" customHeight="1">
      <c r="A558" s="374"/>
      <c r="B558" s="326"/>
      <c r="C558" s="327" t="s">
        <v>305</v>
      </c>
      <c r="D558" s="918"/>
      <c r="E558" s="918"/>
      <c r="F558" s="989"/>
      <c r="G558" s="82"/>
    </row>
    <row r="559" spans="1:7" s="337" customFormat="1" ht="18.75" customHeight="1">
      <c r="A559" s="361"/>
      <c r="B559" s="330"/>
      <c r="C559" s="331" t="s">
        <v>307</v>
      </c>
      <c r="D559" s="920">
        <f>SUM(D560,D561)</f>
        <v>152143</v>
      </c>
      <c r="E559" s="920">
        <f>SUM(E560,E561)</f>
        <v>148231.17</v>
      </c>
      <c r="F559" s="921">
        <f aca="true" t="shared" si="26" ref="F559:F564">E559/D559*100</f>
        <v>97.428846545684</v>
      </c>
      <c r="G559" s="991"/>
    </row>
    <row r="560" spans="1:7" s="323" customFormat="1" ht="18.75" customHeight="1">
      <c r="A560" s="374"/>
      <c r="B560" s="326"/>
      <c r="C560" s="333" t="s">
        <v>280</v>
      </c>
      <c r="D560" s="918">
        <v>126902</v>
      </c>
      <c r="E560" s="918">
        <v>126192.13</v>
      </c>
      <c r="F560" s="922">
        <f t="shared" si="26"/>
        <v>99.44061559313486</v>
      </c>
      <c r="G560" s="991"/>
    </row>
    <row r="561" spans="1:7" s="323" customFormat="1" ht="18.75" customHeight="1">
      <c r="A561" s="374"/>
      <c r="B561" s="326"/>
      <c r="C561" s="333" t="s">
        <v>281</v>
      </c>
      <c r="D561" s="918">
        <v>25241</v>
      </c>
      <c r="E561" s="918">
        <v>22039.04</v>
      </c>
      <c r="F561" s="922">
        <f t="shared" si="26"/>
        <v>87.31444871439325</v>
      </c>
      <c r="G561" s="991"/>
    </row>
    <row r="562" spans="1:8" s="332" customFormat="1" ht="18.75" customHeight="1">
      <c r="A562" s="361"/>
      <c r="B562" s="330"/>
      <c r="C562" s="331" t="s">
        <v>308</v>
      </c>
      <c r="D562" s="920">
        <v>108769</v>
      </c>
      <c r="E562" s="920">
        <v>91016.12</v>
      </c>
      <c r="F562" s="921">
        <f t="shared" si="26"/>
        <v>83.67836423981097</v>
      </c>
      <c r="G562" s="991"/>
      <c r="H562" s="337"/>
    </row>
    <row r="563" spans="1:7" s="323" customFormat="1" ht="18.75" customHeight="1">
      <c r="A563" s="376"/>
      <c r="B563" s="320" t="s">
        <v>403</v>
      </c>
      <c r="C563" s="165" t="s">
        <v>404</v>
      </c>
      <c r="D563" s="844">
        <f>D564</f>
        <v>158999</v>
      </c>
      <c r="E563" s="844">
        <f>E564</f>
        <v>142503.32</v>
      </c>
      <c r="F563" s="916">
        <f t="shared" si="26"/>
        <v>89.625293240838</v>
      </c>
      <c r="G563" s="991"/>
    </row>
    <row r="564" spans="1:7" s="323" customFormat="1" ht="18.75" customHeight="1">
      <c r="A564" s="375"/>
      <c r="B564" s="322"/>
      <c r="C564" s="161" t="s">
        <v>288</v>
      </c>
      <c r="D564" s="845">
        <v>158999</v>
      </c>
      <c r="E564" s="845">
        <v>142503.32</v>
      </c>
      <c r="F564" s="917">
        <f t="shared" si="26"/>
        <v>89.625293240838</v>
      </c>
      <c r="G564" s="991"/>
    </row>
    <row r="565" spans="1:7" s="323" customFormat="1" ht="12" customHeight="1">
      <c r="A565" s="374"/>
      <c r="B565" s="326"/>
      <c r="C565" s="327" t="s">
        <v>305</v>
      </c>
      <c r="D565" s="918"/>
      <c r="E565" s="918"/>
      <c r="F565" s="919"/>
      <c r="G565" s="991"/>
    </row>
    <row r="566" spans="1:8" s="332" customFormat="1" ht="18.75" customHeight="1">
      <c r="A566" s="361"/>
      <c r="B566" s="330"/>
      <c r="C566" s="331" t="s">
        <v>307</v>
      </c>
      <c r="D566" s="920">
        <f>SUM(D567,D568)</f>
        <v>147534</v>
      </c>
      <c r="E566" s="920">
        <f>SUM(E567,E568)</f>
        <v>132007.19</v>
      </c>
      <c r="F566" s="921">
        <f>E566/D566*100</f>
        <v>89.4757750755758</v>
      </c>
      <c r="G566" s="991"/>
      <c r="H566" s="337"/>
    </row>
    <row r="567" spans="1:8" s="328" customFormat="1" ht="18.75" customHeight="1">
      <c r="A567" s="374"/>
      <c r="B567" s="326"/>
      <c r="C567" s="333" t="s">
        <v>280</v>
      </c>
      <c r="D567" s="918">
        <v>124834</v>
      </c>
      <c r="E567" s="918">
        <v>114899.72</v>
      </c>
      <c r="F567" s="922">
        <f>E567/D567*100</f>
        <v>92.04200778634026</v>
      </c>
      <c r="G567" s="991"/>
      <c r="H567" s="323"/>
    </row>
    <row r="568" spans="1:8" s="328" customFormat="1" ht="18.75" customHeight="1">
      <c r="A568" s="374"/>
      <c r="B568" s="326"/>
      <c r="C568" s="333" t="s">
        <v>281</v>
      </c>
      <c r="D568" s="918">
        <v>22700</v>
      </c>
      <c r="E568" s="918">
        <v>17107.47</v>
      </c>
      <c r="F568" s="922">
        <f>E568/D568*100</f>
        <v>75.3633039647577</v>
      </c>
      <c r="G568" s="991"/>
      <c r="H568" s="323"/>
    </row>
    <row r="569" spans="1:7" s="323" customFormat="1" ht="31.5" customHeight="1">
      <c r="A569" s="376"/>
      <c r="B569" s="320" t="s">
        <v>533</v>
      </c>
      <c r="C569" s="339" t="s">
        <v>534</v>
      </c>
      <c r="D569" s="844">
        <f>D570</f>
        <v>10000</v>
      </c>
      <c r="E569" s="844">
        <f>E570</f>
        <v>10000</v>
      </c>
      <c r="F569" s="916">
        <f>E569/D569*100</f>
        <v>100</v>
      </c>
      <c r="G569" s="991" t="s">
        <v>1293</v>
      </c>
    </row>
    <row r="570" spans="1:7" s="323" customFormat="1" ht="18.75" customHeight="1">
      <c r="A570" s="375"/>
      <c r="B570" s="322"/>
      <c r="C570" s="161" t="s">
        <v>288</v>
      </c>
      <c r="D570" s="845">
        <v>10000</v>
      </c>
      <c r="E570" s="845">
        <v>10000</v>
      </c>
      <c r="F570" s="917">
        <f>E570/D570*100</f>
        <v>100</v>
      </c>
      <c r="G570" s="991" t="s">
        <v>1293</v>
      </c>
    </row>
    <row r="571" spans="1:7" s="323" customFormat="1" ht="18.75" customHeight="1">
      <c r="A571" s="376"/>
      <c r="B571" s="320" t="s">
        <v>29</v>
      </c>
      <c r="C571" s="172" t="s">
        <v>840</v>
      </c>
      <c r="D571" s="844">
        <f>D572</f>
        <v>25631</v>
      </c>
      <c r="E571" s="844">
        <f>E572</f>
        <v>8230.38</v>
      </c>
      <c r="F571" s="916">
        <f aca="true" t="shared" si="27" ref="F571:F577">E571/D571*100</f>
        <v>32.111037415629504</v>
      </c>
      <c r="G571" s="991"/>
    </row>
    <row r="572" spans="1:8" s="328" customFormat="1" ht="18.75" customHeight="1">
      <c r="A572" s="375"/>
      <c r="B572" s="322"/>
      <c r="C572" s="161" t="s">
        <v>288</v>
      </c>
      <c r="D572" s="845">
        <v>25631</v>
      </c>
      <c r="E572" s="845">
        <v>8230.38</v>
      </c>
      <c r="F572" s="917">
        <f t="shared" si="27"/>
        <v>32.111037415629504</v>
      </c>
      <c r="G572" s="991"/>
      <c r="H572" s="323"/>
    </row>
    <row r="573" spans="1:7" s="323" customFormat="1" ht="27" customHeight="1">
      <c r="A573" s="377" t="s">
        <v>904</v>
      </c>
      <c r="B573" s="318"/>
      <c r="C573" s="335" t="s">
        <v>405</v>
      </c>
      <c r="D573" s="914">
        <f>SUM(D574,D578,D582,D588)</f>
        <v>1381725</v>
      </c>
      <c r="E573" s="914">
        <f>SUM(E574,E578,E582,E588)</f>
        <v>1357734.75</v>
      </c>
      <c r="F573" s="915">
        <f t="shared" si="27"/>
        <v>98.26374640395159</v>
      </c>
      <c r="G573" s="991"/>
    </row>
    <row r="574" spans="1:7" s="323" customFormat="1" ht="30.75" customHeight="1">
      <c r="A574" s="376"/>
      <c r="B574" s="320" t="s">
        <v>817</v>
      </c>
      <c r="C574" s="324" t="s">
        <v>820</v>
      </c>
      <c r="D574" s="844">
        <f>SUM(D575)</f>
        <v>33535</v>
      </c>
      <c r="E574" s="844">
        <f>SUM(E575)</f>
        <v>33535</v>
      </c>
      <c r="F574" s="915">
        <f t="shared" si="27"/>
        <v>100</v>
      </c>
      <c r="G574" s="991"/>
    </row>
    <row r="575" spans="1:7" s="323" customFormat="1" ht="18" customHeight="1">
      <c r="A575" s="375"/>
      <c r="B575" s="322"/>
      <c r="C575" s="161" t="s">
        <v>288</v>
      </c>
      <c r="D575" s="845">
        <v>33535</v>
      </c>
      <c r="E575" s="845">
        <v>33535</v>
      </c>
      <c r="F575" s="917">
        <f t="shared" si="27"/>
        <v>100</v>
      </c>
      <c r="G575" s="991"/>
    </row>
    <row r="576" spans="1:7" s="323" customFormat="1" ht="12" customHeight="1">
      <c r="A576" s="376"/>
      <c r="B576" s="320"/>
      <c r="C576" s="327" t="s">
        <v>305</v>
      </c>
      <c r="D576" s="844"/>
      <c r="E576" s="844"/>
      <c r="F576" s="915"/>
      <c r="G576" s="991"/>
    </row>
    <row r="577" spans="1:8" s="332" customFormat="1" ht="18" customHeight="1">
      <c r="A577" s="361"/>
      <c r="B577" s="330"/>
      <c r="C577" s="331" t="s">
        <v>308</v>
      </c>
      <c r="D577" s="920">
        <v>33535</v>
      </c>
      <c r="E577" s="920">
        <v>33535</v>
      </c>
      <c r="F577" s="921">
        <f t="shared" si="27"/>
        <v>100</v>
      </c>
      <c r="G577" s="991"/>
      <c r="H577" s="337"/>
    </row>
    <row r="578" spans="1:7" s="323" customFormat="1" ht="18.75" customHeight="1">
      <c r="A578" s="376"/>
      <c r="B578" s="320" t="s">
        <v>914</v>
      </c>
      <c r="C578" s="342" t="s">
        <v>1166</v>
      </c>
      <c r="D578" s="966">
        <f>D579</f>
        <v>31000</v>
      </c>
      <c r="E578" s="966">
        <f>E579</f>
        <v>31000</v>
      </c>
      <c r="F578" s="916">
        <f>E578/D578*100</f>
        <v>100</v>
      </c>
      <c r="G578" s="991"/>
    </row>
    <row r="579" spans="1:7" s="81" customFormat="1" ht="18.75" customHeight="1">
      <c r="A579" s="375"/>
      <c r="B579" s="322"/>
      <c r="C579" s="161" t="s">
        <v>288</v>
      </c>
      <c r="D579" s="845">
        <v>31000</v>
      </c>
      <c r="E579" s="845">
        <v>31000</v>
      </c>
      <c r="F579" s="917">
        <f>E579/D579*100</f>
        <v>100</v>
      </c>
      <c r="G579" s="82"/>
    </row>
    <row r="580" spans="1:7" s="323" customFormat="1" ht="12" customHeight="1">
      <c r="A580" s="374"/>
      <c r="B580" s="326"/>
      <c r="C580" s="327" t="s">
        <v>305</v>
      </c>
      <c r="D580" s="918"/>
      <c r="E580" s="918"/>
      <c r="F580" s="919"/>
      <c r="G580" s="991"/>
    </row>
    <row r="581" spans="1:7" s="337" customFormat="1" ht="18.75" customHeight="1">
      <c r="A581" s="361"/>
      <c r="B581" s="330"/>
      <c r="C581" s="331" t="s">
        <v>308</v>
      </c>
      <c r="D581" s="920">
        <v>31000</v>
      </c>
      <c r="E581" s="920">
        <v>31000</v>
      </c>
      <c r="F581" s="921">
        <f>E581/D581*100</f>
        <v>100</v>
      </c>
      <c r="G581" s="991"/>
    </row>
    <row r="582" spans="1:7" s="323" customFormat="1" ht="18.75" customHeight="1">
      <c r="A582" s="376"/>
      <c r="B582" s="320" t="s">
        <v>407</v>
      </c>
      <c r="C582" s="172" t="s">
        <v>408</v>
      </c>
      <c r="D582" s="844">
        <f>SUM(D583)</f>
        <v>807422</v>
      </c>
      <c r="E582" s="844">
        <f>SUM(E583)</f>
        <v>807415.77</v>
      </c>
      <c r="F582" s="916">
        <f>E582/D582*100</f>
        <v>99.9992284084407</v>
      </c>
      <c r="G582" s="991"/>
    </row>
    <row r="583" spans="1:7" s="323" customFormat="1" ht="18.75" customHeight="1">
      <c r="A583" s="375"/>
      <c r="B583" s="322"/>
      <c r="C583" s="161" t="s">
        <v>288</v>
      </c>
      <c r="D583" s="845">
        <v>807422</v>
      </c>
      <c r="E583" s="845">
        <v>807415.77</v>
      </c>
      <c r="F583" s="917">
        <f>E583/D583*100</f>
        <v>99.9992284084407</v>
      </c>
      <c r="G583" s="991"/>
    </row>
    <row r="584" spans="1:7" s="323" customFormat="1" ht="12" customHeight="1">
      <c r="A584" s="374"/>
      <c r="B584" s="326"/>
      <c r="C584" s="327" t="s">
        <v>305</v>
      </c>
      <c r="D584" s="918"/>
      <c r="E584" s="918"/>
      <c r="F584" s="919"/>
      <c r="G584" s="991"/>
    </row>
    <row r="585" spans="1:7" s="337" customFormat="1" ht="18.75" customHeight="1">
      <c r="A585" s="361"/>
      <c r="B585" s="330"/>
      <c r="C585" s="331" t="s">
        <v>307</v>
      </c>
      <c r="D585" s="920">
        <f>SUM(D586,D587)</f>
        <v>711344</v>
      </c>
      <c r="E585" s="920">
        <f>SUM(E586,E587)</f>
        <v>711343.3400000001</v>
      </c>
      <c r="F585" s="921">
        <f aca="true" t="shared" si="28" ref="F585:F596">E585/D585*100</f>
        <v>99.99990721788615</v>
      </c>
      <c r="G585" s="991"/>
    </row>
    <row r="586" spans="1:7" s="323" customFormat="1" ht="18.75" customHeight="1">
      <c r="A586" s="374"/>
      <c r="B586" s="326"/>
      <c r="C586" s="333" t="s">
        <v>280</v>
      </c>
      <c r="D586" s="918">
        <v>607128</v>
      </c>
      <c r="E586" s="918">
        <v>607127.41</v>
      </c>
      <c r="F586" s="922">
        <f t="shared" si="28"/>
        <v>99.9999028211514</v>
      </c>
      <c r="G586" s="991"/>
    </row>
    <row r="587" spans="1:7" s="323" customFormat="1" ht="18.75" customHeight="1">
      <c r="A587" s="374"/>
      <c r="B587" s="326"/>
      <c r="C587" s="333" t="s">
        <v>281</v>
      </c>
      <c r="D587" s="918">
        <v>104216</v>
      </c>
      <c r="E587" s="918">
        <v>104215.93</v>
      </c>
      <c r="F587" s="922">
        <f t="shared" si="28"/>
        <v>99.99993283181084</v>
      </c>
      <c r="G587" s="991"/>
    </row>
    <row r="588" spans="1:7" s="323" customFormat="1" ht="18" customHeight="1">
      <c r="A588" s="376"/>
      <c r="B588" s="320" t="s">
        <v>409</v>
      </c>
      <c r="C588" s="324" t="s">
        <v>840</v>
      </c>
      <c r="D588" s="844">
        <f>SUM(D589)</f>
        <v>509768</v>
      </c>
      <c r="E588" s="844">
        <f>SUM(E589)</f>
        <v>485783.98</v>
      </c>
      <c r="F588" s="916">
        <f t="shared" si="28"/>
        <v>95.29511071703206</v>
      </c>
      <c r="G588" s="991"/>
    </row>
    <row r="589" spans="1:7" s="323" customFormat="1" ht="18.75" customHeight="1">
      <c r="A589" s="374"/>
      <c r="B589" s="326"/>
      <c r="C589" s="161" t="s">
        <v>288</v>
      </c>
      <c r="D589" s="845">
        <v>509768</v>
      </c>
      <c r="E589" s="845">
        <v>485783.98</v>
      </c>
      <c r="F589" s="917">
        <f t="shared" si="28"/>
        <v>95.29511071703206</v>
      </c>
      <c r="G589" s="991"/>
    </row>
    <row r="590" spans="1:7" s="323" customFormat="1" ht="12" customHeight="1">
      <c r="A590" s="374"/>
      <c r="B590" s="326"/>
      <c r="C590" s="327" t="s">
        <v>305</v>
      </c>
      <c r="D590" s="918"/>
      <c r="E590" s="918"/>
      <c r="F590" s="919"/>
      <c r="G590" s="991"/>
    </row>
    <row r="591" spans="1:7" s="337" customFormat="1" ht="18.75" customHeight="1">
      <c r="A591" s="361"/>
      <c r="B591" s="330"/>
      <c r="C591" s="331" t="s">
        <v>307</v>
      </c>
      <c r="D591" s="920">
        <f>SUM(D592,D593)</f>
        <v>242277</v>
      </c>
      <c r="E591" s="920">
        <f>SUM(E592,E593)</f>
        <v>234558.68</v>
      </c>
      <c r="F591" s="921">
        <f>E591/D591*100</f>
        <v>96.81425805998917</v>
      </c>
      <c r="G591" s="991"/>
    </row>
    <row r="592" spans="1:7" s="323" customFormat="1" ht="18.75" customHeight="1">
      <c r="A592" s="374"/>
      <c r="B592" s="326"/>
      <c r="C592" s="333" t="s">
        <v>280</v>
      </c>
      <c r="D592" s="918">
        <v>220415</v>
      </c>
      <c r="E592" s="918">
        <v>213968.5</v>
      </c>
      <c r="F592" s="922">
        <f>E592/D592*100</f>
        <v>97.07528979425174</v>
      </c>
      <c r="G592" s="991"/>
    </row>
    <row r="593" spans="1:7" s="323" customFormat="1" ht="18.75" customHeight="1">
      <c r="A593" s="374"/>
      <c r="B593" s="326"/>
      <c r="C593" s="333" t="s">
        <v>281</v>
      </c>
      <c r="D593" s="918">
        <v>21862</v>
      </c>
      <c r="E593" s="918">
        <v>20590.18</v>
      </c>
      <c r="F593" s="922">
        <f>E593/D593*100</f>
        <v>94.18250846217181</v>
      </c>
      <c r="G593" s="991"/>
    </row>
    <row r="594" spans="1:7" s="323" customFormat="1" ht="18.75" customHeight="1">
      <c r="A594" s="377" t="s">
        <v>916</v>
      </c>
      <c r="B594" s="318"/>
      <c r="C594" s="335" t="s">
        <v>920</v>
      </c>
      <c r="D594" s="914">
        <f>SUM(D595,D602,D608,D619,D625,D627,D633,D637,D639)</f>
        <v>4149496</v>
      </c>
      <c r="E594" s="914">
        <f>SUM(E595,E602,E608,E619,E625,E627,E633,E637,E639)</f>
        <v>4149495.95</v>
      </c>
      <c r="F594" s="915">
        <f t="shared" si="28"/>
        <v>99.9999987950344</v>
      </c>
      <c r="G594" s="991"/>
    </row>
    <row r="595" spans="1:8" s="328" customFormat="1" ht="18.75" customHeight="1">
      <c r="A595" s="376"/>
      <c r="B595" s="320" t="s">
        <v>921</v>
      </c>
      <c r="C595" s="324" t="s">
        <v>983</v>
      </c>
      <c r="D595" s="844">
        <f>SUM(D596,D601)</f>
        <v>1842939</v>
      </c>
      <c r="E595" s="844">
        <f>SUM(E596,E601)</f>
        <v>1842938.84</v>
      </c>
      <c r="F595" s="916">
        <f t="shared" si="28"/>
        <v>99.9999913182151</v>
      </c>
      <c r="G595" s="991"/>
      <c r="H595" s="323"/>
    </row>
    <row r="596" spans="1:7" s="81" customFormat="1" ht="18.75" customHeight="1">
      <c r="A596" s="375"/>
      <c r="B596" s="322"/>
      <c r="C596" s="161" t="s">
        <v>288</v>
      </c>
      <c r="D596" s="845">
        <v>1837693</v>
      </c>
      <c r="E596" s="845">
        <v>1837692.84</v>
      </c>
      <c r="F596" s="917">
        <f t="shared" si="28"/>
        <v>99.9999912934315</v>
      </c>
      <c r="G596" s="82"/>
    </row>
    <row r="597" spans="1:7" s="78" customFormat="1" ht="12" customHeight="1">
      <c r="A597" s="374"/>
      <c r="B597" s="326"/>
      <c r="C597" s="327" t="s">
        <v>305</v>
      </c>
      <c r="D597" s="918"/>
      <c r="E597" s="918"/>
      <c r="F597" s="919"/>
      <c r="G597" s="82"/>
    </row>
    <row r="598" spans="1:7" s="337" customFormat="1" ht="18.75" customHeight="1">
      <c r="A598" s="361"/>
      <c r="B598" s="330"/>
      <c r="C598" s="331" t="s">
        <v>307</v>
      </c>
      <c r="D598" s="920">
        <f>SUM(D599,D600)</f>
        <v>1552352</v>
      </c>
      <c r="E598" s="920">
        <f>SUM(E599,E600)</f>
        <v>1552351.55</v>
      </c>
      <c r="F598" s="921">
        <f aca="true" t="shared" si="29" ref="F598:F603">E598/D598*100</f>
        <v>99.9999710117293</v>
      </c>
      <c r="G598" s="991"/>
    </row>
    <row r="599" spans="1:7" s="323" customFormat="1" ht="18.75" customHeight="1">
      <c r="A599" s="374"/>
      <c r="B599" s="326"/>
      <c r="C599" s="333" t="s">
        <v>280</v>
      </c>
      <c r="D599" s="918">
        <v>1318572</v>
      </c>
      <c r="E599" s="918">
        <v>1318571.55</v>
      </c>
      <c r="F599" s="922">
        <f t="shared" si="29"/>
        <v>99.9999658721708</v>
      </c>
      <c r="G599" s="991"/>
    </row>
    <row r="600" spans="1:7" s="323" customFormat="1" ht="18.75" customHeight="1">
      <c r="A600" s="374"/>
      <c r="B600" s="326"/>
      <c r="C600" s="333" t="s">
        <v>281</v>
      </c>
      <c r="D600" s="918">
        <v>233780</v>
      </c>
      <c r="E600" s="918">
        <v>233780</v>
      </c>
      <c r="F600" s="922">
        <f t="shared" si="29"/>
        <v>100</v>
      </c>
      <c r="G600" s="991"/>
    </row>
    <row r="601" spans="1:7" s="927" customFormat="1" ht="18.75" customHeight="1">
      <c r="A601" s="947"/>
      <c r="B601" s="934"/>
      <c r="C601" s="930" t="s">
        <v>309</v>
      </c>
      <c r="D601" s="931">
        <v>5246</v>
      </c>
      <c r="E601" s="931">
        <v>5246</v>
      </c>
      <c r="F601" s="932">
        <f t="shared" si="29"/>
        <v>100</v>
      </c>
      <c r="G601" s="991"/>
    </row>
    <row r="602" spans="1:8" s="938" customFormat="1" ht="20.25" customHeight="1">
      <c r="A602" s="923"/>
      <c r="B602" s="979" t="s">
        <v>1294</v>
      </c>
      <c r="C602" s="971" t="s">
        <v>1295</v>
      </c>
      <c r="D602" s="925">
        <f>D603</f>
        <v>40754</v>
      </c>
      <c r="E602" s="925">
        <f>E603</f>
        <v>40753.29</v>
      </c>
      <c r="F602" s="926">
        <f t="shared" si="29"/>
        <v>99.99825783972126</v>
      </c>
      <c r="G602" s="991"/>
      <c r="H602" s="927"/>
    </row>
    <row r="603" spans="1:8" s="938" customFormat="1" ht="18.75" customHeight="1">
      <c r="A603" s="969"/>
      <c r="B603" s="929"/>
      <c r="C603" s="930" t="s">
        <v>288</v>
      </c>
      <c r="D603" s="931">
        <v>40754</v>
      </c>
      <c r="E603" s="931">
        <v>40753.29</v>
      </c>
      <c r="F603" s="932">
        <f t="shared" si="29"/>
        <v>99.99825783972126</v>
      </c>
      <c r="G603" s="991"/>
      <c r="H603" s="927"/>
    </row>
    <row r="604" spans="1:7" s="948" customFormat="1" ht="12" customHeight="1">
      <c r="A604" s="947"/>
      <c r="B604" s="934"/>
      <c r="C604" s="935" t="s">
        <v>305</v>
      </c>
      <c r="D604" s="936"/>
      <c r="E604" s="936"/>
      <c r="F604" s="937"/>
      <c r="G604" s="82"/>
    </row>
    <row r="605" spans="1:7" s="980" customFormat="1" ht="18.75" customHeight="1">
      <c r="A605" s="973"/>
      <c r="B605" s="940"/>
      <c r="C605" s="941" t="s">
        <v>307</v>
      </c>
      <c r="D605" s="942">
        <f>SUM(D606,D607)</f>
        <v>12331</v>
      </c>
      <c r="E605" s="942">
        <f>SUM(E606,E607)</f>
        <v>12330.25</v>
      </c>
      <c r="F605" s="943">
        <f>E605/D605*100</f>
        <v>99.99391776822642</v>
      </c>
      <c r="G605" s="991"/>
    </row>
    <row r="606" spans="1:7" s="927" customFormat="1" ht="18.75" customHeight="1">
      <c r="A606" s="947"/>
      <c r="B606" s="934"/>
      <c r="C606" s="945" t="s">
        <v>280</v>
      </c>
      <c r="D606" s="936">
        <v>10448</v>
      </c>
      <c r="E606" s="936">
        <v>10447.5</v>
      </c>
      <c r="F606" s="946">
        <f>E606/D606*100</f>
        <v>99.99521439509954</v>
      </c>
      <c r="G606" s="991"/>
    </row>
    <row r="607" spans="1:7" s="927" customFormat="1" ht="18.75" customHeight="1">
      <c r="A607" s="947"/>
      <c r="B607" s="934"/>
      <c r="C607" s="945" t="s">
        <v>281</v>
      </c>
      <c r="D607" s="936">
        <v>1883</v>
      </c>
      <c r="E607" s="936">
        <v>1882.75</v>
      </c>
      <c r="F607" s="946">
        <f>E607/D607*100</f>
        <v>99.98672331386086</v>
      </c>
      <c r="G607" s="991"/>
    </row>
    <row r="608" spans="1:8" s="328" customFormat="1" ht="27" customHeight="1">
      <c r="A608" s="376"/>
      <c r="B608" s="338" t="s">
        <v>922</v>
      </c>
      <c r="C608" s="324" t="s">
        <v>412</v>
      </c>
      <c r="D608" s="844">
        <f>D609</f>
        <v>867720</v>
      </c>
      <c r="E608" s="844">
        <f>E609</f>
        <v>867720.3</v>
      </c>
      <c r="F608" s="916">
        <f>E608/D608*100</f>
        <v>100.00003457336469</v>
      </c>
      <c r="G608" s="991"/>
      <c r="H608" s="323"/>
    </row>
    <row r="609" spans="1:8" s="328" customFormat="1" ht="18.75" customHeight="1">
      <c r="A609" s="375"/>
      <c r="B609" s="322"/>
      <c r="C609" s="161" t="s">
        <v>288</v>
      </c>
      <c r="D609" s="845">
        <v>867720</v>
      </c>
      <c r="E609" s="845">
        <v>867720.3</v>
      </c>
      <c r="F609" s="917">
        <f>E609/D609*100</f>
        <v>100.00003457336469</v>
      </c>
      <c r="G609" s="991"/>
      <c r="H609" s="323"/>
    </row>
    <row r="610" spans="1:7" s="78" customFormat="1" ht="12" customHeight="1">
      <c r="A610" s="374"/>
      <c r="B610" s="326"/>
      <c r="C610" s="327" t="s">
        <v>305</v>
      </c>
      <c r="D610" s="918"/>
      <c r="E610" s="918"/>
      <c r="F610" s="919"/>
      <c r="G610" s="82"/>
    </row>
    <row r="611" spans="1:7" s="337" customFormat="1" ht="18.75" customHeight="1">
      <c r="A611" s="361"/>
      <c r="B611" s="330"/>
      <c r="C611" s="331" t="s">
        <v>307</v>
      </c>
      <c r="D611" s="920">
        <f>SUM(D612,D613)</f>
        <v>758472</v>
      </c>
      <c r="E611" s="920">
        <f>SUM(E612,E613)</f>
        <v>758471.53</v>
      </c>
      <c r="F611" s="921">
        <f>E611/D611*100</f>
        <v>99.99993803330908</v>
      </c>
      <c r="G611" s="991"/>
    </row>
    <row r="612" spans="1:7" s="323" customFormat="1" ht="18.75" customHeight="1">
      <c r="A612" s="374"/>
      <c r="B612" s="326"/>
      <c r="C612" s="333" t="s">
        <v>280</v>
      </c>
      <c r="D612" s="918">
        <v>648226</v>
      </c>
      <c r="E612" s="918">
        <v>648226.17</v>
      </c>
      <c r="F612" s="922">
        <f>E612/D612*100</f>
        <v>100.0000262254214</v>
      </c>
      <c r="G612" s="991"/>
    </row>
    <row r="613" spans="1:7" s="323" customFormat="1" ht="18.75" customHeight="1">
      <c r="A613" s="374"/>
      <c r="B613" s="326"/>
      <c r="C613" s="333" t="s">
        <v>281</v>
      </c>
      <c r="D613" s="918">
        <v>110246</v>
      </c>
      <c r="E613" s="918">
        <v>110245.36</v>
      </c>
      <c r="F613" s="922">
        <f>E613/D613*100</f>
        <v>99.99941948007184</v>
      </c>
      <c r="G613" s="991"/>
    </row>
    <row r="614" spans="1:8" s="328" customFormat="1" ht="21" customHeight="1" hidden="1">
      <c r="A614" s="376"/>
      <c r="B614" s="338" t="s">
        <v>970</v>
      </c>
      <c r="C614" s="324" t="s">
        <v>413</v>
      </c>
      <c r="D614" s="750">
        <f>D615</f>
        <v>0</v>
      </c>
      <c r="E614" s="750">
        <f>E615</f>
        <v>0</v>
      </c>
      <c r="F614" s="757" t="e">
        <f>E614/D614*100</f>
        <v>#DIV/0!</v>
      </c>
      <c r="G614" s="991"/>
      <c r="H614" s="323"/>
    </row>
    <row r="615" spans="1:8" s="328" customFormat="1" ht="18.75" customHeight="1" hidden="1">
      <c r="A615" s="375"/>
      <c r="B615" s="322"/>
      <c r="C615" s="161" t="s">
        <v>288</v>
      </c>
      <c r="D615" s="751"/>
      <c r="E615" s="751"/>
      <c r="F615" s="758" t="e">
        <f>E615/D615*100</f>
        <v>#DIV/0!</v>
      </c>
      <c r="G615" s="991"/>
      <c r="H615" s="323"/>
    </row>
    <row r="616" spans="1:7" s="78" customFormat="1" ht="12" customHeight="1" hidden="1">
      <c r="A616" s="374"/>
      <c r="B616" s="326"/>
      <c r="C616" s="327" t="s">
        <v>305</v>
      </c>
      <c r="D616" s="759"/>
      <c r="E616" s="759"/>
      <c r="F616" s="760"/>
      <c r="G616" s="82"/>
    </row>
    <row r="617" spans="1:7" s="337" customFormat="1" ht="18.75" customHeight="1" hidden="1">
      <c r="A617" s="361"/>
      <c r="B617" s="330"/>
      <c r="C617" s="331" t="s">
        <v>307</v>
      </c>
      <c r="D617" s="761">
        <f>SUM(D618)</f>
        <v>0</v>
      </c>
      <c r="E617" s="761">
        <f>SUM(E618)</f>
        <v>0</v>
      </c>
      <c r="F617" s="762" t="e">
        <f>E617/D617*100</f>
        <v>#DIV/0!</v>
      </c>
      <c r="G617" s="991"/>
    </row>
    <row r="618" spans="1:7" s="323" customFormat="1" ht="18.75" customHeight="1" hidden="1">
      <c r="A618" s="374"/>
      <c r="B618" s="326"/>
      <c r="C618" s="333" t="s">
        <v>280</v>
      </c>
      <c r="D618" s="759"/>
      <c r="E618" s="759"/>
      <c r="F618" s="763" t="e">
        <f>E618/D618*100</f>
        <v>#DIV/0!</v>
      </c>
      <c r="G618" s="991"/>
    </row>
    <row r="619" spans="1:8" s="328" customFormat="1" ht="18.75" customHeight="1">
      <c r="A619" s="376"/>
      <c r="B619" s="320" t="s">
        <v>972</v>
      </c>
      <c r="C619" s="172" t="s">
        <v>414</v>
      </c>
      <c r="D619" s="844">
        <f>D620</f>
        <v>434544</v>
      </c>
      <c r="E619" s="844">
        <f>E620</f>
        <v>434544.15</v>
      </c>
      <c r="F619" s="916">
        <f>E619/D619*100</f>
        <v>100.00003451894399</v>
      </c>
      <c r="G619" s="991"/>
      <c r="H619" s="323"/>
    </row>
    <row r="620" spans="1:8" s="328" customFormat="1" ht="18" customHeight="1">
      <c r="A620" s="375"/>
      <c r="B620" s="322"/>
      <c r="C620" s="161" t="s">
        <v>288</v>
      </c>
      <c r="D620" s="845">
        <v>434544</v>
      </c>
      <c r="E620" s="845">
        <v>434544.15</v>
      </c>
      <c r="F620" s="917">
        <f>E620/D620*100</f>
        <v>100.00003451894399</v>
      </c>
      <c r="G620" s="991"/>
      <c r="H620" s="323"/>
    </row>
    <row r="621" spans="1:7" s="78" customFormat="1" ht="12" customHeight="1">
      <c r="A621" s="374"/>
      <c r="B621" s="326"/>
      <c r="C621" s="327" t="s">
        <v>305</v>
      </c>
      <c r="D621" s="918"/>
      <c r="E621" s="918"/>
      <c r="F621" s="919"/>
      <c r="G621" s="82"/>
    </row>
    <row r="622" spans="1:7" s="337" customFormat="1" ht="18.75" customHeight="1">
      <c r="A622" s="361"/>
      <c r="B622" s="330"/>
      <c r="C622" s="331" t="s">
        <v>307</v>
      </c>
      <c r="D622" s="920">
        <f>SUM(D623,D624)</f>
        <v>386003</v>
      </c>
      <c r="E622" s="920">
        <f>SUM(E623,E624)</f>
        <v>386003.15</v>
      </c>
      <c r="F622" s="921">
        <f aca="true" t="shared" si="30" ref="F622:F628">E622/D622*100</f>
        <v>100.00003885980162</v>
      </c>
      <c r="G622" s="991"/>
    </row>
    <row r="623" spans="1:7" s="323" customFormat="1" ht="18.75" customHeight="1">
      <c r="A623" s="374"/>
      <c r="B623" s="326"/>
      <c r="C623" s="333" t="s">
        <v>280</v>
      </c>
      <c r="D623" s="918">
        <v>347149</v>
      </c>
      <c r="E623" s="918">
        <v>347148.84</v>
      </c>
      <c r="F623" s="922">
        <f t="shared" si="30"/>
        <v>99.99995391028061</v>
      </c>
      <c r="G623" s="991"/>
    </row>
    <row r="624" spans="1:7" s="323" customFormat="1" ht="18.75" customHeight="1">
      <c r="A624" s="374"/>
      <c r="B624" s="326"/>
      <c r="C624" s="333" t="s">
        <v>281</v>
      </c>
      <c r="D624" s="918">
        <v>38854</v>
      </c>
      <c r="E624" s="918">
        <v>38854.31</v>
      </c>
      <c r="F624" s="922">
        <f t="shared" si="30"/>
        <v>100.00079785865033</v>
      </c>
      <c r="G624" s="991"/>
    </row>
    <row r="625" spans="1:8" s="328" customFormat="1" ht="18.75" customHeight="1">
      <c r="A625" s="376"/>
      <c r="B625" s="320" t="s">
        <v>973</v>
      </c>
      <c r="C625" s="172" t="s">
        <v>974</v>
      </c>
      <c r="D625" s="844">
        <f>D626</f>
        <v>1920</v>
      </c>
      <c r="E625" s="844">
        <f>E626</f>
        <v>1920</v>
      </c>
      <c r="F625" s="916">
        <f t="shared" si="30"/>
        <v>100</v>
      </c>
      <c r="G625" s="991"/>
      <c r="H625" s="323"/>
    </row>
    <row r="626" spans="1:8" s="328" customFormat="1" ht="18" customHeight="1">
      <c r="A626" s="375"/>
      <c r="B626" s="322"/>
      <c r="C626" s="161" t="s">
        <v>288</v>
      </c>
      <c r="D626" s="845">
        <v>1920</v>
      </c>
      <c r="E626" s="845">
        <v>1920</v>
      </c>
      <c r="F626" s="917">
        <f t="shared" si="30"/>
        <v>100</v>
      </c>
      <c r="G626" s="991"/>
      <c r="H626" s="323"/>
    </row>
    <row r="627" spans="1:7" s="323" customFormat="1" ht="18.75" customHeight="1">
      <c r="A627" s="376"/>
      <c r="B627" s="320" t="s">
        <v>975</v>
      </c>
      <c r="C627" s="172" t="s">
        <v>415</v>
      </c>
      <c r="D627" s="844">
        <f>D628</f>
        <v>229849</v>
      </c>
      <c r="E627" s="844">
        <f>E628</f>
        <v>229849</v>
      </c>
      <c r="F627" s="916">
        <f t="shared" si="30"/>
        <v>100</v>
      </c>
      <c r="G627" s="991"/>
    </row>
    <row r="628" spans="1:8" s="328" customFormat="1" ht="17.25" customHeight="1">
      <c r="A628" s="375"/>
      <c r="B628" s="322"/>
      <c r="C628" s="161" t="s">
        <v>288</v>
      </c>
      <c r="D628" s="845">
        <v>229849</v>
      </c>
      <c r="E628" s="845">
        <v>229849</v>
      </c>
      <c r="F628" s="917">
        <f t="shared" si="30"/>
        <v>100</v>
      </c>
      <c r="G628" s="991"/>
      <c r="H628" s="323"/>
    </row>
    <row r="629" spans="1:8" s="328" customFormat="1" ht="12" customHeight="1">
      <c r="A629" s="374"/>
      <c r="B629" s="326"/>
      <c r="C629" s="327" t="s">
        <v>305</v>
      </c>
      <c r="D629" s="918"/>
      <c r="E629" s="918"/>
      <c r="F629" s="919"/>
      <c r="G629" s="991"/>
      <c r="H629" s="323"/>
    </row>
    <row r="630" spans="1:8" s="332" customFormat="1" ht="18.75" customHeight="1">
      <c r="A630" s="361"/>
      <c r="B630" s="330"/>
      <c r="C630" s="331" t="s">
        <v>307</v>
      </c>
      <c r="D630" s="920">
        <f>SUM(D631,D632)</f>
        <v>179826</v>
      </c>
      <c r="E630" s="920">
        <f>SUM(E631,E632)</f>
        <v>179825.5</v>
      </c>
      <c r="F630" s="921">
        <f>E630/D630*100</f>
        <v>99.99972195344388</v>
      </c>
      <c r="G630" s="991"/>
      <c r="H630" s="337"/>
    </row>
    <row r="631" spans="1:8" s="328" customFormat="1" ht="18.75" customHeight="1">
      <c r="A631" s="374"/>
      <c r="B631" s="326"/>
      <c r="C631" s="333" t="s">
        <v>280</v>
      </c>
      <c r="D631" s="918">
        <v>152973</v>
      </c>
      <c r="E631" s="918">
        <v>152972.34</v>
      </c>
      <c r="F631" s="922">
        <f>E631/D631*100</f>
        <v>99.99956855131298</v>
      </c>
      <c r="G631" s="991"/>
      <c r="H631" s="323"/>
    </row>
    <row r="632" spans="1:8" s="328" customFormat="1" ht="18.75" customHeight="1">
      <c r="A632" s="374"/>
      <c r="B632" s="326"/>
      <c r="C632" s="333" t="s">
        <v>281</v>
      </c>
      <c r="D632" s="918">
        <v>26853</v>
      </c>
      <c r="E632" s="918">
        <v>26853.16</v>
      </c>
      <c r="F632" s="922">
        <f>E632/D632*100</f>
        <v>100.00059583659183</v>
      </c>
      <c r="G632" s="991"/>
      <c r="H632" s="323"/>
    </row>
    <row r="633" spans="1:7" s="78" customFormat="1" ht="18.75" customHeight="1">
      <c r="A633" s="376"/>
      <c r="B633" s="320" t="s">
        <v>416</v>
      </c>
      <c r="C633" s="324" t="s">
        <v>283</v>
      </c>
      <c r="D633" s="844">
        <f>SUM(D634)</f>
        <v>686840</v>
      </c>
      <c r="E633" s="844">
        <f>SUM(E634)</f>
        <v>686839.5</v>
      </c>
      <c r="F633" s="917">
        <f>E633/D633*100</f>
        <v>99.999927202842</v>
      </c>
      <c r="G633" s="82"/>
    </row>
    <row r="634" spans="1:7" s="323" customFormat="1" ht="16.5" customHeight="1">
      <c r="A634" s="376"/>
      <c r="B634" s="320"/>
      <c r="C634" s="161" t="s">
        <v>288</v>
      </c>
      <c r="D634" s="845">
        <v>686840</v>
      </c>
      <c r="E634" s="845">
        <v>686839.5</v>
      </c>
      <c r="F634" s="917">
        <f>E634/D634*100</f>
        <v>99.999927202842</v>
      </c>
      <c r="G634" s="991"/>
    </row>
    <row r="635" spans="1:8" s="328" customFormat="1" ht="12" customHeight="1">
      <c r="A635" s="374"/>
      <c r="B635" s="326"/>
      <c r="C635" s="327" t="s">
        <v>305</v>
      </c>
      <c r="D635" s="918"/>
      <c r="E635" s="918"/>
      <c r="F635" s="922"/>
      <c r="G635" s="991"/>
      <c r="H635" s="323"/>
    </row>
    <row r="636" spans="1:8" s="332" customFormat="1" ht="18.75" customHeight="1">
      <c r="A636" s="361"/>
      <c r="B636" s="330"/>
      <c r="C636" s="331" t="s">
        <v>308</v>
      </c>
      <c r="D636" s="920">
        <v>686840</v>
      </c>
      <c r="E636" s="920">
        <v>686839.5</v>
      </c>
      <c r="F636" s="921">
        <f aca="true" t="shared" si="31" ref="F636:F652">E636/D636*100</f>
        <v>99.999927202842</v>
      </c>
      <c r="G636" s="991"/>
      <c r="H636" s="337"/>
    </row>
    <row r="637" spans="1:8" s="328" customFormat="1" ht="18.75" customHeight="1">
      <c r="A637" s="376"/>
      <c r="B637" s="320" t="s">
        <v>417</v>
      </c>
      <c r="C637" s="172" t="s">
        <v>384</v>
      </c>
      <c r="D637" s="844">
        <f>D638</f>
        <v>10975</v>
      </c>
      <c r="E637" s="844">
        <f>E638</f>
        <v>10975.13</v>
      </c>
      <c r="F637" s="916">
        <f t="shared" si="31"/>
        <v>100.00118451025055</v>
      </c>
      <c r="G637" s="991"/>
      <c r="H637" s="323"/>
    </row>
    <row r="638" spans="1:8" s="328" customFormat="1" ht="18.75" customHeight="1">
      <c r="A638" s="375"/>
      <c r="B638" s="322"/>
      <c r="C638" s="161" t="s">
        <v>288</v>
      </c>
      <c r="D638" s="845">
        <v>10975</v>
      </c>
      <c r="E638" s="845">
        <v>10975.13</v>
      </c>
      <c r="F638" s="917">
        <f t="shared" si="31"/>
        <v>100.00118451025055</v>
      </c>
      <c r="G638" s="991"/>
      <c r="H638" s="323"/>
    </row>
    <row r="639" spans="1:8" s="328" customFormat="1" ht="18.75" customHeight="1">
      <c r="A639" s="376"/>
      <c r="B639" s="320" t="s">
        <v>418</v>
      </c>
      <c r="C639" s="172" t="s">
        <v>840</v>
      </c>
      <c r="D639" s="844">
        <f>SUM(D640,D645)</f>
        <v>33955</v>
      </c>
      <c r="E639" s="844">
        <f>SUM(E640,E645)</f>
        <v>33955.74</v>
      </c>
      <c r="F639" s="916">
        <f t="shared" si="31"/>
        <v>100.00217935502872</v>
      </c>
      <c r="G639" s="991"/>
      <c r="H639" s="323"/>
    </row>
    <row r="640" spans="1:8" s="328" customFormat="1" ht="17.25" customHeight="1">
      <c r="A640" s="375"/>
      <c r="B640" s="322"/>
      <c r="C640" s="161" t="s">
        <v>288</v>
      </c>
      <c r="D640" s="845">
        <v>13804</v>
      </c>
      <c r="E640" s="845">
        <v>13804.69</v>
      </c>
      <c r="F640" s="917">
        <f t="shared" si="31"/>
        <v>100.0049985511446</v>
      </c>
      <c r="G640" s="991"/>
      <c r="H640" s="323"/>
    </row>
    <row r="641" spans="1:8" s="938" customFormat="1" ht="12" customHeight="1">
      <c r="A641" s="947"/>
      <c r="B641" s="934"/>
      <c r="C641" s="935" t="s">
        <v>305</v>
      </c>
      <c r="D641" s="936"/>
      <c r="E641" s="936"/>
      <c r="F641" s="937"/>
      <c r="G641" s="991"/>
      <c r="H641" s="927"/>
    </row>
    <row r="642" spans="1:8" s="944" customFormat="1" ht="18.75" customHeight="1">
      <c r="A642" s="973"/>
      <c r="B642" s="940"/>
      <c r="C642" s="941" t="s">
        <v>307</v>
      </c>
      <c r="D642" s="942">
        <f>SUM(D643,D644)</f>
        <v>4707</v>
      </c>
      <c r="E642" s="942">
        <f>SUM(E643,E644)</f>
        <v>4707</v>
      </c>
      <c r="F642" s="943">
        <f>E642/D642*100</f>
        <v>100</v>
      </c>
      <c r="G642" s="991"/>
      <c r="H642" s="980"/>
    </row>
    <row r="643" spans="1:8" s="938" customFormat="1" ht="18.75" customHeight="1">
      <c r="A643" s="947"/>
      <c r="B643" s="934"/>
      <c r="C643" s="945" t="s">
        <v>280</v>
      </c>
      <c r="D643" s="936">
        <v>4000</v>
      </c>
      <c r="E643" s="936">
        <v>4000</v>
      </c>
      <c r="F643" s="946">
        <f>E643/D643*100</f>
        <v>100</v>
      </c>
      <c r="G643" s="991"/>
      <c r="H643" s="927"/>
    </row>
    <row r="644" spans="1:8" s="938" customFormat="1" ht="16.5" customHeight="1">
      <c r="A644" s="947"/>
      <c r="B644" s="934"/>
      <c r="C644" s="945" t="s">
        <v>281</v>
      </c>
      <c r="D644" s="936">
        <v>707</v>
      </c>
      <c r="E644" s="936">
        <v>707</v>
      </c>
      <c r="F644" s="946">
        <f>E644/D644*100</f>
        <v>100</v>
      </c>
      <c r="G644" s="991"/>
      <c r="H644" s="927"/>
    </row>
    <row r="645" spans="1:8" s="328" customFormat="1" ht="17.25" customHeight="1">
      <c r="A645" s="375"/>
      <c r="B645" s="322"/>
      <c r="C645" s="930" t="s">
        <v>309</v>
      </c>
      <c r="D645" s="931">
        <v>20151</v>
      </c>
      <c r="E645" s="931">
        <v>20151.05</v>
      </c>
      <c r="F645" s="932">
        <f>E645/D645*100</f>
        <v>100.00024812664383</v>
      </c>
      <c r="G645" s="991"/>
      <c r="H645" s="323"/>
    </row>
    <row r="646" spans="1:7" s="323" customFormat="1" ht="24.75" customHeight="1">
      <c r="A646" s="377" t="s">
        <v>976</v>
      </c>
      <c r="B646" s="318"/>
      <c r="C646" s="335" t="s">
        <v>429</v>
      </c>
      <c r="D646" s="914">
        <f>SUM(D647,D649)</f>
        <v>685394</v>
      </c>
      <c r="E646" s="914">
        <f>SUM(E647,E649)</f>
        <v>680790.74</v>
      </c>
      <c r="F646" s="915">
        <f t="shared" si="31"/>
        <v>99.3283775463456</v>
      </c>
      <c r="G646" s="991"/>
    </row>
    <row r="647" spans="1:7" s="323" customFormat="1" ht="18.75" customHeight="1">
      <c r="A647" s="376"/>
      <c r="B647" s="320" t="s">
        <v>432</v>
      </c>
      <c r="C647" s="324" t="s">
        <v>433</v>
      </c>
      <c r="D647" s="844">
        <f>SUM(D648)</f>
        <v>4294</v>
      </c>
      <c r="E647" s="844">
        <f>SUM(E648)</f>
        <v>3250</v>
      </c>
      <c r="F647" s="917">
        <f t="shared" si="31"/>
        <v>75.68700512342804</v>
      </c>
      <c r="G647" s="991"/>
    </row>
    <row r="648" spans="1:7" s="323" customFormat="1" ht="18.75" customHeight="1">
      <c r="A648" s="375"/>
      <c r="B648" s="322"/>
      <c r="C648" s="161" t="s">
        <v>288</v>
      </c>
      <c r="D648" s="845">
        <v>4294</v>
      </c>
      <c r="E648" s="845">
        <v>3250</v>
      </c>
      <c r="F648" s="917">
        <f t="shared" si="31"/>
        <v>75.68700512342804</v>
      </c>
      <c r="G648" s="991"/>
    </row>
    <row r="649" spans="1:8" s="328" customFormat="1" ht="18.75" customHeight="1">
      <c r="A649" s="376"/>
      <c r="B649" s="320" t="s">
        <v>978</v>
      </c>
      <c r="C649" s="172" t="s">
        <v>979</v>
      </c>
      <c r="D649" s="844">
        <f>SUM(D650)</f>
        <v>681100</v>
      </c>
      <c r="E649" s="844">
        <f>SUM(E650)</f>
        <v>677540.74</v>
      </c>
      <c r="F649" s="916">
        <f t="shared" si="31"/>
        <v>99.47742475407429</v>
      </c>
      <c r="G649" s="991"/>
      <c r="H649" s="323"/>
    </row>
    <row r="650" spans="1:8" s="328" customFormat="1" ht="18.75" customHeight="1" thickBot="1">
      <c r="A650" s="1376"/>
      <c r="B650" s="1377"/>
      <c r="C650" s="1378" t="s">
        <v>288</v>
      </c>
      <c r="D650" s="1379">
        <v>681100</v>
      </c>
      <c r="E650" s="1379">
        <v>677540.74</v>
      </c>
      <c r="F650" s="1380">
        <f t="shared" si="31"/>
        <v>99.47742475407429</v>
      </c>
      <c r="G650" s="991"/>
      <c r="H650" s="323"/>
    </row>
    <row r="651" spans="1:7" s="78" customFormat="1" ht="18.75" customHeight="1">
      <c r="A651" s="316"/>
      <c r="B651" s="1372"/>
      <c r="C651" s="367" t="s">
        <v>872</v>
      </c>
      <c r="D651" s="801">
        <f>SUM(D652,D659)</f>
        <v>140184764.56</v>
      </c>
      <c r="E651" s="801">
        <f>SUM(E652,E659)</f>
        <v>134664478.31</v>
      </c>
      <c r="F651" s="985">
        <f t="shared" si="31"/>
        <v>96.06213537731678</v>
      </c>
      <c r="G651" s="82" t="s">
        <v>1068</v>
      </c>
    </row>
    <row r="652" spans="1:7" s="78" customFormat="1" ht="18.75" customHeight="1">
      <c r="A652" s="1301"/>
      <c r="B652" s="1373"/>
      <c r="C652" s="352" t="s">
        <v>288</v>
      </c>
      <c r="D652" s="845">
        <f>SUM(D10,D16,D18,D24,D27,D30,D37,D47,D40,D55,D61,D65,D72,D78,D84,D86,D90,D96,D98,D105,D113,D119,D126,D132,D134,D141,D145)+D151+D156+D159+D167+D173+D180+D188+D192+D194+D201+D210+D217+D224+D230+D238+D246+D253+D255+D259+D265+D267+D272+D274+D281+D287+D295+D302+D310+D316+D323+D325+D327+D334+D337+D339+D342+D344+D347+D349+D356+D363+D367+D374+D379+D391+D399</f>
        <v>85519024.56</v>
      </c>
      <c r="E652" s="845">
        <f>SUM(E10,E16,E18,E24,E27,E30,E37,E47,E40,E55,E61,E65,E72,E78,E84,E86,E90,E96,E98,E105,E113,E119,E126,E132,E134,E141,E145)+E151+E156+E159+E167+E173+E180+E188+E192+E194+E201+E210+E217+E224+E230+E238+E246+E253+E255+E259+E265+E267+E272+E274+E281+E287+E295+E302+E310+E316+E323+E325+E327+E334+E337+E339+E342+E344+E347+E349+E356+E363+E367+E374+E379+E391+E399</f>
        <v>83076470.45</v>
      </c>
      <c r="F652" s="1299">
        <f t="shared" si="31"/>
        <v>97.1438470883326</v>
      </c>
      <c r="G652" s="82"/>
    </row>
    <row r="653" spans="1:7" s="323" customFormat="1" ht="12" customHeight="1">
      <c r="A653" s="1301"/>
      <c r="B653" s="1373"/>
      <c r="C653" s="353" t="s">
        <v>305</v>
      </c>
      <c r="D653" s="981"/>
      <c r="E653" s="981"/>
      <c r="F653" s="1300"/>
      <c r="G653" s="991"/>
    </row>
    <row r="654" spans="1:8" s="366" customFormat="1" ht="18" customHeight="1">
      <c r="A654" s="346"/>
      <c r="B654" s="1374"/>
      <c r="C654" s="354" t="s">
        <v>307</v>
      </c>
      <c r="D654" s="982">
        <f>SUM(D655,D656)</f>
        <v>30447310</v>
      </c>
      <c r="E654" s="982">
        <f>SUM(E655,E656)</f>
        <v>30250936.499999996</v>
      </c>
      <c r="F654" s="1009">
        <f aca="true" t="shared" si="32" ref="F654:F659">E654/D654*100</f>
        <v>99.3550382611797</v>
      </c>
      <c r="G654" s="1001"/>
      <c r="H654" s="994"/>
    </row>
    <row r="655" spans="1:8" s="328" customFormat="1" ht="18.75" customHeight="1">
      <c r="A655" s="346"/>
      <c r="B655" s="1374"/>
      <c r="C655" s="347" t="s">
        <v>280</v>
      </c>
      <c r="D655" s="983">
        <f>SUM(D13,D21,D33,D43,D50,D58,D81,D93,D101,D108,D116,D122,D129,D137,D148,D162,D170,D183,D197,D204,D213,D220,D227,D233,D241,D249,D262,D277,D284,D290)+D298+D305+D313++D319+D330+D352+D382</f>
        <v>26160092</v>
      </c>
      <c r="E655" s="983">
        <f>SUM(E13,E21,E33,E43,E50,E58,E81,E93,E101,E108,E116,E122,E129,E137,E148,E162,E170,E183,E197,E204,E213,E220,E227,E233,E241,E249,E262,E277,E284,E290)+E298+E305+E313++E319+E330+E352+E382</f>
        <v>25989942.83</v>
      </c>
      <c r="F655" s="1008">
        <f t="shared" si="32"/>
        <v>99.34958497087854</v>
      </c>
      <c r="G655" s="991"/>
      <c r="H655" s="323"/>
    </row>
    <row r="656" spans="1:8" s="328" customFormat="1" ht="18.75" customHeight="1">
      <c r="A656" s="343"/>
      <c r="B656" s="314"/>
      <c r="C656" s="363" t="s">
        <v>281</v>
      </c>
      <c r="D656" s="983">
        <f>SUM(D14,D34,D44,D51,D59,D82,D94,D102,D109,D117,D123,D130,D138,D163,D171,D184,D198,D205,D214,D221,D234,D242,D250,D263,D270,D278,D285,D291,D299)+D306+D314+D320+D331+D394</f>
        <v>4287218</v>
      </c>
      <c r="E656" s="983">
        <f>SUM(E14,E34,E44,E51,E59,E82,E94,E102,E109,E117,E123,E130,E138,E163,E171,E184,E198,E205,E214,E221,E234,E242,E250,E263,E270,E278,E285,E291,E299)+E306+E314+E320+E331+E394</f>
        <v>4260993.669999999</v>
      </c>
      <c r="F656" s="1008">
        <f t="shared" si="32"/>
        <v>99.3883135870394</v>
      </c>
      <c r="G656" s="991"/>
      <c r="H656" s="323"/>
    </row>
    <row r="657" spans="1:8" s="332" customFormat="1" ht="17.25" customHeight="1">
      <c r="A657" s="343"/>
      <c r="B657" s="314"/>
      <c r="C657" s="344" t="s">
        <v>308</v>
      </c>
      <c r="D657" s="982">
        <f>SUM(D67,D110,D164,D175,D185,D190,D206,D215,D222,D228,D235,D243,D251,D257,D307,D358,D365,D369,D376,D383,D395)</f>
        <v>11782620</v>
      </c>
      <c r="E657" s="982">
        <f>SUM(E67,E110,E164,E175,E185,E190,E206,E215,E222,E228,E235,E243,E251,E257,E307,E358,E365,E369,E376,E383,E395)</f>
        <v>11715474.56</v>
      </c>
      <c r="F657" s="921">
        <f t="shared" si="32"/>
        <v>99.43013149876683</v>
      </c>
      <c r="G657" s="991"/>
      <c r="H657" s="337"/>
    </row>
    <row r="658" spans="1:8" s="332" customFormat="1" ht="18" customHeight="1">
      <c r="A658" s="343"/>
      <c r="B658" s="314"/>
      <c r="C658" s="344" t="s">
        <v>343</v>
      </c>
      <c r="D658" s="982">
        <f>SUM(D153)</f>
        <v>1931161</v>
      </c>
      <c r="E658" s="982">
        <f>SUM(E153)</f>
        <v>1918459.91</v>
      </c>
      <c r="F658" s="921">
        <f t="shared" si="32"/>
        <v>99.34230807270859</v>
      </c>
      <c r="G658" s="991"/>
      <c r="H658" s="337"/>
    </row>
    <row r="659" spans="1:8" s="328" customFormat="1" ht="18.75" customHeight="1">
      <c r="A659" s="351"/>
      <c r="B659" s="1373"/>
      <c r="C659" s="352" t="s">
        <v>309</v>
      </c>
      <c r="D659" s="984">
        <f>SUM(D38,D45,D52,D62,D68,D73,D75,D87,D103,D139,D142,D165,D176,D186,D199,D207,D236,D279,D292,D300,D321,D335,D340,D345,D353,D359,D370,D377)+D384+D389+D396</f>
        <v>54665740</v>
      </c>
      <c r="E659" s="984">
        <f>SUM(E38,E45,E52,E62,E68,E73,E75,E87,E103,E139,E142,E165,E176,E186,E199,E207,E236,E279,E292,E300,E321,E335,E340,E345,E353,E359,E370,E377)+E384+E389+E396</f>
        <v>51588007.86</v>
      </c>
      <c r="F659" s="917">
        <f t="shared" si="32"/>
        <v>94.3699067459802</v>
      </c>
      <c r="G659" s="991"/>
      <c r="H659" s="323"/>
    </row>
    <row r="660" spans="1:6" ht="12" customHeight="1">
      <c r="A660" s="351"/>
      <c r="B660" s="1373"/>
      <c r="C660" s="353" t="s">
        <v>305</v>
      </c>
      <c r="D660" s="981"/>
      <c r="E660" s="981"/>
      <c r="F660" s="919"/>
    </row>
    <row r="661" spans="1:10" s="312" customFormat="1" ht="18.75" customHeight="1">
      <c r="A661" s="1381"/>
      <c r="B661" s="1382"/>
      <c r="C661" s="1383" t="s">
        <v>308</v>
      </c>
      <c r="D661" s="1384">
        <f>SUM(D70,D178,D361,D372,D386,D398)</f>
        <v>2032956</v>
      </c>
      <c r="E661" s="1384">
        <f>SUM(E70,E178,E361,E372,E386,E398)</f>
        <v>1368817.65</v>
      </c>
      <c r="F661" s="1385">
        <f>E661/D661*100</f>
        <v>67.33139576065591</v>
      </c>
      <c r="G661" s="1002"/>
      <c r="H661" s="995"/>
      <c r="I661" s="345"/>
      <c r="J661" s="345"/>
    </row>
    <row r="662" spans="1:10" ht="18.75" customHeight="1">
      <c r="A662" s="316"/>
      <c r="B662" s="1372"/>
      <c r="C662" s="367" t="s">
        <v>793</v>
      </c>
      <c r="D662" s="801">
        <f>SUM(D663,D669)</f>
        <v>77638035</v>
      </c>
      <c r="E662" s="801">
        <f>SUM(E663,E669)</f>
        <v>75489908.41000001</v>
      </c>
      <c r="F662" s="985">
        <f>E662/D662*100</f>
        <v>97.23315177927934</v>
      </c>
      <c r="G662" s="1002"/>
      <c r="H662" s="373"/>
      <c r="I662" s="350"/>
      <c r="J662" s="350"/>
    </row>
    <row r="663" spans="1:10" ht="18.75" customHeight="1">
      <c r="A663" s="351"/>
      <c r="B663" s="1373"/>
      <c r="C663" s="352" t="s">
        <v>288</v>
      </c>
      <c r="D663" s="845">
        <f>SUM(D404,D409,D417,D421,D427,D429,D436,D442,D448,D455,D462,D464,D472,D478,D484,D492,D498,D505,D511,D517,D519,D527,D534,D543,D546,D551,D557,D564,D570,D572)+D575+D579+D583+D589+D596+D603+D609+D615+D620+D626+D628+D634+D638+D640+D648+D650</f>
        <v>58242942</v>
      </c>
      <c r="E663" s="845">
        <f>SUM(E404,E409,E417,E421,E427,E429,E436,E442,E448,E455,E462,E464,E472,E478,E484,E492,E498,E505,E511,E517,E519,E527,E534,E543,E546,E551,E557,E564,E570,E572)+E575+E579+E583+E589+E596+E603+E609+E615+E620+E626+E628+E634+E638+E640+E648+E650</f>
        <v>57899884.80000001</v>
      </c>
      <c r="F663" s="917">
        <f>E663/D663*100</f>
        <v>99.41098923196567</v>
      </c>
      <c r="G663" s="1002"/>
      <c r="H663" s="373"/>
      <c r="I663" s="350"/>
      <c r="J663" s="350"/>
    </row>
    <row r="664" spans="1:10" ht="12.75" customHeight="1">
      <c r="A664" s="351"/>
      <c r="B664" s="1373"/>
      <c r="C664" s="353" t="s">
        <v>305</v>
      </c>
      <c r="D664" s="981"/>
      <c r="E664" s="981"/>
      <c r="F664" s="919"/>
      <c r="G664" s="1002"/>
      <c r="H664" s="373"/>
      <c r="I664" s="350"/>
      <c r="J664" s="350"/>
    </row>
    <row r="665" spans="1:10" s="312" customFormat="1" ht="18.75" customHeight="1">
      <c r="A665" s="343"/>
      <c r="B665" s="314"/>
      <c r="C665" s="344" t="s">
        <v>307</v>
      </c>
      <c r="D665" s="982">
        <f>SUM(D666,D667)</f>
        <v>28270056</v>
      </c>
      <c r="E665" s="982">
        <f>SUM(E666,E667)</f>
        <v>28217545.66</v>
      </c>
      <c r="F665" s="921">
        <f>E665/D665*100</f>
        <v>99.81425455966554</v>
      </c>
      <c r="G665" s="1002"/>
      <c r="H665" s="995"/>
      <c r="I665" s="345"/>
      <c r="J665" s="345"/>
    </row>
    <row r="666" spans="1:10" s="349" customFormat="1" ht="18.75" customHeight="1">
      <c r="A666" s="346"/>
      <c r="B666" s="1374"/>
      <c r="C666" s="347" t="s">
        <v>280</v>
      </c>
      <c r="D666" s="983">
        <f>SUM(D412,D424,D432,D439,D445,D451,D467,D475,D481,D487,D495,D501,D508,D514,D522,D537,D554,D560,D567,D586,D592,D599,D606,D612,D618,D623,D631,D643)</f>
        <v>24626588</v>
      </c>
      <c r="E666" s="983">
        <f>SUM(E412,E424,E432,E439,E445,E451,E467,E475,E481,E487,E495,E501,E508,E514,E522,E537,E554,E560,E567,E586,E592,E599,E606,E612,E618,E623,E631,E643)</f>
        <v>24589180.3</v>
      </c>
      <c r="F666" s="1008">
        <f>E666/D666*100</f>
        <v>99.84810035397514</v>
      </c>
      <c r="G666" s="1003"/>
      <c r="H666" s="996"/>
      <c r="I666" s="348"/>
      <c r="J666" s="348"/>
    </row>
    <row r="667" spans="1:10" s="349" customFormat="1" ht="18.75" customHeight="1">
      <c r="A667" s="346"/>
      <c r="B667" s="1374"/>
      <c r="C667" s="347" t="s">
        <v>281</v>
      </c>
      <c r="D667" s="983">
        <f>SUM(D413,D425,D433,D440,D446,D452,D468,D476,D482,D488,D496,D502,D509,D515,D523,D555,D561,D568,D587,D593,D600,D607,D613,D624,D632,D644)</f>
        <v>3643468</v>
      </c>
      <c r="E667" s="983">
        <f>SUM(E413,E425,E433,E440,E446,E452,E468,E476,E482,E488,E496,E502,E509,E515,E523,E555,E561,E568,E587,E593,E600,E607,E613,E624,E632,E644)</f>
        <v>3628365.360000001</v>
      </c>
      <c r="F667" s="1008">
        <f>E667/D667*100</f>
        <v>99.58548723359175</v>
      </c>
      <c r="G667" s="1003"/>
      <c r="H667" s="996"/>
      <c r="I667" s="348"/>
      <c r="J667" s="348"/>
    </row>
    <row r="668" spans="1:10" s="356" customFormat="1" ht="18.75" customHeight="1">
      <c r="A668" s="346"/>
      <c r="B668" s="1374"/>
      <c r="C668" s="354" t="s">
        <v>308</v>
      </c>
      <c r="D668" s="982">
        <f>SUM(D457,D489,D503,D529,D538,D548,D562,D577,D581,D636)</f>
        <v>6025407</v>
      </c>
      <c r="E668" s="982">
        <f>SUM(E457,E489,E503,E529,E538,E548,E562,E577,E581,E636)</f>
        <v>5961402.340000001</v>
      </c>
      <c r="F668" s="1009">
        <f>E668/D668*100</f>
        <v>98.937753748419</v>
      </c>
      <c r="G668" s="1003"/>
      <c r="H668" s="997"/>
      <c r="I668" s="355"/>
      <c r="J668" s="355"/>
    </row>
    <row r="669" spans="1:10" ht="18.75" customHeight="1">
      <c r="A669" s="351"/>
      <c r="B669" s="1373"/>
      <c r="C669" s="352" t="s">
        <v>309</v>
      </c>
      <c r="D669" s="984">
        <f>SUM(D407,D414,D418,D458,D469,D490,D524,D530,D539,D549,D601,D645)</f>
        <v>19395093</v>
      </c>
      <c r="E669" s="984">
        <f>SUM(E407,E414,E418,E458,E469,E490,E524,E530,E539,E549,E601,E645)</f>
        <v>17590023.610000003</v>
      </c>
      <c r="F669" s="917">
        <f>E669/D669*100</f>
        <v>90.6931645545603</v>
      </c>
      <c r="G669" s="1002"/>
      <c r="H669" s="373"/>
      <c r="I669" s="350"/>
      <c r="J669" s="350"/>
    </row>
    <row r="670" spans="1:10" ht="12" customHeight="1">
      <c r="A670" s="351"/>
      <c r="B670" s="1373"/>
      <c r="C670" s="353" t="s">
        <v>305</v>
      </c>
      <c r="D670" s="981"/>
      <c r="E670" s="981"/>
      <c r="F670" s="919"/>
      <c r="G670" s="1002"/>
      <c r="H670" s="373"/>
      <c r="I670" s="350"/>
      <c r="J670" s="350"/>
    </row>
    <row r="671" spans="1:10" s="312" customFormat="1" ht="18.75" customHeight="1">
      <c r="A671" s="1381"/>
      <c r="B671" s="1382"/>
      <c r="C671" s="1383" t="s">
        <v>308</v>
      </c>
      <c r="D671" s="1384">
        <f>SUM(D460,D532,D541)</f>
        <v>108520</v>
      </c>
      <c r="E671" s="1384">
        <f>SUM(E460,E532,E541)</f>
        <v>108520</v>
      </c>
      <c r="F671" s="1385">
        <f>E671/D671*100</f>
        <v>100</v>
      </c>
      <c r="G671" s="1002"/>
      <c r="H671" s="995"/>
      <c r="I671" s="345"/>
      <c r="J671" s="345"/>
    </row>
    <row r="672" spans="1:10" ht="18.75" customHeight="1">
      <c r="A672" s="1386"/>
      <c r="B672" s="1387"/>
      <c r="C672" s="1388" t="s">
        <v>984</v>
      </c>
      <c r="D672" s="1389">
        <f>SUM(D651,D662)</f>
        <v>217822799.56</v>
      </c>
      <c r="E672" s="1389">
        <f>SUM(E651,E662)</f>
        <v>210154386.72000003</v>
      </c>
      <c r="F672" s="1390">
        <f>E672/D672*100</f>
        <v>96.47951782114173</v>
      </c>
      <c r="G672" s="1002"/>
      <c r="H672" s="373"/>
      <c r="I672" s="350"/>
      <c r="J672" s="350"/>
    </row>
    <row r="673" spans="1:10" ht="18.75" customHeight="1">
      <c r="A673" s="351"/>
      <c r="B673" s="1373"/>
      <c r="C673" s="352" t="s">
        <v>288</v>
      </c>
      <c r="D673" s="845">
        <f>SUM(D652,D663)</f>
        <v>143761966.56</v>
      </c>
      <c r="E673" s="845">
        <f>SUM(E652,E663)</f>
        <v>140976355.25</v>
      </c>
      <c r="F673" s="917">
        <f>E673/D673*100</f>
        <v>98.06234473786402</v>
      </c>
      <c r="G673" s="1002"/>
      <c r="H673" s="373"/>
      <c r="I673" s="350"/>
      <c r="J673" s="350"/>
    </row>
    <row r="674" spans="1:10" ht="12" customHeight="1">
      <c r="A674" s="351"/>
      <c r="B674" s="1373"/>
      <c r="C674" s="353" t="s">
        <v>305</v>
      </c>
      <c r="D674" s="981"/>
      <c r="E674" s="981"/>
      <c r="F674" s="919"/>
      <c r="G674" s="1004" t="s">
        <v>1218</v>
      </c>
      <c r="H674" s="998" t="s">
        <v>957</v>
      </c>
      <c r="I674" s="350"/>
      <c r="J674" s="350"/>
    </row>
    <row r="675" spans="1:10" s="312" customFormat="1" ht="18.75" customHeight="1">
      <c r="A675" s="343"/>
      <c r="B675" s="314"/>
      <c r="C675" s="344" t="s">
        <v>307</v>
      </c>
      <c r="D675" s="920">
        <f aca="true" t="shared" si="33" ref="D675:E678">SUM(D654,D665)</f>
        <v>58717366</v>
      </c>
      <c r="E675" s="920">
        <f t="shared" si="33"/>
        <v>58468482.16</v>
      </c>
      <c r="F675" s="921">
        <f aca="true" t="shared" si="34" ref="F675:F680">E675/D675*100</f>
        <v>99.57613248523442</v>
      </c>
      <c r="G675" s="1005">
        <v>58538927.69</v>
      </c>
      <c r="H675" s="999">
        <f>G675-E675</f>
        <v>70445.53000000119</v>
      </c>
      <c r="I675" s="345"/>
      <c r="J675" s="345"/>
    </row>
    <row r="676" spans="1:10" ht="18.75" customHeight="1">
      <c r="A676" s="343"/>
      <c r="B676" s="314"/>
      <c r="C676" s="363" t="s">
        <v>280</v>
      </c>
      <c r="D676" s="918">
        <f t="shared" si="33"/>
        <v>50786680</v>
      </c>
      <c r="E676" s="918">
        <f t="shared" si="33"/>
        <v>50579123.129999995</v>
      </c>
      <c r="F676" s="922">
        <f t="shared" si="34"/>
        <v>99.5913163254617</v>
      </c>
      <c r="G676" s="1006">
        <v>50579123.13</v>
      </c>
      <c r="H676" s="1000">
        <f aca="true" t="shared" si="35" ref="H676:H682">G676-E676</f>
        <v>0</v>
      </c>
      <c r="I676" s="350"/>
      <c r="J676" s="350"/>
    </row>
    <row r="677" spans="1:10" ht="18.75" customHeight="1">
      <c r="A677" s="343"/>
      <c r="B677" s="314"/>
      <c r="C677" s="363" t="s">
        <v>739</v>
      </c>
      <c r="D677" s="918">
        <f t="shared" si="33"/>
        <v>7930686</v>
      </c>
      <c r="E677" s="918">
        <f t="shared" si="33"/>
        <v>7889359.029999999</v>
      </c>
      <c r="F677" s="922">
        <f t="shared" si="34"/>
        <v>99.47889791627105</v>
      </c>
      <c r="G677" s="1005">
        <v>7959804.56</v>
      </c>
      <c r="H677" s="999">
        <f t="shared" si="35"/>
        <v>70445.53000000026</v>
      </c>
      <c r="I677" s="350" t="s">
        <v>141</v>
      </c>
      <c r="J677" s="350"/>
    </row>
    <row r="678" spans="1:10" s="312" customFormat="1" ht="18.75" customHeight="1">
      <c r="A678" s="343"/>
      <c r="B678" s="314"/>
      <c r="C678" s="344" t="s">
        <v>1076</v>
      </c>
      <c r="D678" s="920">
        <f t="shared" si="33"/>
        <v>17808027</v>
      </c>
      <c r="E678" s="920">
        <f t="shared" si="33"/>
        <v>17676876.900000002</v>
      </c>
      <c r="F678" s="921">
        <f t="shared" si="34"/>
        <v>99.26353379855051</v>
      </c>
      <c r="G678" s="1005">
        <v>17676876.9</v>
      </c>
      <c r="H678" s="999">
        <f t="shared" si="35"/>
        <v>0</v>
      </c>
      <c r="I678" s="345"/>
      <c r="J678" s="345"/>
    </row>
    <row r="679" spans="1:10" s="312" customFormat="1" ht="18.75" customHeight="1">
      <c r="A679" s="343"/>
      <c r="B679" s="314"/>
      <c r="C679" s="344" t="s">
        <v>343</v>
      </c>
      <c r="D679" s="920">
        <f>SUM(D658)</f>
        <v>1931161</v>
      </c>
      <c r="E679" s="920">
        <f>SUM(E658)</f>
        <v>1918459.91</v>
      </c>
      <c r="F679" s="921">
        <f t="shared" si="34"/>
        <v>99.34230807270859</v>
      </c>
      <c r="G679" s="1005">
        <v>1918459.91</v>
      </c>
      <c r="H679" s="999">
        <f t="shared" si="35"/>
        <v>0</v>
      </c>
      <c r="I679" s="345"/>
      <c r="J679" s="345"/>
    </row>
    <row r="680" spans="1:10" ht="18.75" customHeight="1">
      <c r="A680" s="351"/>
      <c r="B680" s="1373"/>
      <c r="C680" s="352" t="s">
        <v>309</v>
      </c>
      <c r="D680" s="845">
        <f>SUM(D659,D669)</f>
        <v>74060833</v>
      </c>
      <c r="E680" s="845">
        <f>SUM(E659,E669)</f>
        <v>69178031.47</v>
      </c>
      <c r="F680" s="917">
        <f t="shared" si="34"/>
        <v>93.40703941312677</v>
      </c>
      <c r="G680" s="1005">
        <v>69178031.47</v>
      </c>
      <c r="H680" s="999">
        <f t="shared" si="35"/>
        <v>0</v>
      </c>
      <c r="I680" s="350"/>
      <c r="J680" s="350"/>
    </row>
    <row r="681" spans="1:10" ht="12" customHeight="1">
      <c r="A681" s="351"/>
      <c r="B681" s="1373"/>
      <c r="C681" s="353" t="s">
        <v>305</v>
      </c>
      <c r="D681" s="981"/>
      <c r="E681" s="981"/>
      <c r="F681" s="919"/>
      <c r="G681" s="1005"/>
      <c r="H681" s="999">
        <f t="shared" si="35"/>
        <v>0</v>
      </c>
      <c r="I681" s="350"/>
      <c r="J681" s="350"/>
    </row>
    <row r="682" spans="1:10" s="312" customFormat="1" ht="18.75" customHeight="1" thickBot="1">
      <c r="A682" s="364"/>
      <c r="B682" s="1375"/>
      <c r="C682" s="365" t="s">
        <v>308</v>
      </c>
      <c r="D682" s="965">
        <f>SUM(D661,D671)</f>
        <v>2141476</v>
      </c>
      <c r="E682" s="965">
        <f>SUM(E661,E671)</f>
        <v>1477337.65</v>
      </c>
      <c r="F682" s="1007">
        <f>E682/D682*100</f>
        <v>68.98688801555562</v>
      </c>
      <c r="G682" s="1005">
        <v>1477337.65</v>
      </c>
      <c r="H682" s="999">
        <f t="shared" si="35"/>
        <v>0</v>
      </c>
      <c r="I682" s="345"/>
      <c r="J682" s="345"/>
    </row>
    <row r="683" spans="1:10" s="78" customFormat="1" ht="18.75" customHeight="1">
      <c r="A683" s="370"/>
      <c r="B683" s="370"/>
      <c r="C683" s="371" t="s">
        <v>770</v>
      </c>
      <c r="D683" s="372">
        <v>217822799.56</v>
      </c>
      <c r="E683" s="372">
        <v>210154386.72</v>
      </c>
      <c r="F683" s="955"/>
      <c r="G683" s="1002"/>
      <c r="H683" s="373"/>
      <c r="I683" s="373"/>
      <c r="J683" s="373"/>
    </row>
    <row r="684" spans="1:10" s="78" customFormat="1" ht="18.75" customHeight="1">
      <c r="A684" s="370"/>
      <c r="B684" s="370"/>
      <c r="C684" s="371" t="s">
        <v>799</v>
      </c>
      <c r="D684" s="372">
        <f>D672-D683</f>
        <v>0</v>
      </c>
      <c r="E684" s="372">
        <f>E672-E683</f>
        <v>0</v>
      </c>
      <c r="F684" s="955"/>
      <c r="G684" s="1002"/>
      <c r="H684" s="373"/>
      <c r="I684" s="373"/>
      <c r="J684" s="373"/>
    </row>
    <row r="685" spans="3:10" ht="18.75" customHeight="1" hidden="1">
      <c r="C685" s="310" t="s">
        <v>278</v>
      </c>
      <c r="D685" s="647">
        <f>SUM(D652,D659)</f>
        <v>140184764.56</v>
      </c>
      <c r="E685" s="956">
        <f>SUM(E652,E659)</f>
        <v>134664478.31</v>
      </c>
      <c r="F685" s="957">
        <f>E685/D685*100</f>
        <v>96.06213537731678</v>
      </c>
      <c r="I685" s="350"/>
      <c r="J685" s="350"/>
    </row>
    <row r="686" spans="3:10" ht="13.5" customHeight="1" hidden="1">
      <c r="C686" s="310" t="s">
        <v>1335</v>
      </c>
      <c r="D686" s="647"/>
      <c r="E686" s="956"/>
      <c r="F686" s="957" t="e">
        <f>E686/D686*100</f>
        <v>#DIV/0!</v>
      </c>
      <c r="G686" s="1002"/>
      <c r="H686" s="373"/>
      <c r="I686" s="350"/>
      <c r="J686" s="350"/>
    </row>
    <row r="687" spans="3:10" ht="14.25" customHeight="1" hidden="1">
      <c r="C687" s="310" t="s">
        <v>1336</v>
      </c>
      <c r="D687" s="647"/>
      <c r="E687" s="956"/>
      <c r="F687" s="957" t="e">
        <f>E687/D687*100</f>
        <v>#DIV/0!</v>
      </c>
      <c r="G687" s="1002"/>
      <c r="H687" s="373"/>
      <c r="I687" s="350"/>
      <c r="J687" s="350"/>
    </row>
    <row r="688" spans="3:10" ht="15" customHeight="1" hidden="1">
      <c r="C688" s="648" t="s">
        <v>1337</v>
      </c>
      <c r="D688" s="649"/>
      <c r="E688" s="958"/>
      <c r="F688" s="959" t="e">
        <f>E688/D688*100</f>
        <v>#DIV/0!</v>
      </c>
      <c r="G688" s="1002"/>
      <c r="H688" s="373"/>
      <c r="I688" s="350"/>
      <c r="J688" s="350"/>
    </row>
    <row r="689" spans="3:10" ht="15" customHeight="1" hidden="1">
      <c r="C689" s="309" t="s">
        <v>1338</v>
      </c>
      <c r="D689" s="647">
        <f>SUM(D686:D688)</f>
        <v>0</v>
      </c>
      <c r="E689" s="956">
        <f>SUM(E686:E688)</f>
        <v>0</v>
      </c>
      <c r="F689" s="957" t="e">
        <f>E689/D689*100</f>
        <v>#DIV/0!</v>
      </c>
      <c r="G689" s="1002"/>
      <c r="H689" s="373"/>
      <c r="I689" s="350"/>
      <c r="J689" s="350"/>
    </row>
    <row r="690" spans="3:10" ht="14.25" customHeight="1" hidden="1">
      <c r="C690" s="310" t="s">
        <v>1339</v>
      </c>
      <c r="D690" s="647">
        <f>SUM(D7-D689)</f>
        <v>140184764.56</v>
      </c>
      <c r="E690" s="956">
        <f>SUM(E7-E689)</f>
        <v>134664478.31</v>
      </c>
      <c r="F690" s="957"/>
      <c r="I690" s="350"/>
      <c r="J690" s="350"/>
    </row>
    <row r="691" spans="1:10" s="78" customFormat="1" ht="11.25" customHeight="1" hidden="1">
      <c r="A691" s="309"/>
      <c r="B691" s="309"/>
      <c r="C691" s="310" t="s">
        <v>1352</v>
      </c>
      <c r="D691" s="647"/>
      <c r="E691" s="956"/>
      <c r="F691" s="957"/>
      <c r="G691" s="82"/>
      <c r="I691" s="373"/>
      <c r="J691" s="373"/>
    </row>
    <row r="692" spans="1:7" s="78" customFormat="1" ht="12" customHeight="1" hidden="1">
      <c r="A692" s="650"/>
      <c r="B692" s="650"/>
      <c r="C692" s="651" t="s">
        <v>1330</v>
      </c>
      <c r="D692" s="652"/>
      <c r="E692" s="960"/>
      <c r="F692" s="957" t="e">
        <f aca="true" t="shared" si="36" ref="F692:F701">E692/D692*100</f>
        <v>#DIV/0!</v>
      </c>
      <c r="G692" s="82"/>
    </row>
    <row r="693" spans="1:7" s="78" customFormat="1" ht="12" customHeight="1" hidden="1">
      <c r="A693" s="650"/>
      <c r="B693" s="650"/>
      <c r="C693" s="651" t="s">
        <v>1331</v>
      </c>
      <c r="D693" s="652"/>
      <c r="E693" s="960"/>
      <c r="F693" s="957" t="e">
        <f t="shared" si="36"/>
        <v>#DIV/0!</v>
      </c>
      <c r="G693" s="82"/>
    </row>
    <row r="694" spans="1:7" s="78" customFormat="1" ht="12" customHeight="1" hidden="1">
      <c r="A694" s="650"/>
      <c r="B694" s="650"/>
      <c r="C694" s="653" t="s">
        <v>1332</v>
      </c>
      <c r="D694" s="654"/>
      <c r="E694" s="961"/>
      <c r="F694" s="959" t="e">
        <f t="shared" si="36"/>
        <v>#DIV/0!</v>
      </c>
      <c r="G694" s="82"/>
    </row>
    <row r="695" spans="1:7" s="337" customFormat="1" ht="18" customHeight="1" hidden="1">
      <c r="A695" s="655"/>
      <c r="B695" s="655"/>
      <c r="C695" s="656" t="s">
        <v>1340</v>
      </c>
      <c r="D695" s="368">
        <f>SUM(D692:D694)</f>
        <v>0</v>
      </c>
      <c r="E695" s="962">
        <f>SUM(E692:E694)</f>
        <v>0</v>
      </c>
      <c r="F695" s="957" t="e">
        <f t="shared" si="36"/>
        <v>#DIV/0!</v>
      </c>
      <c r="G695" s="991"/>
    </row>
    <row r="696" spans="1:7" s="78" customFormat="1" ht="12" customHeight="1" hidden="1">
      <c r="A696" s="650"/>
      <c r="B696" s="650"/>
      <c r="C696" s="651" t="s">
        <v>1333</v>
      </c>
      <c r="D696" s="652"/>
      <c r="E696" s="960"/>
      <c r="F696" s="957" t="e">
        <f t="shared" si="36"/>
        <v>#DIV/0!</v>
      </c>
      <c r="G696" s="82"/>
    </row>
    <row r="697" spans="1:7" s="78" customFormat="1" ht="12" customHeight="1" hidden="1">
      <c r="A697" s="650"/>
      <c r="B697" s="650"/>
      <c r="C697" s="653" t="s">
        <v>1334</v>
      </c>
      <c r="D697" s="654"/>
      <c r="E697" s="961"/>
      <c r="F697" s="959" t="e">
        <f t="shared" si="36"/>
        <v>#DIV/0!</v>
      </c>
      <c r="G697" s="82"/>
    </row>
    <row r="698" spans="1:7" s="81" customFormat="1" ht="14.25" customHeight="1" hidden="1">
      <c r="A698" s="655"/>
      <c r="B698" s="655"/>
      <c r="C698" s="656" t="s">
        <v>1342</v>
      </c>
      <c r="D698" s="657">
        <f>SUM(D696:D697)</f>
        <v>0</v>
      </c>
      <c r="E698" s="963">
        <f>SUM(E696:E697)</f>
        <v>0</v>
      </c>
      <c r="F698" s="957" t="e">
        <f t="shared" si="36"/>
        <v>#DIV/0!</v>
      </c>
      <c r="G698" s="82"/>
    </row>
    <row r="699" spans="1:7" s="78" customFormat="1" ht="12" customHeight="1" hidden="1">
      <c r="A699" s="650"/>
      <c r="B699" s="650"/>
      <c r="C699" s="658" t="s">
        <v>740</v>
      </c>
      <c r="D699" s="369"/>
      <c r="E699" s="964"/>
      <c r="F699" s="957" t="e">
        <f t="shared" si="36"/>
        <v>#DIV/0!</v>
      </c>
      <c r="G699" s="82"/>
    </row>
    <row r="700" spans="1:7" s="78" customFormat="1" ht="12" customHeight="1" hidden="1">
      <c r="A700" s="650"/>
      <c r="B700" s="650"/>
      <c r="C700" s="659" t="s">
        <v>763</v>
      </c>
      <c r="D700" s="654"/>
      <c r="E700" s="961"/>
      <c r="F700" s="959" t="e">
        <f t="shared" si="36"/>
        <v>#DIV/0!</v>
      </c>
      <c r="G700" s="82"/>
    </row>
    <row r="701" spans="1:7" s="81" customFormat="1" ht="15" customHeight="1" hidden="1">
      <c r="A701" s="655"/>
      <c r="B701" s="655"/>
      <c r="C701" s="655" t="s">
        <v>1341</v>
      </c>
      <c r="D701" s="368">
        <f>SUM(D699:D700)</f>
        <v>0</v>
      </c>
      <c r="E701" s="962">
        <f>SUM(E699:E700)</f>
        <v>0</v>
      </c>
      <c r="F701" s="957" t="e">
        <f t="shared" si="36"/>
        <v>#DIV/0!</v>
      </c>
      <c r="G701" s="82"/>
    </row>
    <row r="702" ht="18.75" customHeight="1" hidden="1"/>
  </sheetData>
  <sheetProtection/>
  <mergeCells count="4">
    <mergeCell ref="A401:C401"/>
    <mergeCell ref="A3:E3"/>
    <mergeCell ref="E1:F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rowBreaks count="1" manualBreakCount="1">
    <brk id="4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jwildhirt</cp:lastModifiedBy>
  <cp:lastPrinted>2009-04-01T08:28:42Z</cp:lastPrinted>
  <dcterms:created xsi:type="dcterms:W3CDTF">2002-07-29T09:23:44Z</dcterms:created>
  <dcterms:modified xsi:type="dcterms:W3CDTF">2009-04-01T08:29:19Z</dcterms:modified>
  <cp:category/>
  <cp:version/>
  <cp:contentType/>
  <cp:contentStatus/>
</cp:coreProperties>
</file>