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420" tabRatio="912" firstSheet="21" activeTab="29"/>
  </bookViews>
  <sheets>
    <sheet name="1Zmiany D i W" sheetId="1" r:id="rId1"/>
    <sheet name="2Zmiany P i R" sheetId="2" r:id="rId2"/>
    <sheet name="3Wysokość i przezn. nadwyżki" sheetId="3" r:id="rId3"/>
    <sheet name="4D i W wg działów" sheetId="4" r:id="rId4"/>
    <sheet name="5PiR" sheetId="5" r:id="rId5"/>
    <sheet name="6D" sheetId="6" r:id="rId6"/>
    <sheet name="7D majatkowe" sheetId="7" r:id="rId7"/>
    <sheet name="8D wg źródeł" sheetId="8" r:id="rId8"/>
    <sheet name="9W" sheetId="9" r:id="rId9"/>
    <sheet name="10W dotacje z budżetu miasta" sheetId="10" r:id="rId10"/>
    <sheet name="11W jednostek pom." sheetId="11" r:id="rId11"/>
    <sheet name="12D i W dot. z budż. państwa" sheetId="12" r:id="rId12"/>
    <sheet name="13DiW zlecone" sheetId="13" r:id="rId13"/>
    <sheet name="14DiW porozumienia" sheetId="14" r:id="rId14"/>
    <sheet name="15DiW porozumienia z jst" sheetId="15" r:id="rId15"/>
    <sheet name="16Programy unijne" sheetId="16" r:id="rId16"/>
    <sheet name="17Inwestycje WIM" sheetId="17" r:id="rId17"/>
    <sheet name="18D i W własne jednostek" sheetId="18" r:id="rId18"/>
    <sheet name="19niewygasy2007" sheetId="19" r:id="rId19"/>
    <sheet name="20ZGM" sheetId="20" r:id="rId20"/>
    <sheet name="21Przedszkola" sheetId="21" r:id="rId21"/>
    <sheet name="22 Wyspiarz" sheetId="22" r:id="rId22"/>
    <sheet name="23PFGZGiK" sheetId="23" r:id="rId23"/>
    <sheet name="24GFOŚiGW" sheetId="24" r:id="rId24"/>
    <sheet name="25PFOŚiGW" sheetId="25" r:id="rId25"/>
    <sheet name="26MDK" sheetId="26" r:id="rId26"/>
    <sheet name="27Bibloteka" sheetId="27" r:id="rId27"/>
    <sheet name="28Muzeum" sheetId="28" r:id="rId28"/>
    <sheet name="29SP ZOZ SZPITAL" sheetId="29" r:id="rId29"/>
    <sheet name="30SP ZOZ ZP-O" sheetId="30" r:id="rId30"/>
  </sheets>
  <definedNames>
    <definedName name="_xlnm.Print_Area" localSheetId="9">'10W dotacje z budżetu miasta'!$A$1:$F$95</definedName>
    <definedName name="_xlnm.Print_Area" localSheetId="10">'11W jednostek pom.'!$A$1:$G$11</definedName>
    <definedName name="_xlnm.Print_Area" localSheetId="11">'12D i W dot. z budż. państwa'!$A$1:$I$49</definedName>
    <definedName name="_xlnm.Print_Area" localSheetId="12">'13DiW zlecone'!$A$1:$I$52</definedName>
    <definedName name="_xlnm.Print_Area" localSheetId="13">'14DiW porozumienia'!$A$1:$I$24</definedName>
    <definedName name="_xlnm.Print_Area" localSheetId="14">'15DiW porozumienia z jst'!$A$1:$I$13</definedName>
    <definedName name="_xlnm.Print_Area" localSheetId="15">'16Programy unijne'!$A$1:$M$40</definedName>
    <definedName name="_xlnm.Print_Area" localSheetId="16">'17Inwestycje WIM'!$A$1:$F$92</definedName>
    <definedName name="_xlnm.Print_Area" localSheetId="17">'18D i W własne jednostek'!$A$1:$I$38</definedName>
    <definedName name="_xlnm.Print_Area" localSheetId="18">'19niewygasy2007'!$A$1:$G$15</definedName>
    <definedName name="_xlnm.Print_Area" localSheetId="0">'1Zmiany D i W'!$A$1:$F$31</definedName>
    <definedName name="_xlnm.Print_Area" localSheetId="19">'20ZGM'!$A$1:$F$55</definedName>
    <definedName name="_xlnm.Print_Area" localSheetId="20">'21Przedszkola'!$A$1:$F$44</definedName>
    <definedName name="_xlnm.Print_Area" localSheetId="21">'22 Wyspiarz'!$A$1:$F$51</definedName>
    <definedName name="_xlnm.Print_Area" localSheetId="22">'23PFGZGiK'!$A$1:$F$29</definedName>
    <definedName name="_xlnm.Print_Area" localSheetId="23">'24GFOŚiGW'!$A$1:$F$27</definedName>
    <definedName name="_xlnm.Print_Area" localSheetId="24">'25PFOŚiGW'!$A$1:$F$19</definedName>
    <definedName name="_xlnm.Print_Area" localSheetId="25">'26MDK'!$A$1:$E$26</definedName>
    <definedName name="_xlnm.Print_Area" localSheetId="26">'27Bibloteka'!$A$1:$E$32</definedName>
    <definedName name="_xlnm.Print_Area" localSheetId="27">'28Muzeum'!$A$1:$E$34</definedName>
    <definedName name="_xlnm.Print_Area" localSheetId="28">'29SP ZOZ SZPITAL'!$A$1:$E$79</definedName>
    <definedName name="_xlnm.Print_Area" localSheetId="1">'2Zmiany P i R'!$A$1:$F$13</definedName>
    <definedName name="_xlnm.Print_Area" localSheetId="29">'30SP ZOZ ZP-O'!$A$1:$E$54</definedName>
    <definedName name="_xlnm.Print_Area" localSheetId="2">'3Wysokość i przezn. nadwyżki'!$A$1:$F$40</definedName>
    <definedName name="_xlnm.Print_Area" localSheetId="3">'4D i W wg działów'!$A$1:$H$33</definedName>
    <definedName name="_xlnm.Print_Area" localSheetId="4">'5PiR'!$A$1:$F$17</definedName>
    <definedName name="_xlnm.Print_Area" localSheetId="5">'6D'!$A$1:$G$331</definedName>
    <definedName name="_xlnm.Print_Area" localSheetId="6">'7D majatkowe'!$A$1:$G$54</definedName>
    <definedName name="_xlnm.Print_Area" localSheetId="7">'8D wg źródeł'!$A$1:$E$80</definedName>
    <definedName name="_xlnm.Print_Area" localSheetId="8">'9W'!$A$1:$F$679</definedName>
    <definedName name="_xlnm.Print_Titles" localSheetId="12">'13DiW zlecone'!$5:$8</definedName>
    <definedName name="_xlnm.Print_Titles" localSheetId="13">'14DiW porozumienia'!$5:$8</definedName>
    <definedName name="_xlnm.Print_Titles" localSheetId="14">'15DiW porozumienia z jst'!$5:$8</definedName>
    <definedName name="_xlnm.Print_Titles" localSheetId="15">'16Programy unijne'!$4:$6</definedName>
  </definedNames>
  <calcPr fullCalcOnLoad="1"/>
</workbook>
</file>

<file path=xl/sharedStrings.xml><?xml version="1.0" encoding="utf-8"?>
<sst xmlns="http://schemas.openxmlformats.org/spreadsheetml/2006/main" count="3686" uniqueCount="1289">
  <si>
    <t>Przebudowa boisk przyszkolnych  (budowa boiska przy GP nr 1 i 2 w ramach programu "Moje boisko Orlik 2012")</t>
  </si>
  <si>
    <r>
      <t>Przebudowa ulicy Grunwaldzkiej jako transgranicznej drogi turystycznej do przejścia granicznego Świnoujście</t>
    </r>
    <r>
      <rPr>
        <i/>
        <sz val="10"/>
        <rFont val="Times New Roman"/>
        <family val="1"/>
      </rPr>
      <t xml:space="preserve"> -przebudowa ulicy Grunwaldzkiej pomiędzy ulicą Krzywą a ulicą Nowokarsiborską - II etap
</t>
    </r>
  </si>
  <si>
    <t>wydatki majątkowe zlecone</t>
  </si>
  <si>
    <t>0390</t>
  </si>
  <si>
    <t>Placówki opiekuńczo-wychowawcze</t>
  </si>
  <si>
    <t>nie może być ujemna!</t>
  </si>
  <si>
    <t>2690</t>
  </si>
  <si>
    <t xml:space="preserve">    - uzdrowiskowa</t>
  </si>
  <si>
    <t>Urzędy naczelnych organów władzy państwowej, kontroli i ochrony prawa oraz sądownictwa</t>
  </si>
  <si>
    <t>Rb 28S</t>
  </si>
  <si>
    <t>Przedszkola Miejskie</t>
  </si>
  <si>
    <t>Miejska Biblioteka Publiczna</t>
  </si>
  <si>
    <t>Muzeum Rybołówstwa Morskiego</t>
  </si>
  <si>
    <t>Rozchody</t>
  </si>
  <si>
    <t>Źródła dochodów</t>
  </si>
  <si>
    <t>2. Opłaty</t>
  </si>
  <si>
    <t>Pozostałe zadania w zakresie polityki społecznej</t>
  </si>
  <si>
    <t>5. Dochody z majątku</t>
  </si>
  <si>
    <t xml:space="preserve">  </t>
  </si>
  <si>
    <t>Dochody od osób prawnych, od osób fizycznych i od innych jednostek nieposiadających osobowości prawnej oraz wydatki związane z ich poborem</t>
  </si>
  <si>
    <t>Wytwarzanie i zaopatrywanie w energię elektryczną, gaz i wodę</t>
  </si>
  <si>
    <t xml:space="preserve">8. Inne dochody </t>
  </si>
  <si>
    <t>II. Subwencje</t>
  </si>
  <si>
    <t xml:space="preserve">    - od nieruchomości </t>
  </si>
  <si>
    <t xml:space="preserve">    - rolny</t>
  </si>
  <si>
    <t xml:space="preserve">    - leśny</t>
  </si>
  <si>
    <t xml:space="preserve">    - od środków transportowych</t>
  </si>
  <si>
    <t xml:space="preserve">    - od spadków i darowizn</t>
  </si>
  <si>
    <t xml:space="preserve">    - od czynności cywilnoprawnych</t>
  </si>
  <si>
    <t xml:space="preserve">    - skarbowa</t>
  </si>
  <si>
    <t xml:space="preserve">    - komunikacyjna</t>
  </si>
  <si>
    <t xml:space="preserve">    - eksploatacyjna</t>
  </si>
  <si>
    <t>POWIAT</t>
  </si>
  <si>
    <t xml:space="preserve">    - za zezwolenia na sprzedaż alkoholu</t>
  </si>
  <si>
    <t xml:space="preserve">    - za koncesje i licencje</t>
  </si>
  <si>
    <t>Rozbudowa Cmentarza Komunalnego w Przytorze</t>
  </si>
  <si>
    <t xml:space="preserve">    - w podatku dochodowym od osób fizycznych</t>
  </si>
  <si>
    <t xml:space="preserve">    - w podatku dochodowym od osób prawnych</t>
  </si>
  <si>
    <t>Różnica</t>
  </si>
  <si>
    <t xml:space="preserve">    - wpływy z usług</t>
  </si>
  <si>
    <t xml:space="preserve">     RAZEM I+II+III</t>
  </si>
  <si>
    <t xml:space="preserve">    - środki pozyskane z innych źródeł</t>
  </si>
  <si>
    <t xml:space="preserve">  a) oświatowa</t>
  </si>
  <si>
    <t xml:space="preserve">  b) uzupełnienie subwencji</t>
  </si>
  <si>
    <t xml:space="preserve">        - powiat</t>
  </si>
  <si>
    <t xml:space="preserve">        - gmina</t>
  </si>
  <si>
    <t>ZMIANY DOKONANE W PRZYCHODACH I ROZCHODACH</t>
  </si>
  <si>
    <t xml:space="preserve">       - powiat</t>
  </si>
  <si>
    <t xml:space="preserve">       - gmina</t>
  </si>
  <si>
    <t xml:space="preserve">  b) na zadania z zakresu administracji rządowej</t>
  </si>
  <si>
    <t>2701</t>
  </si>
  <si>
    <t>85324</t>
  </si>
  <si>
    <t>Państwowy Fundusz Rehabilitacji Osób Niepełnosprawnych</t>
  </si>
  <si>
    <t>Nr uchwały
 lub zarządzenia</t>
  </si>
  <si>
    <t>75818</t>
  </si>
  <si>
    <t>Rezerwy ogólne i celowe</t>
  </si>
  <si>
    <t>85311</t>
  </si>
  <si>
    <t>Wyszczególnienie jednostek</t>
  </si>
  <si>
    <t>Liceum Ogólnokształcące z Oddziałami Integracyjnymi</t>
  </si>
  <si>
    <t>Rehabilitacja zawodowa i społeczna osób niepełnosprawnych</t>
  </si>
  <si>
    <t>Nr uchwały 
lub zarządzenia</t>
  </si>
  <si>
    <t>75406</t>
  </si>
  <si>
    <t>Straż Graniczna</t>
  </si>
  <si>
    <t>60004</t>
  </si>
  <si>
    <t>Lokalny transport zbiorowy</t>
  </si>
  <si>
    <t>25/2008</t>
  </si>
  <si>
    <t>Środki na dofinansowanie własnych zadań 
bieżących gmin (związków gmin), powiatów (związków powiatów), samorządów województw, pozyskane z innych źródeł
Finansowanie programów ze środków bezzwrotnych pochodzących z Unii Europejskiej</t>
  </si>
  <si>
    <t>/w zł/</t>
  </si>
  <si>
    <t>Rozdział</t>
  </si>
  <si>
    <t>Treść</t>
  </si>
  <si>
    <t>Plan</t>
  </si>
  <si>
    <t>Wykonanie</t>
  </si>
  <si>
    <t>%</t>
  </si>
  <si>
    <t>010</t>
  </si>
  <si>
    <t>Pozostała działalność</t>
  </si>
  <si>
    <t>020</t>
  </si>
  <si>
    <t>02095</t>
  </si>
  <si>
    <t>500</t>
  </si>
  <si>
    <t>600</t>
  </si>
  <si>
    <t>TRANSPORT I ŁĄCZNOŚĆ</t>
  </si>
  <si>
    <t>60015</t>
  </si>
  <si>
    <t>60016</t>
  </si>
  <si>
    <t>Drogi publiczne gminne</t>
  </si>
  <si>
    <t>630</t>
  </si>
  <si>
    <t>TURYSTYKA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</si>
  <si>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</si>
  <si>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</si>
  <si>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</si>
  <si>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</si>
  <si>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</si>
  <si>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</si>
  <si>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</si>
  <si>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</si>
  <si>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Opracowania geodezyjne i kartograficzne</t>
  </si>
  <si>
    <t>71015</t>
  </si>
  <si>
    <t>PRZYCHODY I ROZCHODY</t>
  </si>
  <si>
    <t xml:space="preserve">Przychody </t>
  </si>
  <si>
    <t xml:space="preserve">Rozchody </t>
  </si>
  <si>
    <t>Nadzór budowlany</t>
  </si>
  <si>
    <t>71035</t>
  </si>
  <si>
    <t>Cmentarze</t>
  </si>
  <si>
    <t>750</t>
  </si>
  <si>
    <t>ADMINISTRACJA PUBLICZNA</t>
  </si>
  <si>
    <t>75011</t>
  </si>
  <si>
    <t>WYDATKI GMINY</t>
  </si>
  <si>
    <t>GMINA</t>
  </si>
  <si>
    <t>WYDATKI POWIATU</t>
  </si>
  <si>
    <t>Środki na dofinansowanie własnych inwestycji  gmin (związków gmin), powiatów (związków powiatów), samorządów województw, pozyskane z innych źródeł</t>
  </si>
  <si>
    <t>60011</t>
  </si>
  <si>
    <t>Urzędy wojewódzkie</t>
  </si>
  <si>
    <t>75020</t>
  </si>
  <si>
    <t>Starostwa powiatowe</t>
  </si>
  <si>
    <t>75023</t>
  </si>
  <si>
    <t>75045</t>
  </si>
  <si>
    <t>Komisje poborowe</t>
  </si>
  <si>
    <t>75095</t>
  </si>
  <si>
    <t>URZĘDY NACZELNYCH ORGANÓW WŁADZY PAŃSTWOWEJ, KONTROLI I OCHRONY PRAWA ORAZ SĄDOWNICTWA</t>
  </si>
  <si>
    <t>754</t>
  </si>
  <si>
    <t>75411</t>
  </si>
  <si>
    <t>75414</t>
  </si>
  <si>
    <t>Obrona cywilna</t>
  </si>
  <si>
    <t>757</t>
  </si>
  <si>
    <t>758</t>
  </si>
  <si>
    <t>RÓŻNE ROZLICZENIA</t>
  </si>
  <si>
    <t>801</t>
  </si>
  <si>
    <t>OŚWIATA I WYCHOWANIE</t>
  </si>
  <si>
    <t>80101</t>
  </si>
  <si>
    <t>Szkoły podstawowe</t>
  </si>
  <si>
    <t>80110</t>
  </si>
  <si>
    <t>Gimnazja</t>
  </si>
  <si>
    <t>80120</t>
  </si>
  <si>
    <t>80130</t>
  </si>
  <si>
    <t>Szkoły zawodowe</t>
  </si>
  <si>
    <t>851</t>
  </si>
  <si>
    <t>OCHRONA ZDROWIA</t>
  </si>
  <si>
    <t>85154</t>
  </si>
  <si>
    <t>Przeciwdziałanie alkoholizmowi</t>
  </si>
  <si>
    <t>853</t>
  </si>
  <si>
    <t>85305</t>
  </si>
  <si>
    <t>Drogi publiczne w miastach na prawach powiatu (w rozdziale nie ujmuje się wydatków na drogi gminne)</t>
  </si>
  <si>
    <t>Poradnie psychologiczno-pedagogiczne, w tym poradnie specjalistyczne</t>
  </si>
  <si>
    <t>Przebudowa ulicy Zalewowej</t>
  </si>
  <si>
    <t>33.</t>
  </si>
  <si>
    <t>Dodatki mieszkaniowe</t>
  </si>
  <si>
    <t>LIMITY WYDATKÓW  NA PROJEKTY PLANOWANE DO REALIZACJI  W RAMACH POSZCZEGÓLNYCH PROGRAMÓW OPERACYJNYCH 
W ROKU 2008 I KOLEJNYCH
(zawarte w budżecie Miasta, budżecie GFOŚiGW oraz środki Funduszu Pracy)</t>
  </si>
  <si>
    <t>Ośrodki pomocy społecznej</t>
  </si>
  <si>
    <t>Opłaty na rzecz budżetu państwa</t>
  </si>
  <si>
    <t>85321</t>
  </si>
  <si>
    <t>Usługi opiekuńcze i specjalistyczne usługi opiekuńcze</t>
  </si>
  <si>
    <t>854</t>
  </si>
  <si>
    <t>III. Dotacje celowe</t>
  </si>
  <si>
    <t xml:space="preserve">    - środki Funduszu Pracy</t>
  </si>
  <si>
    <t xml:space="preserve">    - wpływy z różnych dochodów</t>
  </si>
  <si>
    <t>EDUKACYJNA OPIEKA WYCHOWAWCZA</t>
  </si>
  <si>
    <t>85403</t>
  </si>
  <si>
    <t>85406</t>
  </si>
  <si>
    <t>OGÓŁEM DOCHODY (GMINA + POWIAT)</t>
  </si>
  <si>
    <t>sprawozdanie Rb 27</t>
  </si>
  <si>
    <t>różnica (Rb 27 - zestawienie)</t>
  </si>
  <si>
    <t>Dochody majątkowe</t>
  </si>
  <si>
    <t>Dochody bieżące</t>
  </si>
  <si>
    <t>subwencja na inwestycje</t>
  </si>
  <si>
    <t>środki z innych źródeł</t>
  </si>
  <si>
    <t>pozostałe</t>
  </si>
  <si>
    <t>transfery z budżetu państwa (dotacje, subwencje, udziały w podatku dochodowym od osób fizycznych)</t>
  </si>
  <si>
    <t>1.1</t>
  </si>
  <si>
    <t>1.2</t>
  </si>
  <si>
    <t>1.3</t>
  </si>
  <si>
    <t>2.1</t>
  </si>
  <si>
    <t>2.2</t>
  </si>
  <si>
    <t>pozostałe dotacje</t>
  </si>
  <si>
    <t>- prefinansowanie</t>
  </si>
  <si>
    <t>- spłata kredytów i pożyczek</t>
  </si>
  <si>
    <t>- spłata pożyczki na prefinansowanie</t>
  </si>
  <si>
    <t>2.3</t>
  </si>
  <si>
    <t>1.4</t>
  </si>
  <si>
    <t>wynagrodzenia i pochodne</t>
  </si>
  <si>
    <t>dotacje</t>
  </si>
  <si>
    <t>obsługa długu publicznego</t>
  </si>
  <si>
    <t>wg Rb28S</t>
  </si>
  <si>
    <t>Wg rb27S</t>
  </si>
  <si>
    <t>tabela</t>
  </si>
  <si>
    <t>2.4</t>
  </si>
  <si>
    <t>dotacje z budżetu państwa</t>
  </si>
  <si>
    <t>Tabela nr 3</t>
  </si>
  <si>
    <t>Budowa ścieżki rowerowej wzdłuż ulicy Krzywej</t>
  </si>
  <si>
    <t>OGÓŁEM INWESTYCJE KOMUNALNE (WIM)</t>
  </si>
  <si>
    <t>Dotacja z budżetu Miasta na bieżącą działalność</t>
  </si>
  <si>
    <t>Amortyzacja</t>
  </si>
  <si>
    <t>Usługi materialne</t>
  </si>
  <si>
    <t>Wynagrodzenia</t>
  </si>
  <si>
    <t>Podróże służbowe i koszty zakwaterowania</t>
  </si>
  <si>
    <t>Usługi niematerialne</t>
  </si>
  <si>
    <t>MIEJSKI DOM KULTURY</t>
  </si>
  <si>
    <t>RÓŻNICA</t>
  </si>
  <si>
    <t>2.5</t>
  </si>
  <si>
    <t>zadania własne</t>
  </si>
  <si>
    <t xml:space="preserve">OTRZYMANE DOTACJE Z BUDŻETU PAŃSTWA ORAZ ICH WYDATKOWANIE </t>
  </si>
  <si>
    <t xml:space="preserve">zadania realizowane na podstawie  porozumień z organami administracji  rządowej </t>
  </si>
  <si>
    <t>zadania z zakresu administracji  rządowej</t>
  </si>
  <si>
    <t>Kredyty</t>
  </si>
  <si>
    <t>Pożyczki</t>
  </si>
  <si>
    <t>zadania realizowane na podstawie porozumień z innymi jednostkami samorządu terytorialnego</t>
  </si>
  <si>
    <t>Sprawdzenie Rb 27S i Rb28S</t>
  </si>
  <si>
    <t>Sprawdzenie Rb 27S</t>
  </si>
  <si>
    <t xml:space="preserve">  d) na zadania realizowane na podstawie porozumień 
      z innymi jednostkami samorządu terytorialnego</t>
  </si>
  <si>
    <t>85407</t>
  </si>
  <si>
    <t>BEZPIECZEŃSTWO PUBLICZNE I OCHRONA PRZECIWPOŻAROWA</t>
  </si>
  <si>
    <t>85410</t>
  </si>
  <si>
    <t>85415</t>
  </si>
  <si>
    <t>Pomoc materialna dla uczniów</t>
  </si>
  <si>
    <t>85417</t>
  </si>
  <si>
    <t>900</t>
  </si>
  <si>
    <t>90003</t>
  </si>
  <si>
    <t>90015</t>
  </si>
  <si>
    <t>Oświetlenie ulic, placów i dróg</t>
  </si>
  <si>
    <t>90095</t>
  </si>
  <si>
    <t>inwestycje</t>
  </si>
  <si>
    <t>inne</t>
  </si>
  <si>
    <t>Drogi publiczne krajowe</t>
  </si>
  <si>
    <t>Specjalne ośrodki szkolno-wychowawcze</t>
  </si>
  <si>
    <t>ŁĄCZNIE GMINA I POWIAT</t>
  </si>
  <si>
    <t>Nadwyżka/ Deficyt (I -II)</t>
  </si>
  <si>
    <t>- kredyty i pożyczki</t>
  </si>
  <si>
    <t>- wykup obligacji komunalnych</t>
  </si>
  <si>
    <t>środki pozyskane z innych źródeł</t>
  </si>
  <si>
    <t>Dotacje celowe przekazane z budżetu państwa na zadania bieżące realizowane przez gminę na podstawie porozumień z organami administracji rządowej</t>
  </si>
  <si>
    <t>Wybory do Sejmu i Senatu</t>
  </si>
  <si>
    <t>Dotacje celowe otrzymane z gminy na zadania bieżące realizowane na podstawie porozumień (umów) między jednostkami samorządu terytorialnego</t>
  </si>
  <si>
    <t xml:space="preserve">Środki na dofinansowanie własnych zadań 
bieżących gmin (związków gmin), powiatów (związków powiatów), samorządów województw, pozyskane z innych źródeł
</t>
  </si>
  <si>
    <t>6430</t>
  </si>
  <si>
    <t>Dotacje celowe otrzymane z budżetu państwa na realizację inwestycji i zakupów inwestycyjnych własnych powiatu</t>
  </si>
  <si>
    <t>Klasyfikacja
§</t>
  </si>
  <si>
    <t>§ 952</t>
  </si>
  <si>
    <t>§ 903</t>
  </si>
  <si>
    <t>§ 955</t>
  </si>
  <si>
    <t>§ 992</t>
  </si>
  <si>
    <t>§ 982</t>
  </si>
  <si>
    <t xml:space="preserve">    - wpływy za realizację dochodów skarbu państwa</t>
  </si>
  <si>
    <t>921</t>
  </si>
  <si>
    <t>926</t>
  </si>
  <si>
    <t>KULTURA FIZYCZNA I SPORT</t>
  </si>
  <si>
    <t>% wykonania</t>
  </si>
  <si>
    <t>udział</t>
  </si>
  <si>
    <t xml:space="preserve">Udział </t>
  </si>
  <si>
    <t>92601</t>
  </si>
  <si>
    <t>Obiekty sportowe</t>
  </si>
  <si>
    <t>92605</t>
  </si>
  <si>
    <t>Zadania w zakresie kultury fizycznej i sportu</t>
  </si>
  <si>
    <t>Dział</t>
  </si>
  <si>
    <t>Wyszczególnienie</t>
  </si>
  <si>
    <t>Miejski Dom Kultury</t>
  </si>
  <si>
    <t>Zadania w zakresie oświaty i wychowania</t>
  </si>
  <si>
    <t xml:space="preserve">DOCHODY ZWIĄZANE Z REALIZACJĄ ZADAŃ Z ZAKRESU  </t>
  </si>
  <si>
    <t>§</t>
  </si>
  <si>
    <t>Kwota w zł</t>
  </si>
  <si>
    <t>LEŚNICTWO</t>
  </si>
  <si>
    <t>0890</t>
  </si>
  <si>
    <t>Dotacje celowe otrzymane z budżetu państwa na 
realizację bieżących zadań własnych powiatu</t>
  </si>
  <si>
    <t>Wpływy z różnych opłat</t>
  </si>
  <si>
    <t>DOCHODY GMINY</t>
  </si>
  <si>
    <t>DOCHODY POWIATU</t>
  </si>
  <si>
    <t>Wpływy z różnych dochodów</t>
  </si>
  <si>
    <t>Pozostałe odsetki</t>
  </si>
  <si>
    <t>80103</t>
  </si>
  <si>
    <t>Oddziały przedszkolne w szkołach podstawowych</t>
  </si>
  <si>
    <t>Wpływy z tytułu przekształcenia prawa użytkowania wieczystego przysługującego osobom fizycznym w prawo własności</t>
  </si>
  <si>
    <t>Wpływy z opłaty komunikacyjnej</t>
  </si>
  <si>
    <t>Dotacje celowe otrzymane z budżetu państwa na zadania bieżące realizowane przez powiat na podstawie porozumień z organami administracji rządowej</t>
  </si>
  <si>
    <t>75101</t>
  </si>
  <si>
    <t xml:space="preserve">Urzędy naczelnych organów władzy państwowej, kontroli i ochrony prawa </t>
  </si>
  <si>
    <t>75601</t>
  </si>
  <si>
    <t>Wpływy z podatku dochodowego od osób fizycznych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</si>
  <si>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</si>
  <si>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</si>
  <si>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</si>
  <si>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</si>
  <si>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</si>
  <si>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</si>
  <si>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</si>
  <si>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75618</t>
  </si>
  <si>
    <t>DOCHODY I WYDATKI  WEDŁUG DZIAŁÓW KLASYFIKACJI BUDŻETOWEJ</t>
  </si>
  <si>
    <t xml:space="preserve"> DOCHODY  WEDŁUG DZIAŁÓW, ROZDZIAŁÓW I PARAGRAFÓW KLASYFIKACJI BUDŻETOWEJ</t>
  </si>
  <si>
    <t>DOCHODY WEDŁUG WAŻNIEJSZYCH ŹRÓDEŁ</t>
  </si>
  <si>
    <t>WYDATKI WEDŁUG DZIAŁÓW I ROZDZIAŁÓW KLASYFIKACJI  BUDŻETOWEJ</t>
  </si>
  <si>
    <t>23.</t>
  </si>
  <si>
    <t>24.</t>
  </si>
  <si>
    <t>25.</t>
  </si>
  <si>
    <t>26.</t>
  </si>
  <si>
    <t xml:space="preserve">DOCHODY I WYDATKI DOCHODÓW WŁASNYCH  JEDNOSTEK BUDŻETOWYCH </t>
  </si>
  <si>
    <t>Wpływy z opłaty skarbowej</t>
  </si>
  <si>
    <t>75621</t>
  </si>
  <si>
    <t>Udziały gmin w podatkach stanowiących dochód 
budżetu państwa</t>
  </si>
  <si>
    <t>bez § 285</t>
  </si>
  <si>
    <t>2. Dotacje podmiotowe (§2480 - instytucje kultury, §2510 - zakłady budżetowe, § 2540 - niepubliczne jednostki oświatowe, §2560 - publiczne ZOZ, §2580 - jednostki nie zaliczane do fp, §2590 - publiczne jednostki oświatowe)</t>
  </si>
  <si>
    <t>3. Dotacje celowe na zadania własne miasta realizowane przez podmioty należące i nienależące do sektora finansów publicznych (§2320 - inne jst, §2810 - fundacje, § 2820 - stowarzyszenia, §2830 - pozostałe nie zaliczane do fp)</t>
  </si>
  <si>
    <t>wpisać ręcznie</t>
  </si>
  <si>
    <t>§251</t>
  </si>
  <si>
    <t>bez zwrotu §2910</t>
  </si>
  <si>
    <t>W zestawieniu nie są ujęte wydatki zrealizowane w ramach § 2850 (wpłaty gmin na rzecz izb rolniczych w wysokości 2 % uzyskanych wpływów z podatku rolnego) oraz §2910 (zwrot dotacji wykorzystanych niezgodnie z przeznaczeniem lub pobranych w nadmiernej wysokości).</t>
  </si>
  <si>
    <t>wg Rb (bieżące bez §285 i 291)</t>
  </si>
  <si>
    <t>5. Dotacje inwestycyjne (§6210 - zakłady budżetowe, §6220 - inne jednostki sektora fp, §6230 - inne jednostki nie zaliczane do sektora fp )</t>
  </si>
  <si>
    <t>4. Wpłaty na fundusz celowy (§3000 - wpłaty jednostek na fundusz celowy)</t>
  </si>
  <si>
    <t>Zadania z zakresu bezpieczeństwa publicznego</t>
  </si>
  <si>
    <t>§3000</t>
  </si>
  <si>
    <t>ZOZ Szpital Miejski</t>
  </si>
  <si>
    <t>Samodzielny Publiczny Zakład Opieki Zdrowotnej Szpital Miejski im. Jana Garduły</t>
  </si>
  <si>
    <t xml:space="preserve">   - dotacje (bez  § 2850 i §2910 )</t>
  </si>
  <si>
    <t>Podatek dochodowy od osób fizycznych</t>
  </si>
  <si>
    <t>Środki na dofinansowanie własnych zadań bieżących gmin (związków gmin), powiatów (związków powiatów), samorządów województw, pozyskane z innych źródeł</t>
  </si>
  <si>
    <t>Wpływy z opłat za wydawanie zezwoleń na sprzedaż alkoholu</t>
  </si>
  <si>
    <t>Środki z Funduszu Pracy otrzymane przez powiat z przeznaczeniem na finansowanie kosztów wynagrodzenia i składek na ubezpieczenia społeczne pracowników powiatowego urzędu pracy</t>
  </si>
  <si>
    <t>-</t>
  </si>
  <si>
    <t>Podatek dochodowy od osób prawnych</t>
  </si>
  <si>
    <t>75622</t>
  </si>
  <si>
    <t>75801</t>
  </si>
  <si>
    <t xml:space="preserve">    - pozostałe</t>
  </si>
  <si>
    <t xml:space="preserve">    - inne lokalne opłaty</t>
  </si>
  <si>
    <t>Część oświatowa subwencji ogólnej dla jednostek 
samorządu terytorialnego</t>
  </si>
  <si>
    <t>Subwencje ogólne z budżetu państwa</t>
  </si>
  <si>
    <t>75802</t>
  </si>
  <si>
    <t>75814</t>
  </si>
  <si>
    <t>Różne rozliczenia finansowe</t>
  </si>
  <si>
    <t xml:space="preserve">Pozostałe odsetki </t>
  </si>
  <si>
    <t>85156</t>
  </si>
  <si>
    <t xml:space="preserve">Wpływy z usług </t>
  </si>
  <si>
    <t>GOSPODARKA KOMUNALNA I OCHRONA 
ŚRODOWISKA</t>
  </si>
  <si>
    <t>80113</t>
  </si>
  <si>
    <t>Dowożenie uczniów do szkół</t>
  </si>
  <si>
    <t>Przychody</t>
  </si>
  <si>
    <t>Wydatki</t>
  </si>
  <si>
    <t xml:space="preserve">Plan </t>
  </si>
  <si>
    <t xml:space="preserve">Wykonanie </t>
  </si>
  <si>
    <t>751</t>
  </si>
  <si>
    <t>Razem</t>
  </si>
  <si>
    <t>DOCHODY I WYDATKI ZWIĄZANE Z REALIZACJĄ ZADAŃ Z ZAKRESU ADMINISTRACJI RZĄDOWEJ 
I INNYCH ZADAŃ ZLECONYCH ODRĘBNYMI USTAWAMI</t>
  </si>
  <si>
    <t>DOCHODY I WYDATKI ZWIĄZANE Z REALIZACJĄ ZADAŃ Z ZAKRESU ADMINISTRACJI RZĄDOWEJ 
WYKONYWANYCH NA PODSTAWIE POROZUMIEŃ Z ORGANAMI ADMINISTRACJI RZĄDOWEJ</t>
  </si>
  <si>
    <t>DOCHODY I WYDATKI ZWIĄZANE Z REALIZACJĄ ZADAŃ WYKONYWANYCH NA PODSTAWIE POROZUMIEŃ (UMÓW) 
MIĘDZY JEDNOSTKAMI SAMORZĄDU TERYTORIALNEGO</t>
  </si>
  <si>
    <t>Lp.</t>
  </si>
  <si>
    <t>I</t>
  </si>
  <si>
    <t>Dochody ogółem</t>
  </si>
  <si>
    <t>1.</t>
  </si>
  <si>
    <t>2.</t>
  </si>
  <si>
    <t>II</t>
  </si>
  <si>
    <t>Wydatki ogółem</t>
  </si>
  <si>
    <t>III</t>
  </si>
  <si>
    <t>X</t>
  </si>
  <si>
    <t>Składki  na ubezpieczenie zdrowotne opłacane za osoby pobierające niektóre świadczenia z pomocy społecznej, niektóre świadczenia rodzinne oraz za osoby uczestniczące w zajęciach w centrum integracji społecznej</t>
  </si>
  <si>
    <t xml:space="preserve"> SAMODZIELNY PUBLICZNY ZAKŁAD OPIEKI ZDROWOTNEJ SZPITAL MIEJSKI
 IM. JANA GARDUŁY</t>
  </si>
  <si>
    <t>IV</t>
  </si>
  <si>
    <t>z tego:</t>
  </si>
  <si>
    <t>Wydatki bieżące</t>
  </si>
  <si>
    <t>Transport i łączność</t>
  </si>
  <si>
    <t>Oświata i wychowanie</t>
  </si>
  <si>
    <t>Ochrona zdrowia</t>
  </si>
  <si>
    <t>Gospodarka komunalna i ochrona środowiska</t>
  </si>
  <si>
    <t>Kultura i ochrona dziedzictwa narodowego</t>
  </si>
  <si>
    <t>Kultura fizyczna i sport</t>
  </si>
  <si>
    <t>Nazwa działu</t>
  </si>
  <si>
    <t>Dochody</t>
  </si>
  <si>
    <t>Rolnictwo i łowiectwo</t>
  </si>
  <si>
    <t>Leśnictwo</t>
  </si>
  <si>
    <t>Handel</t>
  </si>
  <si>
    <t xml:space="preserve">Turystyka </t>
  </si>
  <si>
    <t>Gospodarka mieszkaniowa</t>
  </si>
  <si>
    <t>Działalność usługowa</t>
  </si>
  <si>
    <t>Administracja publiczna</t>
  </si>
  <si>
    <t>Bezpieczeństwo publiczne i ochrona przeciwpożarowa</t>
  </si>
  <si>
    <t>756</t>
  </si>
  <si>
    <t>Obsługa długu publicznego</t>
  </si>
  <si>
    <t>Różne rozliczenia</t>
  </si>
  <si>
    <t xml:space="preserve">Środki otrzymane od innych osób prawnych </t>
  </si>
  <si>
    <t>Edukacyjna opieka wychowawcza</t>
  </si>
  <si>
    <t>Ogółem dochody i wydatki</t>
  </si>
  <si>
    <t>Ośrodki wparcia</t>
  </si>
  <si>
    <t>550</t>
  </si>
  <si>
    <t>Hotele i restauracje</t>
  </si>
  <si>
    <t xml:space="preserve">                                                   Załącznik nr     do uchwały</t>
  </si>
  <si>
    <t xml:space="preserve">                                                   Nr                    Rady Miasta</t>
  </si>
  <si>
    <t>Dotacje celowe otrzymane z budżetu państwa na zadania bieżące z zakresu administracji rządowej oraz inne zadania zlecone ustawami realizowane przez powiat</t>
  </si>
  <si>
    <t>HOTELE I RESTAURACJE</t>
  </si>
  <si>
    <t>Prace geodezyjne i kartograficzne (nieinwestycyjne)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</si>
  <si>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</si>
  <si>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</si>
  <si>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Wpływy z opłat za koncesje i licencje</t>
  </si>
  <si>
    <t>Komendy powiatowe Państwowej Straży Pożarnej</t>
  </si>
  <si>
    <t xml:space="preserve">Subwencje ogólne z budżetu państwa </t>
  </si>
  <si>
    <t>Ośrodki wsparcia</t>
  </si>
  <si>
    <t>Dotacje celowe otrzymane z budżetu państwa na realizację własnych zadań bieżących gmin (związków gmin)</t>
  </si>
  <si>
    <t>Wpływy z opłaty eksploatacyjnej</t>
  </si>
  <si>
    <t>wg zadań</t>
  </si>
  <si>
    <t>Wpływy z innych opłat stanowiących dochody jednostek samorządu terytorialnego na podstawie ustaw</t>
  </si>
  <si>
    <t xml:space="preserve">                        Budżet  (zł)</t>
  </si>
  <si>
    <t>Zespoły do spraw orzekania o niepełnosprawności</t>
  </si>
  <si>
    <t>Oczyszczanie miast i wsi</t>
  </si>
  <si>
    <t>Wpływy do budżetu części zysku gospodarstwa pomocniczego</t>
  </si>
  <si>
    <t>Dotacje celowe otrzymane z budżetu państwa na zadania bieżące realizowane przez gminę na podstawie porozumień z organami administracji rządowej</t>
  </si>
  <si>
    <t>63003</t>
  </si>
  <si>
    <t>2007-2008</t>
  </si>
  <si>
    <t>Zadania w zakresie upowszechniania turystyki</t>
  </si>
  <si>
    <t>75416</t>
  </si>
  <si>
    <t>Straż Miejska</t>
  </si>
  <si>
    <t>400</t>
  </si>
  <si>
    <t>13.1</t>
  </si>
  <si>
    <t>13.2</t>
  </si>
  <si>
    <t>13.3</t>
  </si>
  <si>
    <t>11.1</t>
  </si>
  <si>
    <t>15.1</t>
  </si>
  <si>
    <t>15.2</t>
  </si>
  <si>
    <t>usługi dezynfekcyjne</t>
  </si>
  <si>
    <t>dotacje z budżetu Miasta</t>
  </si>
  <si>
    <t>MIEJSKA BIBLIOTEKA PUBLICZNA</t>
  </si>
  <si>
    <t>wydaliśmy dotację która nie wpłynęła!!!</t>
  </si>
  <si>
    <t>Dotacje celowe otrzymane z budżetu państwa na realizację inwestycji i zakupów inwestycyjnych własnych gmin (związków gmin)</t>
  </si>
  <si>
    <t>Tabela nr 5</t>
  </si>
  <si>
    <t>75615</t>
  </si>
  <si>
    <t>Zakład Gospodarki Mieszkaniowej</t>
  </si>
  <si>
    <t xml:space="preserve">Zespoły do spraw orzekania
o niepełnosprawności </t>
  </si>
  <si>
    <t>BEZPIECZEŃSTWO PUBLICZNE 
I OCHRONA PRZECIWPOŻAROWA</t>
  </si>
  <si>
    <t>3.</t>
  </si>
  <si>
    <t>60041</t>
  </si>
  <si>
    <t>Infrastruktura portowa</t>
  </si>
  <si>
    <t>Wpływy z innych lokalnych opłat pobieranych przez jednostki samorządu terytorialnego na podstawie odrębnych ustaw</t>
  </si>
  <si>
    <t>90020</t>
  </si>
  <si>
    <t>Wpływy i wydatki związane z gromadzeniem środków z opłat produktowych</t>
  </si>
  <si>
    <t>Wpływy z opłaty produktowej</t>
  </si>
  <si>
    <t>4.</t>
  </si>
  <si>
    <t>5.</t>
  </si>
  <si>
    <t>6.</t>
  </si>
  <si>
    <t>9.</t>
  </si>
  <si>
    <t>- inne źródła</t>
  </si>
  <si>
    <t>10.</t>
  </si>
  <si>
    <t>12.</t>
  </si>
  <si>
    <t>13.</t>
  </si>
  <si>
    <t>15.</t>
  </si>
  <si>
    <t>16.</t>
  </si>
  <si>
    <t>17.</t>
  </si>
  <si>
    <t>18.</t>
  </si>
  <si>
    <t>2910</t>
  </si>
  <si>
    <t>Wpływy ze zwrotów dotacji wykorzystanych niezgodnie z przeznaczeniem lub pobranych w nadmiernej wysokości</t>
  </si>
  <si>
    <t>19.</t>
  </si>
  <si>
    <t>20.</t>
  </si>
  <si>
    <t>21.</t>
  </si>
  <si>
    <t>22.</t>
  </si>
  <si>
    <t xml:space="preserve">    - od działalności gospodarczej osób fizycznych, 
      opłacany w formie karty podatkowej</t>
  </si>
  <si>
    <t>Wg Rb 28S</t>
  </si>
  <si>
    <t>§282</t>
  </si>
  <si>
    <t>§283</t>
  </si>
  <si>
    <t>§281 i §282</t>
  </si>
  <si>
    <t>1. Dotacje przedmiotowe (§ 2650 - zakłady budżetowe)</t>
  </si>
  <si>
    <t>§232</t>
  </si>
  <si>
    <t>§258</t>
  </si>
  <si>
    <t>§259</t>
  </si>
  <si>
    <t>wg Rb (majątkowe)</t>
  </si>
  <si>
    <t>Różnica bieżące</t>
  </si>
  <si>
    <t>Różnica majątkowe</t>
  </si>
  <si>
    <t>Warsztaty Terapii Zajęciowej</t>
  </si>
  <si>
    <t>§265</t>
  </si>
  <si>
    <t>§254</t>
  </si>
  <si>
    <t>§248</t>
  </si>
  <si>
    <t>§256</t>
  </si>
  <si>
    <t>§621</t>
  </si>
  <si>
    <t>§622</t>
  </si>
  <si>
    <t>§623</t>
  </si>
  <si>
    <t>wpływy z przekształcenia i sprzedaży nieruchomości i składników majątkowych</t>
  </si>
  <si>
    <t>DOTACJE INWESTYCYJNE</t>
  </si>
  <si>
    <t>Inne wydatki osobowe</t>
  </si>
  <si>
    <t>WYDATKI  KTÓRE NIE WYGASŁY Z UPŁYWEM ROKU BUDŻETOWEGO 2007</t>
  </si>
  <si>
    <t>Przebudowa drogi krajowej nr 3 - ul. Wolińska</t>
  </si>
  <si>
    <t>30.06.2008</t>
  </si>
  <si>
    <t>31.12.2008</t>
  </si>
  <si>
    <t>Budowa stałego połączenia (tunel) pomiędzy wyspami Uznam i Wolin</t>
  </si>
  <si>
    <t>Budowa ulic Cieszkowskiego i Orzeszkowej</t>
  </si>
  <si>
    <t>Remont Komisariatu Policji Warszów</t>
  </si>
  <si>
    <t>31.01.2008</t>
  </si>
  <si>
    <t>Zakup symulatora nawigacyjnego dla Zespołu Szkół Morskich</t>
  </si>
  <si>
    <t>31.03.2008</t>
  </si>
  <si>
    <t xml:space="preserve">Przebudowa budynku pralni szpitalnej na potrzeby ośrodka uzależnień przy ul. Mieszka I </t>
  </si>
  <si>
    <t>Remont pomieszczeń przy ul. Hołdu Pruskiego w celu zwiększenia dostępności pomocy osobom uzależnionym i współuzależnionym</t>
  </si>
  <si>
    <t>Wykonane wydatków na dzień 30 czerwca 2008 r.</t>
  </si>
  <si>
    <t>10.01.2008 r.</t>
  </si>
  <si>
    <t>31.01.2008 r.</t>
  </si>
  <si>
    <t>XXXII/269/2008</t>
  </si>
  <si>
    <t>95/2008</t>
  </si>
  <si>
    <t>13.02.2008 r.</t>
  </si>
  <si>
    <t>132/2008</t>
  </si>
  <si>
    <t>15.02.2008 r.</t>
  </si>
  <si>
    <t>135/2008</t>
  </si>
  <si>
    <t>28.02.2008 r.</t>
  </si>
  <si>
    <t>XXXIII/278/2008</t>
  </si>
  <si>
    <t>852/
853</t>
  </si>
  <si>
    <t>85219/
85395</t>
  </si>
  <si>
    <t>2008-2010</t>
  </si>
  <si>
    <t>Interreg IIIA - Polsko-Niemieckiego Pogranicza na obszarze Krajów Związkowych Meklemburgia Pomorze Przednie Brandenburgia - Polska (woj. zachodniopomorskie)</t>
  </si>
  <si>
    <t>29.02.2008 r.</t>
  </si>
  <si>
    <t>164/2008</t>
  </si>
  <si>
    <t>165/2008</t>
  </si>
  <si>
    <t>31.03.2008 r.</t>
  </si>
  <si>
    <t>240/2008</t>
  </si>
  <si>
    <t>03.04.2008 r.</t>
  </si>
  <si>
    <t>254/2008</t>
  </si>
  <si>
    <t xml:space="preserve">23.04.2008 r. </t>
  </si>
  <si>
    <t>XXXVII/311/2008</t>
  </si>
  <si>
    <t>30.04.2008 r.</t>
  </si>
  <si>
    <t>322/2008</t>
  </si>
  <si>
    <t>323/2008</t>
  </si>
  <si>
    <t>29.05.2008 r.</t>
  </si>
  <si>
    <t>380/2008</t>
  </si>
  <si>
    <t>381/2008</t>
  </si>
  <si>
    <t>12.06.2008 r.</t>
  </si>
  <si>
    <t>427/2008</t>
  </si>
  <si>
    <t>26.06.2008 r.</t>
  </si>
  <si>
    <t>PRZENIESIENIA</t>
  </si>
  <si>
    <t>ZMIANY DOKONANE W DOCHODACH I WYDATKACH</t>
  </si>
  <si>
    <t>ZACIENIONE  SĄ PRZENIESIENIA</t>
  </si>
  <si>
    <r>
      <t xml:space="preserve">Spłaty otrzymanych krajowych pożyczek i kredytów
</t>
    </r>
    <r>
      <rPr>
        <i/>
        <sz val="10"/>
        <rFont val="Times New Roman"/>
        <family val="1"/>
      </rPr>
      <t>w tym:</t>
    </r>
  </si>
  <si>
    <t>§ 963</t>
  </si>
  <si>
    <t>a)</t>
  </si>
  <si>
    <t>b)</t>
  </si>
  <si>
    <t>Spłaty pożyczek otrzymanych na finansowanie zadań realizowanych z udziałem środków pochodzących z budżetu Unii Europejskiej</t>
  </si>
  <si>
    <t>4. Dochody uzyskiwane przez jednostki budżetowe 
    oraz wpłaty od zakładów budżetowych i gospodarstw
    pomocniczych</t>
  </si>
  <si>
    <t>3. Udziały w podatkach stanowiących dochód budżetu 
    państwa</t>
  </si>
  <si>
    <t>7. Odsetki od nieterminowego regulowania należności, 
    stanowiących dochody Miasta</t>
  </si>
  <si>
    <t>47.</t>
  </si>
  <si>
    <t>Oświetlenie ulicy Grudziądzkiej (odcinek od ul. Śląskiej do ul. Małopolskiej)</t>
  </si>
  <si>
    <t xml:space="preserve">  c) na zadania realizowane na podstawie porozumień 
      z organami administracji rządowej</t>
  </si>
  <si>
    <t>7.</t>
  </si>
  <si>
    <t>8.</t>
  </si>
  <si>
    <t>11.</t>
  </si>
  <si>
    <t>14.</t>
  </si>
  <si>
    <t>Źródła pokrycia (1-2)</t>
  </si>
  <si>
    <t>Odsetki od nieterminowych wpłat z tytułu podatków i opłat</t>
  </si>
  <si>
    <t>DOCHODY</t>
  </si>
  <si>
    <t>WYDATKI</t>
  </si>
  <si>
    <t>PRZYCHODY</t>
  </si>
  <si>
    <t>ROZCHODY</t>
  </si>
  <si>
    <t>Wpływy z opłaty uzdrowiskowej, pobieranej w gminach posiadających status gminy uzdrowiskowej</t>
  </si>
  <si>
    <t>Wpływy z opłat za zarząd, użytkowanie i użytkowanie wieczyste nieruchomości</t>
  </si>
  <si>
    <t>Podatek od działalności gospodarczej osób fizycznych, opłacany w formie karty podatkowej</t>
  </si>
  <si>
    <t>Udziały powiatów w podatkach stanowiących dochód budżetu państwa</t>
  </si>
  <si>
    <t>01005</t>
  </si>
  <si>
    <t>2110</t>
  </si>
  <si>
    <t>Prace geodezyjno-urządzeniowe na potrzeby rolnictwa</t>
  </si>
  <si>
    <t>Wpływy ze sprzedaży składników majątkowych</t>
  </si>
  <si>
    <t>0870</t>
  </si>
  <si>
    <t>Różnica (5-8)</t>
  </si>
  <si>
    <t>wynagrodzenia (zad. własne)</t>
  </si>
  <si>
    <t>wynagrodzenia (zad. zlecone)</t>
  </si>
  <si>
    <t>wynagrodzenia (zad. z porozumień)</t>
  </si>
  <si>
    <t>dotacje bieżące z budżetu (z zad.własnych)</t>
  </si>
  <si>
    <t>dotacje bieżące z budżetu (z zad. zleconych)</t>
  </si>
  <si>
    <t>Razem wydatki własne</t>
  </si>
  <si>
    <t>Razem wydatki zlecone</t>
  </si>
  <si>
    <t>Razem wydatki z porozumień</t>
  </si>
  <si>
    <t>ŁĄCZNIE</t>
  </si>
  <si>
    <t>Sprawdzenie (różnica wiersz 455 - wiersz 468)</t>
  </si>
  <si>
    <t>Razem wynagrodzenia</t>
  </si>
  <si>
    <t>Razem majątkowe</t>
  </si>
  <si>
    <t>Razem dotacje</t>
  </si>
  <si>
    <t xml:space="preserve">    - grzywny, mandaty i inne kary pieniężne</t>
  </si>
  <si>
    <t>Finansowanie programów ze środków bezzwrotnych pochodzących z Unii Europejskiej</t>
  </si>
  <si>
    <t>75616</t>
  </si>
  <si>
    <t>Wpływy z podatku rolnego, podatku leśnego, podatku od spadków i darowizn, podatku od czynności cywilnoprawnych oraz podatków i opłat lokalnych od osób fizycznych</t>
  </si>
  <si>
    <t>2320</t>
  </si>
  <si>
    <t>Dotacje celowe otrzymane z powiatu na zadania bieżące realizowane na podstawie porozumień (umów) między jednostkami samorządu terytorialnego</t>
  </si>
  <si>
    <t>2888</t>
  </si>
  <si>
    <t>2889</t>
  </si>
  <si>
    <t>Dotacja celowa otrzymana przez jednostkę samorządu terytorialnego od innej jednostki samorządu terytorialnego będącej instytucją wdrażającą na zadania bieżące realizowane na podstawie porozumień (umów)</t>
  </si>
  <si>
    <t>w tym:</t>
  </si>
  <si>
    <t>Zadania w zakresie administracji publicznej</t>
  </si>
  <si>
    <t>0830</t>
  </si>
  <si>
    <t>0920</t>
  </si>
  <si>
    <t>0970</t>
  </si>
  <si>
    <t>0570</t>
  </si>
  <si>
    <t>0690</t>
  </si>
  <si>
    <t>0750</t>
  </si>
  <si>
    <t>55097</t>
  </si>
  <si>
    <t>Gospodarstwa pomocnicze</t>
  </si>
  <si>
    <t>2380</t>
  </si>
  <si>
    <t>0470</t>
  </si>
  <si>
    <t>0490</t>
  </si>
  <si>
    <t>0760</t>
  </si>
  <si>
    <t>0770</t>
  </si>
  <si>
    <t>0350</t>
  </si>
  <si>
    <t>0910</t>
  </si>
  <si>
    <t>0310</t>
  </si>
  <si>
    <t>0320</t>
  </si>
  <si>
    <t>0330</t>
  </si>
  <si>
    <t>0340</t>
  </si>
  <si>
    <t>0500</t>
  </si>
  <si>
    <t>0360</t>
  </si>
  <si>
    <t>Drogi publiczne w miastach na prawach powiatu 
(w rozdziale nie ujmuje się wydatków na drogi gminne)</t>
  </si>
  <si>
    <t>0430</t>
  </si>
  <si>
    <t>0410</t>
  </si>
  <si>
    <t>0420</t>
  </si>
  <si>
    <t>0460</t>
  </si>
  <si>
    <t>0480</t>
  </si>
  <si>
    <t>0590</t>
  </si>
  <si>
    <t>0010</t>
  </si>
  <si>
    <t>0020</t>
  </si>
  <si>
    <t>2920</t>
  </si>
  <si>
    <t>6330</t>
  </si>
  <si>
    <t>2130</t>
  </si>
  <si>
    <t>2020</t>
  </si>
  <si>
    <t>2030</t>
  </si>
  <si>
    <t>0400</t>
  </si>
  <si>
    <t>6290</t>
  </si>
  <si>
    <t>2360</t>
  </si>
  <si>
    <t>2790</t>
  </si>
  <si>
    <t>75832</t>
  </si>
  <si>
    <t>852</t>
  </si>
  <si>
    <t>85201</t>
  </si>
  <si>
    <t>85212</t>
  </si>
  <si>
    <t>85213</t>
  </si>
  <si>
    <t>85214</t>
  </si>
  <si>
    <t>85215</t>
  </si>
  <si>
    <t>85219</t>
  </si>
  <si>
    <t>Rozdział 92116</t>
  </si>
  <si>
    <t>85228</t>
  </si>
  <si>
    <t>2010</t>
  </si>
  <si>
    <t>85295</t>
  </si>
  <si>
    <t>POMOC SPOŁECZNA</t>
  </si>
  <si>
    <t>85203</t>
  </si>
  <si>
    <t>90002</t>
  </si>
  <si>
    <t>Gospodarka odpadami</t>
  </si>
  <si>
    <t>Część równoważąca subwencji ogólnej dla powiatów</t>
  </si>
  <si>
    <t>Pomoc społeczna</t>
  </si>
  <si>
    <t>Dochody jednostek samorządu terytorialnego związane z realizacją zadań  z zakresu administracji rządowej oraz innych zadań zleconych ustawami</t>
  </si>
  <si>
    <t>2</t>
  </si>
  <si>
    <t>Dochody z najmu i dzierżawy składników majątkowych Skarbu Państwa, jednostek samorządu terytorialnego lub innych jednostek zaliczanych do sektora finansów publicznych oraz innych umów o podobnym charakterze</t>
  </si>
  <si>
    <t>Data wprowadzenia</t>
  </si>
  <si>
    <t>zmniejszenia</t>
  </si>
  <si>
    <t>zwiększenia</t>
  </si>
  <si>
    <t>PLAN POCZĄTKOWY</t>
  </si>
  <si>
    <t>Ogółem zmiany</t>
  </si>
  <si>
    <t>PLAN KOŃCOWY</t>
  </si>
  <si>
    <t xml:space="preserve">  c) równoważąca</t>
  </si>
  <si>
    <t>80148</t>
  </si>
  <si>
    <t>Stołówki szkolne</t>
  </si>
  <si>
    <t>92120</t>
  </si>
  <si>
    <t>Ochrona zabytków i opieka nad zabytkami</t>
  </si>
  <si>
    <t xml:space="preserve">    - podatki zniesione</t>
  </si>
  <si>
    <t>Środki na dofinansowanie własnych inwestycji gmin (związków gmin), powiatów (związków powiatów), samorządów województw, pozyskane z innych źródeł</t>
  </si>
  <si>
    <t>Wpłaty z tytułu odpłatnego nabycia prawa własności oraz prawa użytkowania wieczystego nieruchomości</t>
  </si>
  <si>
    <t>Stan środków pieniężnych na początek okresu sprawozdawczego</t>
  </si>
  <si>
    <t>Stan środków pieniężnych na koniec okresu sprawozdawczego</t>
  </si>
  <si>
    <t>Żegluga Świnoujska</t>
  </si>
  <si>
    <t>Urząd Miasta</t>
  </si>
  <si>
    <t>Żłobek Miejski</t>
  </si>
  <si>
    <t>Specjalny Ośrodek Szkolno-Wychowawczy</t>
  </si>
  <si>
    <t>Poradnia Psychologiczno-Pedagogiczna</t>
  </si>
  <si>
    <t>Młodzieżowy Dom Kultury</t>
  </si>
  <si>
    <t>Internaty</t>
  </si>
  <si>
    <t xml:space="preserve">% </t>
  </si>
  <si>
    <t>I.</t>
  </si>
  <si>
    <t>środki pieniężne</t>
  </si>
  <si>
    <t>należności</t>
  </si>
  <si>
    <t>pozostałe środki obrotowe</t>
  </si>
  <si>
    <t>zobowiązania</t>
  </si>
  <si>
    <t>II.</t>
  </si>
  <si>
    <t>Wpływy z usług</t>
  </si>
  <si>
    <t>2650</t>
  </si>
  <si>
    <t>6. Odsetki od środków finansowych Miasta  
    zgromadzonych na rachunkach  bankowych</t>
  </si>
  <si>
    <t>Dotacja przedmiotowa z budżetu otrzymana przez zakład budżetowy</t>
  </si>
  <si>
    <t>pokrycie amortyzacji</t>
  </si>
  <si>
    <t>RAZEM I+II</t>
  </si>
  <si>
    <t>III.</t>
  </si>
  <si>
    <t>Koszty i inne obciążenia ogółem</t>
  </si>
  <si>
    <t>Wydatki osobowe niezaliczone do wynagrodzeń</t>
  </si>
  <si>
    <t>Wynagrodzenia osobowe pracowników</t>
  </si>
  <si>
    <t>Dodatkowe wynagrodzenie roczne</t>
  </si>
  <si>
    <t>OGÓŁEM</t>
  </si>
  <si>
    <t>PLAN</t>
  </si>
  <si>
    <t>WYKONANIE</t>
  </si>
  <si>
    <t>Gmina</t>
  </si>
  <si>
    <t>Powiat</t>
  </si>
  <si>
    <t>Zakup materiałów i paliwa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</si>
  <si>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</si>
  <si>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</si>
  <si>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</si>
  <si>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</si>
  <si>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</si>
  <si>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</si>
  <si>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75108</t>
  </si>
  <si>
    <t>2310</t>
  </si>
  <si>
    <t>2700</t>
  </si>
  <si>
    <t>Zakup usług pozostałych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</si>
  <si>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</si>
  <si>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</si>
  <si>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</si>
  <si>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Opłaty za administrowanie i czynsze za budynki, lokale i pomieszczenia garażowe</t>
  </si>
  <si>
    <t>Podróże służbowe krajowe</t>
  </si>
  <si>
    <t>Różne opłaty i składki</t>
  </si>
  <si>
    <t>Odpisy na zakładowy fundusz świadczeń socjalnych</t>
  </si>
  <si>
    <t xml:space="preserve">Odsetki od nieterminowych wpłat z tytułu pozostałych podatków i opłat </t>
  </si>
  <si>
    <t>Kary i odszkodowania wypłacane na rzecz osób fizycznych</t>
  </si>
  <si>
    <t>Koszty postępowania sądowego i prokuratorskiego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</si>
  <si>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</si>
  <si>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</si>
  <si>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</si>
  <si>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Wydatki inwestycyjne zakładów budżetowych</t>
  </si>
  <si>
    <t>Wydatki na zakupy inwestycyjne zakładów budżetowych</t>
  </si>
  <si>
    <t>odpisy amortyzacji</t>
  </si>
  <si>
    <t>inne zmniejszenia</t>
  </si>
  <si>
    <t>IV.</t>
  </si>
  <si>
    <t>RAZEM III+IV</t>
  </si>
  <si>
    <t>PRZEDSZKOLA MIEJSKIE</t>
  </si>
  <si>
    <t>Dochody z najmu i dzierżawy składników majątkowych Skarbu 
Państwa, jednostek samorządu terytorialnego lub innych jednostek zaliczanych do sektora finansów publicznych oraz innych umów o podobnym charakterze</t>
  </si>
  <si>
    <t>2510</t>
  </si>
  <si>
    <t>Finansowanie programów i projektów ze środków funduszy strukturalnych, Funduszu Spójności, Europejskiego Funduszu Rybackiego oraz z funduszy unijnych finansujących Wspólną Politykę Rolną</t>
  </si>
  <si>
    <t>Składki na ubezpieczenie zdrowotne opłacane za osoby pobierające niektóre świadczenia z pomocy społecznej, niektóre świadczenia rodzinne oraz za osoby uczestniczące w zajęciach w centrum integracji społecznej</t>
  </si>
  <si>
    <t>Współfinansowanie programów i projektów realizowanych ze środków funduszy strukturalnych, Funduszu Spójności, Europejskiego Funduszu Rybackiego oraz z funduszy unijnych finansujących Wspólną Politykę Rolną</t>
  </si>
  <si>
    <t>Środki na utrzymanie rzecznych przepraw promowych oraz na remonty,, utrzymanie, ochronę i zarządzanie drogami krajowymi i wojewódzkimi w granicach miast na prawach powiatu</t>
  </si>
  <si>
    <t>inne środki
(Fundusz Pracy)</t>
  </si>
  <si>
    <t>inne środki 
(Fundusz Pracy)</t>
  </si>
  <si>
    <t>Środki na  inwestycje na drogach publicznych powiatowych i wojewódzkich oraz na drogach powiatowych, wojewódzkich i krajowych w granicach miast na prawach powiatu</t>
  </si>
  <si>
    <t>Współfinansowanie programów i projektów ze środków funduszy strukturalnych, Funduszu Spójności, Europejskiego Funduszu Rybackiego oraz z funduszy unijnych finansujących Wspólną Politykę Rolną</t>
  </si>
  <si>
    <t>Dotacja podmiotowa z budżetu otrzymana przez zakład budżetowy</t>
  </si>
  <si>
    <t>Zakup środków żywności</t>
  </si>
  <si>
    <t>Zakup pomocy naukowych, dydaktycznych i książek</t>
  </si>
  <si>
    <t>Zakup usług zdrowotnych</t>
  </si>
  <si>
    <t>OŚRODEK SPORTU I REKREACJI "WYSPIARZ"</t>
  </si>
  <si>
    <t>Wpłaty na Państwowy Fundusz Rehabilitacji Osób Niepełnosprawnych</t>
  </si>
  <si>
    <t>Zakup usług obejmujących wykonanie ekspertyz, analiz i opinii</t>
  </si>
  <si>
    <t>Podróże służbowe zagraniczne</t>
  </si>
  <si>
    <t>Opłaty na rzecz budżetów jednostek samorządu terytorialnego</t>
  </si>
  <si>
    <t>Wpłata do budżetu nadwyżki środków obrotowych</t>
  </si>
  <si>
    <t>V.</t>
  </si>
  <si>
    <t>Szkoła Podstawowa im. św. Jadwigi Królowej</t>
  </si>
  <si>
    <t>Gimnazjum im. św. Jadwigi Królowej</t>
  </si>
  <si>
    <t>Katolickie Liceum Ogólnokształcące im. św. Jadwigi Królowej</t>
  </si>
  <si>
    <t>Liceum Ogólnokształcące im. św. Jadwigi Królowej dla Dorosłych</t>
  </si>
  <si>
    <t>Niepubliczne Dwuletnie Uzupełniające Liceum Ogólnokształcące im. św. Jadwigi Królowej</t>
  </si>
  <si>
    <t>Opieka paliatywna nad dziećmi</t>
  </si>
  <si>
    <t>RAZEM III+IV+V</t>
  </si>
  <si>
    <t>POWIATOWY FUNDUSZ GOSPODARKI ZASOBEM GEODEZYJNYM I KARTOGRAFICZNYM</t>
  </si>
  <si>
    <t>2960</t>
  </si>
  <si>
    <t>Przelewy redystrybucyjne</t>
  </si>
  <si>
    <t>Wydatki na zakupy inwestycyjne funduszy celowych</t>
  </si>
  <si>
    <t xml:space="preserve">GMINNY FUNDUSZ OCHRONY ŚRODOWISKA I GOSPODARKI WODNEJ </t>
  </si>
  <si>
    <t>0960</t>
  </si>
  <si>
    <t>Otrzymane spadki, zapisy i darowizny w postaci pieniężnej</t>
  </si>
  <si>
    <t>Różnica
(5 - 6)</t>
  </si>
  <si>
    <t>Program Operacyjny Kapitał Ludzki</t>
  </si>
  <si>
    <t>Stać mnie na więcej - przeciwdziałanie wykluczeniu społecznemu młodzieży w wieku 15-25 lat</t>
  </si>
  <si>
    <t>Doradca zawodowy i pośrednik pracy w standardach unijnych</t>
  </si>
  <si>
    <t>Dotacje przekazane z funduszy celowych na realizację zadań 
bieżących dla jednostek sektora finansów publicznych</t>
  </si>
  <si>
    <t>Dotacje przekazane z funduszy celowych na realizację zadań 
bieżących dla jednostek niezaliczanych do sektora finansów publicznych</t>
  </si>
  <si>
    <t>Wydatki inwestycyjne funduszy celowych</t>
  </si>
  <si>
    <t>6180</t>
  </si>
  <si>
    <t>75803</t>
  </si>
  <si>
    <t>Część wyrównawcza subwencji ogólnej dla powiatów</t>
  </si>
  <si>
    <t>2008</t>
  </si>
  <si>
    <t>Dotacje rozwojowe oraz środki na finansowanie Wspólnej Polityki Rolnej</t>
  </si>
  <si>
    <t>2009</t>
  </si>
  <si>
    <t>XXXIX/328/2008</t>
  </si>
  <si>
    <t>460/2008</t>
  </si>
  <si>
    <t>30.06.2008 r.</t>
  </si>
  <si>
    <t>466/2008</t>
  </si>
  <si>
    <t>472/2008</t>
  </si>
  <si>
    <t>Tabela 1</t>
  </si>
  <si>
    <t>Tabela 2</t>
  </si>
  <si>
    <t xml:space="preserve">             Tabela nr 4</t>
  </si>
  <si>
    <t>Tabela nr 7</t>
  </si>
  <si>
    <t>Tabela nr  9</t>
  </si>
  <si>
    <t>Tabela nr 10</t>
  </si>
  <si>
    <t>Tabela nr 11</t>
  </si>
  <si>
    <t xml:space="preserve">Tabela nr  12 </t>
  </si>
  <si>
    <t xml:space="preserve">Tabela nr 14 </t>
  </si>
  <si>
    <t xml:space="preserve">Tabela nr 15 </t>
  </si>
  <si>
    <t>Tabela nr 18</t>
  </si>
  <si>
    <t>Tabela nr 19</t>
  </si>
  <si>
    <t>Tabela 30</t>
  </si>
  <si>
    <t>Tabela 29</t>
  </si>
  <si>
    <t>Tabela 28</t>
  </si>
  <si>
    <t>Tabela 27</t>
  </si>
  <si>
    <t>Tabela 26</t>
  </si>
  <si>
    <t>Tabela 25</t>
  </si>
  <si>
    <t>Tabela 24</t>
  </si>
  <si>
    <t>Tabela 23</t>
  </si>
  <si>
    <t>Tabela 22</t>
  </si>
  <si>
    <t>Tabela 21</t>
  </si>
  <si>
    <t>Tabela 20</t>
  </si>
  <si>
    <t xml:space="preserve">Dotacja na wykonanie remontów </t>
  </si>
  <si>
    <t>Środki trwałe</t>
  </si>
  <si>
    <t>Rozdział 92118</t>
  </si>
  <si>
    <t>odpis na zakładowy fundusz świadczeń socjalnych</t>
  </si>
  <si>
    <t>kontrakt z NFZ - szpital</t>
  </si>
  <si>
    <t>Dotacje celowe otrzymane z budżetu państwa na inwestycje i zakupy inwestycyjne realizowane przez powiat na podstawie porozumień z organami administracji rządowej</t>
  </si>
  <si>
    <t>Finansowanie z pożyczek i kredytów zagranicznych</t>
  </si>
  <si>
    <t xml:space="preserve">POWIATOWY FUNDUSZ OCHRONY ŚRODOWISKA I GOSPODARKI WODNEJ </t>
  </si>
  <si>
    <t>różnica</t>
  </si>
  <si>
    <t>Pozostałe podatki na rzecz budżetów jednostek samorządu terytorialnego</t>
  </si>
  <si>
    <t xml:space="preserve">    - targowa</t>
  </si>
  <si>
    <t>Wpływy z podatku rolnego, podatku leśnego, podatku od czynności cywilnoprawnych, podatków i opłat lokalnych od osób prawnych i innych jednostek organizacyjnych</t>
  </si>
  <si>
    <t>Zasiłki i pomoc w naturze oraz składki na ubezpieczenia emerytalne i rentowe</t>
  </si>
  <si>
    <t>Zasiłki i pomoc w naturze  oraz składki na ubezpieczenia emerytalne i rentowe</t>
  </si>
  <si>
    <t>DOCHODY OD OSÓB PRAWNYCH, OD OSÓB FIZYCZNYCH I OD INNYCH JEDNOSTEK NIEPOSIADAJĄCYCH  OSOBOWOŚCI PRAWNEJ ORAZ WYDATKI ZWIĄZANE Z ICH POBOREM</t>
  </si>
  <si>
    <t>POZOSTAŁE ZADANIA W ZAKRESIE 
POLITYKI SPOŁECZNEJ</t>
  </si>
  <si>
    <t>bez § 285 i 300</t>
  </si>
  <si>
    <t>suma wierszy 586 (bieżące) i 593 (majątkowe)</t>
  </si>
  <si>
    <t>Uzupełnienie subwencji ogólnej dla jednostek 
samorządu terytorialnego</t>
  </si>
  <si>
    <t xml:space="preserve">   - wynagrodzenia</t>
  </si>
  <si>
    <t xml:space="preserve">   - pochodne</t>
  </si>
  <si>
    <t>Składki na ubezpieczenie zdrowotne oraz świadczenia dla osób nieobjętych obowiązkiem ubezpieczenia zdrowotnego</t>
  </si>
  <si>
    <t>Ośrodki rewalidacyjno-wychowawcze</t>
  </si>
  <si>
    <t xml:space="preserve">Dział  </t>
  </si>
  <si>
    <t>ROLNICTWO I ŁOWIECTWO</t>
  </si>
  <si>
    <t>01008</t>
  </si>
  <si>
    <t>Melioracje wodne</t>
  </si>
  <si>
    <t>- wydatki bieżące</t>
  </si>
  <si>
    <t>01030</t>
  </si>
  <si>
    <t>Izby rolnicze</t>
  </si>
  <si>
    <t>01095</t>
  </si>
  <si>
    <t xml:space="preserve">LEŚNICTWO </t>
  </si>
  <si>
    <t>Rozbudowa Szpitala Miejskiego  im. Jana Garduły w Świnoujściu przy ul. Mieszka I</t>
  </si>
  <si>
    <t>WYTWARZANIE I ZAOPATRYWANIE 
W ENERGIĘ ELEKTRYCZNĄ, GAZ I WODĘ</t>
  </si>
  <si>
    <t>40002</t>
  </si>
  <si>
    <t>Dostarczanie wody</t>
  </si>
  <si>
    <t>HANDEL</t>
  </si>
  <si>
    <t>Zadania w zakresie kultury i ochrony dziedzictwa narodowego</t>
  </si>
  <si>
    <t>Ośrodek Sportu i Rekreacji "Wyspiarz"</t>
  </si>
  <si>
    <t>Zespół Szkół Publicznych nr 4 
z Oddziałami Integracyjnymi</t>
  </si>
  <si>
    <t>Prowadzenie spraw orzekania o niepełnosprawności</t>
  </si>
  <si>
    <t>Refinansowanie prac budowlanych przy zabytkach</t>
  </si>
  <si>
    <t>WYDATKI JEDNOSTEK POMOCNICZYCH</t>
  </si>
  <si>
    <t>Tabela nr 8</t>
  </si>
  <si>
    <t>50095</t>
  </si>
  <si>
    <t xml:space="preserve">   w tym:</t>
  </si>
  <si>
    <t>Programy polityki zdrowotnej</t>
  </si>
  <si>
    <t xml:space="preserve">   - wynagrodzenia i pochodne</t>
  </si>
  <si>
    <t xml:space="preserve">   - dotacje</t>
  </si>
  <si>
    <t>- wydatki majątkowe</t>
  </si>
  <si>
    <t>63095</t>
  </si>
  <si>
    <t xml:space="preserve">Pozostała działalność </t>
  </si>
  <si>
    <t>70001</t>
  </si>
  <si>
    <t>Zakłady gospodarki mieszkaniowej</t>
  </si>
  <si>
    <t>70095</t>
  </si>
  <si>
    <t>71004</t>
  </si>
  <si>
    <t>Plany zagospodarowania przestrzennego</t>
  </si>
  <si>
    <t>75022</t>
  </si>
  <si>
    <t>Rady gmin (miast i miast na prawach powiatu)</t>
  </si>
  <si>
    <t xml:space="preserve">Urzędy naczelnych organów władzy państwowej,
kontroli i ochrony prawa </t>
  </si>
  <si>
    <t>75405</t>
  </si>
  <si>
    <t>Komendy powiatowe Policji</t>
  </si>
  <si>
    <t>75412</t>
  </si>
  <si>
    <t>Ochotnicze straże pożarne</t>
  </si>
  <si>
    <t>75495</t>
  </si>
  <si>
    <t>DOCHODY OD OSÓB PRAWNYCH, OD OSÓB FIZYCZNYCH I OD INNYCH JEDNOSTEK NIEPOSIADAJĄCYCH OSOBOWOŚCI PRAWNEJ ORAZ WYDATKI ZWIĄZANE Z ICH POBOREM</t>
  </si>
  <si>
    <t>Świadczenia rodzinne, zaliczka alimentacyjna oraz składki na ubezpieczenia emerytalne i rentowe z ubezpieczenia społecznego</t>
  </si>
  <si>
    <t>75647</t>
  </si>
  <si>
    <t>Pobór podatków, opłat i niepodatkowych należności budżetowych</t>
  </si>
  <si>
    <t>36.</t>
  </si>
  <si>
    <t>37.</t>
  </si>
  <si>
    <t>OBSŁUGA DŁUGU PUBLICZNEGO</t>
  </si>
  <si>
    <t>75702</t>
  </si>
  <si>
    <t>Przychody z zaciągniętych pożyczek i kredytów na rynku krajowym</t>
  </si>
  <si>
    <t xml:space="preserve">ZAKŁAD GOSPODARKI MIESZKANIOWEJ </t>
  </si>
  <si>
    <t>Rozdział 70001</t>
  </si>
  <si>
    <t>Rozdział 80104</t>
  </si>
  <si>
    <t>Rozdział 92605</t>
  </si>
  <si>
    <t>Rozdział 71030</t>
  </si>
  <si>
    <t>Rozdział 90011</t>
  </si>
  <si>
    <t>Rozdział 92109</t>
  </si>
  <si>
    <t>Obsługa papierów wartościowych, kredytów 
i pożyczek jednostek samorządu terytorialnego</t>
  </si>
  <si>
    <t xml:space="preserve">   - wydatki na obsługę długu</t>
  </si>
  <si>
    <t>80102</t>
  </si>
  <si>
    <t>Szkoły podstawowe specjalne</t>
  </si>
  <si>
    <t>80104</t>
  </si>
  <si>
    <t>Przedszkola</t>
  </si>
  <si>
    <t xml:space="preserve">Wartość wydatków </t>
  </si>
  <si>
    <t>Ośrodek Rehabilitacyjno-Edukacyjno-Wychowawczy Polskiego Stowarzyszenia na Rzecz Osób z Upośledzeniem Umysłowym Koło w Świnoujściu</t>
  </si>
  <si>
    <t>Budowa ulic Chełmońskiego i Malczewskiego</t>
  </si>
  <si>
    <t>pozostałe materiały</t>
  </si>
  <si>
    <t>Rozdz.</t>
  </si>
  <si>
    <t>Nazwa programu</t>
  </si>
  <si>
    <t>Nazwa projektu</t>
  </si>
  <si>
    <t>Lata realizacji projektu</t>
  </si>
  <si>
    <t>Wartość całkowita projektu
(w zł)</t>
  </si>
  <si>
    <t>Koszty kwalifikowane w ramach projektu
(w zł)</t>
  </si>
  <si>
    <t>2008 r.</t>
  </si>
  <si>
    <t>2009 r.</t>
  </si>
  <si>
    <t>2010 r.</t>
  </si>
  <si>
    <t>po roku 2010</t>
  </si>
  <si>
    <t>SPO-Rybołówstwa 
i przetwórstwo ryb 
2004-2006</t>
  </si>
  <si>
    <t>Zagospodarowanie terenu Basenu Bosmańskiego- budowa bazy rybackiej 
w Świnoujściu</t>
  </si>
  <si>
    <t>2006-2008</t>
  </si>
  <si>
    <t>środki UE</t>
  </si>
  <si>
    <t>środki JST</t>
  </si>
  <si>
    <t>inne środki</t>
  </si>
  <si>
    <t>Rewaloryzacja zabytkowego Parku Zdrojowego w Świnoujściu - etap I</t>
  </si>
  <si>
    <t>Planowane/wykonane
 płatności w latach w ramach projektu</t>
  </si>
  <si>
    <t>OGÓŁEM PLAN</t>
  </si>
  <si>
    <t>OGÓŁEM WYKONANIE</t>
  </si>
  <si>
    <t>inne środki (GFOŚiGW)</t>
  </si>
  <si>
    <t xml:space="preserve">Tabela nr 16 </t>
  </si>
  <si>
    <t>Źródła finansowania w odniesieniu do kosztów kwalifikowanych</t>
  </si>
  <si>
    <t>usługi gastronomiczne</t>
  </si>
  <si>
    <t>usługi gastronomiczne (wyżywienie pacjentów)</t>
  </si>
  <si>
    <t>80111</t>
  </si>
  <si>
    <t>Gimnazja specjalne</t>
  </si>
  <si>
    <t xml:space="preserve">Licea ogólnokształcące </t>
  </si>
  <si>
    <t>80123</t>
  </si>
  <si>
    <t>Licea profilowane</t>
  </si>
  <si>
    <t>80134</t>
  </si>
  <si>
    <t>Szkoły zawodowe specjalne</t>
  </si>
  <si>
    <t>80140</t>
  </si>
  <si>
    <t>Centra kształcenia ustawicznego i praktycznego 
oraz ośrodki dokształcania zawodowego</t>
  </si>
  <si>
    <t>80146</t>
  </si>
  <si>
    <t>Dokształcanie i doskonalenie nauczycieli</t>
  </si>
  <si>
    <t>80195</t>
  </si>
  <si>
    <t>85111</t>
  </si>
  <si>
    <t>Szpitale ogólne</t>
  </si>
  <si>
    <t>85117</t>
  </si>
  <si>
    <t>Zakłady opiekuńczo - lecznicze i pielęgnacyjno - opiekuńcze</t>
  </si>
  <si>
    <t>85149</t>
  </si>
  <si>
    <t xml:space="preserve">Programy polityki zdrowotnej </t>
  </si>
  <si>
    <t>85152</t>
  </si>
  <si>
    <t>Zapobieganie i zwalczanie AIDS</t>
  </si>
  <si>
    <t>85153</t>
  </si>
  <si>
    <t>Zwalczanie narkomanii</t>
  </si>
  <si>
    <t>85195</t>
  </si>
  <si>
    <t xml:space="preserve">POMOC SPOŁECZNA </t>
  </si>
  <si>
    <t>Placówki opiekuńczo - 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</si>
  <si>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</si>
  <si>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</si>
  <si>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</si>
  <si>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</si>
  <si>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</si>
  <si>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</si>
  <si>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POZOSTAŁE ZADANIA W ZAKRESIE POLITYKI SPOŁECZNEJ</t>
  </si>
  <si>
    <t>Żłobki</t>
  </si>
  <si>
    <t>85333</t>
  </si>
  <si>
    <t>Powiatowe urzędy pracy</t>
  </si>
  <si>
    <t>85395</t>
  </si>
  <si>
    <t>85401</t>
  </si>
  <si>
    <t>Świetlice szkolne</t>
  </si>
  <si>
    <t>Poradnie psychologiczno - pedagogiczne, w tym poradnie specjalistyczne</t>
  </si>
  <si>
    <t>Placówki wychowania pozaszkolnego</t>
  </si>
  <si>
    <t>Internaty i bursy szkolne</t>
  </si>
  <si>
    <t>Szkolne schroniska młodzieżowe</t>
  </si>
  <si>
    <t>85419</t>
  </si>
  <si>
    <t>85446</t>
  </si>
  <si>
    <t>85495</t>
  </si>
  <si>
    <t>GOSPODARKA KOMUNALNA I OCHRONA ŚRODOWISKA</t>
  </si>
  <si>
    <t>90004</t>
  </si>
  <si>
    <t>Utrzymanie zieleni w miastach i gminach</t>
  </si>
  <si>
    <t>90006</t>
  </si>
  <si>
    <t>Ochrona gleby i wód podziemnych</t>
  </si>
  <si>
    <t>90013</t>
  </si>
  <si>
    <t>Schroniska dla zwierząt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</si>
  <si>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</si>
  <si>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</si>
  <si>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</si>
  <si>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</si>
  <si>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</si>
  <si>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</si>
  <si>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</si>
  <si>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</si>
  <si>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Przebudowa Zakładu Pielęgnacyjno-Opiekuńczego ul. Żeromskiego 21</t>
  </si>
  <si>
    <t>I. Dochody własne</t>
  </si>
  <si>
    <t>1. Podatki</t>
  </si>
  <si>
    <t>27.</t>
  </si>
  <si>
    <t>28.</t>
  </si>
  <si>
    <t>29.</t>
  </si>
  <si>
    <t>AMORTYZACJA</t>
  </si>
  <si>
    <t>ZUŻYCIE MATERIAŁÓW</t>
  </si>
  <si>
    <t>leki</t>
  </si>
  <si>
    <t>materiały medyczne</t>
  </si>
  <si>
    <t>pieluchomajtki</t>
  </si>
  <si>
    <t xml:space="preserve">środki czystości </t>
  </si>
  <si>
    <t>2.6</t>
  </si>
  <si>
    <t>wyposażenie</t>
  </si>
  <si>
    <t>ENERGIA</t>
  </si>
  <si>
    <t>3.1</t>
  </si>
  <si>
    <t>energia elektryczna</t>
  </si>
  <si>
    <t>3.2</t>
  </si>
  <si>
    <t>woda, ścieki</t>
  </si>
  <si>
    <t>3.3</t>
  </si>
  <si>
    <t>gaz</t>
  </si>
  <si>
    <t>USŁUGI OBCE</t>
  </si>
  <si>
    <t>4.1</t>
  </si>
  <si>
    <t>analizy i badania</t>
  </si>
  <si>
    <t>4.2</t>
  </si>
  <si>
    <t>usługi pralnicze</t>
  </si>
  <si>
    <t>4.3</t>
  </si>
  <si>
    <t>32.</t>
  </si>
  <si>
    <t>Prowadzenie środowiskowego domu samopomocy</t>
  </si>
  <si>
    <t>Utrzymanie dzieci w rodzinach zastępczych</t>
  </si>
  <si>
    <t>Przebudowa stadionu OSiR Wyspiarz przy ul. Matejki</t>
  </si>
  <si>
    <t>z tego finansowanie:</t>
  </si>
  <si>
    <t>Budowa Centrum Kultury i Sportu przy ul. Matejki</t>
  </si>
  <si>
    <t>Koszty</t>
  </si>
  <si>
    <t>MUZEUM RYBOŁÓWSTWA MORSKIEGO</t>
  </si>
  <si>
    <t>Dotacja na działalność podstawową</t>
  </si>
  <si>
    <t>Przychody własne</t>
  </si>
  <si>
    <t xml:space="preserve">Zwrot należności </t>
  </si>
  <si>
    <t>Stan środków obrotowych netto na początek okresu sprawozdawczego</t>
  </si>
  <si>
    <t>Stan środków obrotowych netto na koniec okresu sprawozdawczego</t>
  </si>
  <si>
    <t>Składki na ubezpieczenie społeczne i Fundusz Pracy</t>
  </si>
  <si>
    <t>Zakup eksponatów muzealnych</t>
  </si>
  <si>
    <t>Ubezpieczenia rzeczowe</t>
  </si>
  <si>
    <t>Podróże służbowe krajowe (w tym wyjazdy na szkolenia)</t>
  </si>
  <si>
    <t>Rezerwy na zobowiązania</t>
  </si>
  <si>
    <t>Zakup wartości niematerialnych i prawnych</t>
  </si>
  <si>
    <t>Pozostałe opłaty</t>
  </si>
  <si>
    <t>Inne koszty operacyjne</t>
  </si>
  <si>
    <t>ogółem dochody</t>
  </si>
  <si>
    <t>dochody bieżące</t>
  </si>
  <si>
    <t>4.4</t>
  </si>
  <si>
    <t>wywóz śmieci</t>
  </si>
  <si>
    <t>4.5</t>
  </si>
  <si>
    <t>konserwacja i naprawa sprzętu, serwis kotłowni</t>
  </si>
  <si>
    <t>4.6</t>
  </si>
  <si>
    <t>4.7</t>
  </si>
  <si>
    <t>usługi lekarskie + porady</t>
  </si>
  <si>
    <t>4.8</t>
  </si>
  <si>
    <t>usługi księgowe + statystyka medyczna</t>
  </si>
  <si>
    <t>4.9</t>
  </si>
  <si>
    <t>pozostałe usługi obce</t>
  </si>
  <si>
    <t>WYNAGRODZENIA</t>
  </si>
  <si>
    <t>5.1</t>
  </si>
  <si>
    <t>wynagrodzenie za pracę</t>
  </si>
  <si>
    <t>5.2</t>
  </si>
  <si>
    <t>NARZUTY NA WYNAGRODZENIA</t>
  </si>
  <si>
    <t>ŚWIADCZENIA NA RZECZ PRACOWNIKÓW</t>
  </si>
  <si>
    <t>PODATKI I OPŁATY</t>
  </si>
  <si>
    <t>8.1</t>
  </si>
  <si>
    <t>podatek od nieruchomości</t>
  </si>
  <si>
    <t>8.2</t>
  </si>
  <si>
    <t>pozostałe opłaty i podatki</t>
  </si>
  <si>
    <t>OPŁATY BANKOWE</t>
  </si>
  <si>
    <t>38.</t>
  </si>
  <si>
    <t>Odsetki za nieterminowe rozliczenia, płacone przez urzędy obsługujące organy podatkowe</t>
  </si>
  <si>
    <t xml:space="preserve">    najem i dzierżawa składników majątkowych</t>
  </si>
  <si>
    <t>Przychody z zaciągniętych pożyczek na finansowanie zadań realizowanych z udziałem środków pochodzących z budżetu Unii Europejskiej</t>
  </si>
  <si>
    <t>Wykup innych papierów wartościowych</t>
  </si>
  <si>
    <t>Przychody z tytułu innych rozliczeń krajowych</t>
  </si>
  <si>
    <t>Dotacje
ogółem</t>
  </si>
  <si>
    <t>Wydatki
ogółem
(5+9)</t>
  </si>
  <si>
    <t>Wydatki
bieżące</t>
  </si>
  <si>
    <t>Wydatki
majątkowe</t>
  </si>
  <si>
    <t>wynagrodzenia</t>
  </si>
  <si>
    <t>pochodne od wynagrodzeń</t>
  </si>
  <si>
    <t>świadczenia społeczne</t>
  </si>
  <si>
    <t>85220</t>
  </si>
  <si>
    <t>Jednostki specjalistycznego poradnictwa, mieszkania chronione i ośrodki interwencji kryzysowej</t>
  </si>
  <si>
    <t>gmina</t>
  </si>
  <si>
    <t>powiat</t>
  </si>
  <si>
    <t>Ogółem (gmina + powiat)</t>
  </si>
  <si>
    <t xml:space="preserve">Ogółem </t>
  </si>
  <si>
    <t>Nazwa jednostki pomocniczej</t>
  </si>
  <si>
    <t>Sołectwo Karsibór</t>
  </si>
  <si>
    <t>Osiedle Warszów</t>
  </si>
  <si>
    <t>Osiedle Przytór-Łunowo</t>
  </si>
  <si>
    <t>Ogółem</t>
  </si>
  <si>
    <t>Podmiot otrzymujący i zakres dotacji</t>
  </si>
  <si>
    <t>Zakład Gospodarki Mieszkaniowej
Dopłata do utrzymania 1m2 powierzchni użytkowej komunalnych lokali mieszkalnych</t>
  </si>
  <si>
    <t>Nazwa instytucji</t>
  </si>
  <si>
    <t>Gimnazjum przy Liceum Ogólnokształcącym 
Społecznego Towarzystwa Szkoły Gimnazjalnej</t>
  </si>
  <si>
    <t>Gimnazjum Fundacji LOGOS</t>
  </si>
  <si>
    <t>Gimnazjum dla dorosłych WZDZ</t>
  </si>
  <si>
    <t>Liceum Ogólnokształcące Szczecińskiej 
Fundacji „Talent-Promocja-Postęp”</t>
  </si>
  <si>
    <t>Nazwa zadania</t>
  </si>
  <si>
    <t xml:space="preserve">INFORMACJA O WYSOKOŚCI DEFICYTU BUDŻETOWEGO  </t>
  </si>
  <si>
    <t>Zadania w zakresie przeciwdziałania alkoholizmowi</t>
  </si>
  <si>
    <t>Zadania w zakresie pomocy społecznej</t>
  </si>
  <si>
    <t>Zużycie materiałów i wyposażenia</t>
  </si>
  <si>
    <t>Zużycie energii</t>
  </si>
  <si>
    <t xml:space="preserve">    osobowe pracowników</t>
  </si>
  <si>
    <t xml:space="preserve">    bezosobowe i prowizje</t>
  </si>
  <si>
    <t xml:space="preserve">    inne źródła</t>
  </si>
  <si>
    <t>Składki na ubezpieczenia społeczne i Fundusz Pracy</t>
  </si>
  <si>
    <t>Pozostałe przychody finansowe i operacyjne</t>
  </si>
  <si>
    <t>RAZEM DOTACJE Z BUDŻETU MIASTA</t>
  </si>
  <si>
    <t>Realizacja działań z zakresu zapobiegania narkomanii adresowane do mieszkańców Świnoujścia</t>
  </si>
  <si>
    <t>Prowadzenie edukacji profilaktycznej z zakresu AIDS i HIV adresowanych do uczniów placówek oświatowych</t>
  </si>
  <si>
    <t>Utrzymanie dzieci w placówkach opiekuńczo-wychowawczych</t>
  </si>
  <si>
    <t>Samodzielny Publiczny Zakład Opieki Zdrowotnej Zakład Pielęgnacyjno-Opiekuńczy</t>
  </si>
  <si>
    <t xml:space="preserve">  d) wyrównawcza</t>
  </si>
  <si>
    <t xml:space="preserve">      - środki na utrzymanie przepraw promowych</t>
  </si>
  <si>
    <t xml:space="preserve">      - na inwestycje</t>
  </si>
  <si>
    <t xml:space="preserve">  a) na zadania własne (w tym dotacje rozwojowe)</t>
  </si>
  <si>
    <t>DOCHODY MAJĄTKOWE POWIATU</t>
  </si>
  <si>
    <t>majątkowe wg Rb 27</t>
  </si>
  <si>
    <t>DOCHODY MAJĄTKOWE GMINY</t>
  </si>
  <si>
    <t>OGÓŁEM DOCHODY MAJĄTKOWE (GMINA + POWIAT)</t>
  </si>
  <si>
    <t xml:space="preserve"> DOCHODY  MAJĄTKOWE WEDŁUG DZIAŁÓW, ROZDZIAŁÓW I PARAGRAFÓW 
KLASYFIKACJI BUDŻETOWEJ</t>
  </si>
  <si>
    <t>subwencja z budżetu państwa</t>
  </si>
  <si>
    <t>dofinansowanie z innych źródeł</t>
  </si>
  <si>
    <t>sprzedaż i przekształcenie majątku</t>
  </si>
  <si>
    <t>Tabela nr 6</t>
  </si>
  <si>
    <t xml:space="preserve">Tabela nr 13 </t>
  </si>
  <si>
    <t>Tabela nr 17</t>
  </si>
  <si>
    <t>wg Rb-27S</t>
  </si>
  <si>
    <t xml:space="preserve">RÓŻNE ROZLICZENIA </t>
  </si>
  <si>
    <t xml:space="preserve">Zasadnicza Szkoła Zawodowa Wojewódzkiego Zakładu Doskonalenia Zawodowego </t>
  </si>
  <si>
    <t>Budowa stałego połączenia (tunel) wysp Uznam i Wolin</t>
  </si>
  <si>
    <t>Przygotowanie Bazy Las pod funkcje inwestycyjne</t>
  </si>
  <si>
    <t>Przebudowa ulicy B. Chrobrego (na odcinku od ul. Wybrzeże Władysława IV do skrzyżowania z ul. Sikorskiego, Mieszka I i Piastowską) 
z tego finansowanie</t>
  </si>
  <si>
    <r>
      <t xml:space="preserve">Rewaloryzacja zabytkowego Parku Zdrojowego (I etap -  melioracje)
</t>
    </r>
    <r>
      <rPr>
        <i/>
        <sz val="10"/>
        <rFont val="Times New Roman"/>
        <family val="1"/>
      </rPr>
      <t>z tego finansowanie:</t>
    </r>
  </si>
  <si>
    <t xml:space="preserve">Wielofunkcyjna placówka opiekuńczo - wychowawcza (Adaptacja budynku internatu chłopców  w SOSW przy ul. Piastowskiej 55 na placówkę opiekuńczo - wychowawczą)                </t>
  </si>
  <si>
    <t>Budowa schroniska dla ludzi bezdomnych przy ul. Karsiborskiej 19</t>
  </si>
  <si>
    <r>
      <t xml:space="preserve">Rozbudowa i modernizacja sieci deszczowych - przebudowa odwodnienia w dzielnicy Warszów (ul. Modrzejewskiej) oraz w ulicach lewobrzeża: ul. Kochanowskiego (Ietap), ul. Grodzkiej i Turniejowej
</t>
    </r>
    <r>
      <rPr>
        <i/>
        <sz val="10"/>
        <rFont val="Times New Roman"/>
        <family val="1"/>
      </rPr>
      <t>z tego finansowanie:</t>
    </r>
  </si>
  <si>
    <t xml:space="preserve">Sprawny i przyjazny środowisku dostęp do infrastruktury portu w Świnoujściu </t>
  </si>
  <si>
    <t>0560</t>
  </si>
  <si>
    <t>Zaległości z podatków zniesionych</t>
  </si>
  <si>
    <r>
      <t>Przebudowa ulicy Grunwaldzkiej jako transgranicznej drogi turystycznej do przejścia granicznego Świnoujście</t>
    </r>
    <r>
      <rPr>
        <i/>
        <sz val="10"/>
        <rFont val="Times New Roman"/>
        <family val="1"/>
      </rPr>
      <t xml:space="preserve"> -przebudowa ulicy Grunwaldzkiej pomiędzy ulicą Karsiborską  a ulicą Konstytucji 3 Maja - III etap
</t>
    </r>
  </si>
  <si>
    <t>Zagospodarowanie terenu Basenu Bosmańskiego - budowa bazy rybackiej w Świnoujściu</t>
  </si>
  <si>
    <t>Technikum Elektryczne Wojewódzkiego Zakładu Doskonalenia Zawodowego</t>
  </si>
  <si>
    <t>Policealna Szkoła Biznesu Towarzystwa Oświatowo-Promocyjnego ”Biznes-Pro”</t>
  </si>
  <si>
    <t>Ośrodek Sportu i Rekreacji "Wyspiarz"
Dopłaty do:
- 1 godziny funkcjonowania hali sportowej
- osoby korzystającej z pływalni
- osoby korzystającej z kortów</t>
  </si>
  <si>
    <t xml:space="preserve">DOTACJE Z BUDŻETU MIASTA </t>
  </si>
  <si>
    <t>I Liceum Społeczne Fundacji "LOGOS"</t>
  </si>
  <si>
    <t>I Liceum Ogólnokształcące Towarzystwa Oświatowo-Promocyjnego "Bussiness-Pro"</t>
  </si>
  <si>
    <t>Liceum Ogólnokształcące Społecznego Towarzystwa Szkoły Gimnazjalnej</t>
  </si>
  <si>
    <t>6423</t>
  </si>
  <si>
    <t>6299</t>
  </si>
  <si>
    <t>PODRÓŻE SŁUŻBOWE</t>
  </si>
  <si>
    <t>POZOSTAŁE KOSZTY PROSTE (ubezp. O.C.)</t>
  </si>
  <si>
    <t>OGÓŁEM NAKŁADY</t>
  </si>
  <si>
    <t>SPRZEDAŻ USŁUG</t>
  </si>
  <si>
    <t>kontrakt z NFZ</t>
  </si>
  <si>
    <t>dzierżawa + media</t>
  </si>
  <si>
    <t>opłaty pacjentów pełnopłatne</t>
  </si>
  <si>
    <t>PRZYCHODY FINANSOWE</t>
  </si>
  <si>
    <t>PRZYCHODY OPERACYJNE</t>
  </si>
  <si>
    <t>dotacje - Urząd Miasta</t>
  </si>
  <si>
    <t>refundacja za poborowych</t>
  </si>
  <si>
    <t>PRZYCHODY OGÓŁEM</t>
  </si>
  <si>
    <t>ZYSK/STRATA BRUTTO</t>
  </si>
  <si>
    <t>PODATEK DOCHODOWY</t>
  </si>
  <si>
    <t xml:space="preserve"> SAMODZIELNY PUBLICZNY ZAKŁAD OPIEKI ZDROWOTNEJ ZAKŁAD
 PIELĘGNACYJNO-OPIEKUŃCZY</t>
  </si>
  <si>
    <t>RAZEM (GMINA+POWIAT)</t>
  </si>
  <si>
    <t>Szkoła Podstawowa nr 1</t>
  </si>
  <si>
    <t>Szkoła Podstawowa nr 2</t>
  </si>
  <si>
    <t>Szkoła Podstawowa nr 6</t>
  </si>
  <si>
    <t>%
wyk.</t>
  </si>
  <si>
    <t xml:space="preserve">    - produktowa</t>
  </si>
  <si>
    <t>Szkoła Podstawowa nr 9</t>
  </si>
  <si>
    <t>Gimnazjum Publiczne nr 1</t>
  </si>
  <si>
    <t>Gimnazjum Publiczne nr 2</t>
  </si>
  <si>
    <t>Gimnazjum Publiczne nr 3</t>
  </si>
  <si>
    <t>Licea Ogólnokształcące</t>
  </si>
  <si>
    <t>Internat Zespołu Szkół Morskich</t>
  </si>
  <si>
    <t>Zespół Szkół Morskich</t>
  </si>
  <si>
    <t>Zespół Szkół w Świnoujściu</t>
  </si>
  <si>
    <t>Dotacja z budżetu Miasta</t>
  </si>
  <si>
    <t>Dochody własne</t>
  </si>
  <si>
    <t>Zakup energii, wody, gazu, oleju opałowego</t>
  </si>
  <si>
    <t>Usługi remontowe, awarie i przeglądy</t>
  </si>
  <si>
    <t>Pozostałe usługi</t>
  </si>
  <si>
    <t>Działania merytoryczne</t>
  </si>
  <si>
    <t>Pozostałe</t>
  </si>
  <si>
    <t>leki i materiały medyczne</t>
  </si>
  <si>
    <t>tlen medyczny</t>
  </si>
  <si>
    <t>sprzęt medyczny jednorazowy</t>
  </si>
  <si>
    <t>odczynniki rtg</t>
  </si>
  <si>
    <t>opał</t>
  </si>
  <si>
    <t>środki czystości i dezynfekcyjne</t>
  </si>
  <si>
    <t>2.7</t>
  </si>
  <si>
    <t>2.8</t>
  </si>
  <si>
    <t>materiały do drobnych remontów</t>
  </si>
  <si>
    <t>2.9</t>
  </si>
  <si>
    <t>materiały diagnostyczne</t>
  </si>
  <si>
    <t>2.10</t>
  </si>
  <si>
    <t>2.10.1</t>
  </si>
  <si>
    <t>materiały gospodarcze</t>
  </si>
  <si>
    <t>2.10.2</t>
  </si>
  <si>
    <t>materiały biurowe i książki</t>
  </si>
  <si>
    <t>2.10.3</t>
  </si>
  <si>
    <t>bielizna i odzież ochronna</t>
  </si>
  <si>
    <t>2.10.4</t>
  </si>
  <si>
    <t>materiały medyczne wielokrotnego użytku</t>
  </si>
  <si>
    <t>energia cieplna</t>
  </si>
  <si>
    <t>transport</t>
  </si>
  <si>
    <t>wywóz nieczystości stałych i medycznych</t>
  </si>
  <si>
    <t>remonty bieżące, naprawa i konserwacja sprzętu medycznego</t>
  </si>
  <si>
    <t>4.8.1</t>
  </si>
  <si>
    <t>opłaty pocztowe i telekomunikacyjne</t>
  </si>
  <si>
    <t>4.8.2</t>
  </si>
  <si>
    <t>usługi informatyczne</t>
  </si>
  <si>
    <t>4.8.3</t>
  </si>
  <si>
    <t xml:space="preserve">pozostałe usługi  </t>
  </si>
  <si>
    <t>4.8.4</t>
  </si>
  <si>
    <t>dzierżawa butli</t>
  </si>
  <si>
    <t>4.8.5</t>
  </si>
  <si>
    <t>monitoring obiektów</t>
  </si>
  <si>
    <t>4.8.6</t>
  </si>
  <si>
    <t>najem lokalu</t>
  </si>
  <si>
    <t>4.8.7</t>
  </si>
  <si>
    <t>obsługa rozprężalni tlenu</t>
  </si>
  <si>
    <t>budżet Miasta</t>
  </si>
  <si>
    <t>GFOŚiGW</t>
  </si>
  <si>
    <t>Szkoła Podstawowa Społecznego Towarzystwa 
Szkoły Gimnazjalnej</t>
  </si>
  <si>
    <t>Przebudowa lub budowa mostu nad Starą Świną łączącego wyspy Karsibór i Wolin</t>
  </si>
  <si>
    <t>Przebudowa Placu Wolności</t>
  </si>
  <si>
    <t>Budowa systemu parkingowego w mieście</t>
  </si>
  <si>
    <t>Budowa ciągu pieszo-rowerowego przy ul. 1 Maja w Karsiborze</t>
  </si>
  <si>
    <t>Budowa transgranicznego ciągu pieszego na wydmie wraz z sanitariatami i natryskami plażowymi</t>
  </si>
  <si>
    <t>Przedłużenie i przebudowa promenady</t>
  </si>
  <si>
    <t>Przebudowa ulicy Herbowej</t>
  </si>
  <si>
    <t>wg Rb50</t>
  </si>
  <si>
    <t>wykonanie</t>
  </si>
  <si>
    <t>Zagospodarowanie Basenu Północnego - budowa infrastruktury i wspólnej marki Zachodniopomorskiego Szlaku Żeglarskiego</t>
  </si>
  <si>
    <t xml:space="preserve">    - zwrot dotacji pobranej w nadmiernej wysokości</t>
  </si>
  <si>
    <t>34.</t>
  </si>
  <si>
    <t>TREŚĆ</t>
  </si>
  <si>
    <t>DOTACJE BIEŻĄCE</t>
  </si>
  <si>
    <t>Termin 
realizacji</t>
  </si>
  <si>
    <t>Łącznie wydatki nie wygasające</t>
  </si>
  <si>
    <t>Strefa intensywnego inwestowania - przygotowanie terenów przyległych do Basenu Mulnik na cele parku przemysłowo-usługowego wraz z akwenem wodnym i nabrzeżami</t>
  </si>
  <si>
    <t>System monitoringu miasta</t>
  </si>
  <si>
    <t>Przedszkole Miejskie nr 5 - remont i adaptacja pomieszczeń na kuchnię</t>
  </si>
  <si>
    <t>Przebudowa budynku pralni szpitalnej na potrzeby ośrodka zwalczania uzależnień przy ul. Mieszka I</t>
  </si>
  <si>
    <t>30.</t>
  </si>
  <si>
    <t>31.</t>
  </si>
  <si>
    <t>kontrakty zakładowe - szpital</t>
  </si>
  <si>
    <t>4.10</t>
  </si>
  <si>
    <t>kontrakty zakładowe - pozostałe usługi</t>
  </si>
  <si>
    <t>bezosobowy fundusz płac</t>
  </si>
  <si>
    <t>7.1</t>
  </si>
  <si>
    <t>7.2</t>
  </si>
  <si>
    <t>6298</t>
  </si>
  <si>
    <t xml:space="preserve">Drogi publiczne krajowe </t>
  </si>
  <si>
    <t>pozostałe świadczenia</t>
  </si>
  <si>
    <t>8.3</t>
  </si>
  <si>
    <t>8.4</t>
  </si>
  <si>
    <t>pozostałe podatki i opłaty</t>
  </si>
  <si>
    <t>10.1</t>
  </si>
  <si>
    <t>krajowe</t>
  </si>
  <si>
    <t>10.2</t>
  </si>
  <si>
    <t>ryczałty za używanie prywatnych samochodów</t>
  </si>
  <si>
    <t xml:space="preserve">POZOSTAŁE KOSZTY </t>
  </si>
  <si>
    <t>ubezpieczenia</t>
  </si>
  <si>
    <t>działalność gospodarcza</t>
  </si>
  <si>
    <t>KOSZTY FINANSOWE</t>
  </si>
  <si>
    <t>KOSZTY OPERACYJNE</t>
  </si>
  <si>
    <t>ZYSKI NADZWYCZAJNE</t>
  </si>
  <si>
    <t>STRATY NADZWYCZAJNE</t>
  </si>
  <si>
    <t>Dotacje celowe otrzymane z budżetu państwa na inwestycje i zakupy inwestycyjne z zakresu administracji rządowej oraz inne zadania zlecone ustawami realizowane przez powiat</t>
  </si>
  <si>
    <t>Dotacje celowe otrzymane z budżetu państwa na realizację bieżących zadań własnych powiatu</t>
  </si>
  <si>
    <t>KOSZTY OGÓŁEM</t>
  </si>
  <si>
    <t>ZMIANA STANU PRODUKTÓW</t>
  </si>
  <si>
    <t>ZYSK/STRATA NETTO</t>
  </si>
  <si>
    <t>1</t>
  </si>
  <si>
    <t xml:space="preserve">Wydatki majątkowe </t>
  </si>
  <si>
    <t>Otrzymane dotacje</t>
  </si>
  <si>
    <t>Poniesione wydatki</t>
  </si>
  <si>
    <t>Grzywny i inne kary pieniężne od osób prawnych i innych jednostek organizacyjnych</t>
  </si>
  <si>
    <t>0580</t>
  </si>
  <si>
    <t>Grzywny, mandaty i inne kary pieniężne od osób fizycznych</t>
  </si>
  <si>
    <t>wydatki majątkowe własne</t>
  </si>
  <si>
    <t>INWESTYCJE KOMUNALNE FINANSOWANE Z BUDŻETU MIASTA ORAZ GFOŚiGW</t>
  </si>
  <si>
    <t>Nazwy zadań inwestycyjnych
 (brzmienie zadań zgodnie z Wieloletnim Planem Inwestycyjnym)</t>
  </si>
  <si>
    <t xml:space="preserve">budżet Miasta </t>
  </si>
  <si>
    <t xml:space="preserve">Przebudowa ulicy Wybrzeże Władysława IV </t>
  </si>
  <si>
    <t>Przebudowa ulic St. Moniuszki i B. Prusa wraz z budową ścieżki rowerowej
z tego finansowanie</t>
  </si>
  <si>
    <t>Przebudowa ulicy Szkolnej</t>
  </si>
  <si>
    <t>Budowa ścieżki rowerowej wzdłuż ulicy Barlickiego</t>
  </si>
  <si>
    <t>Przebudowa ulicy Matejki</t>
  </si>
  <si>
    <t>Przebudowa ulicy Wojska Polskiego</t>
  </si>
  <si>
    <t>Przebudowa ulic: Małopolskiej, Kaszubskiej i Mazurskiej
z tego finansowanie</t>
  </si>
  <si>
    <t>Budowa ulic na Osiedlu Rycerska  (przebudowa ulicy Turniejowej i Zamkowej)
z tego finansowanie</t>
  </si>
  <si>
    <t>budżet miasta</t>
  </si>
  <si>
    <t>Przebudowa przystani jachtowej w Łunowie</t>
  </si>
  <si>
    <t>Termomodernizacja publicznych obiektów szkolnych</t>
  </si>
  <si>
    <t>Adaptacja pomieszczeń gospodarczych kondygnacji  przyziemia w budynku I Liceum Ogólnokształcącego na oddział przedszkolny</t>
  </si>
  <si>
    <t>35.</t>
  </si>
  <si>
    <t>39.</t>
  </si>
  <si>
    <t xml:space="preserve">Oświetlenie ulic
w tym:
</t>
  </si>
  <si>
    <t>39a.</t>
  </si>
  <si>
    <t>39b.</t>
  </si>
  <si>
    <t xml:space="preserve">Oświetlenie ulicy Kościuszki </t>
  </si>
  <si>
    <t>39c.</t>
  </si>
  <si>
    <t>Oświetlenie ulicy Krętej</t>
  </si>
  <si>
    <t>39d.</t>
  </si>
  <si>
    <t>Oświetlenie ulic (wg uzgodnień)</t>
  </si>
  <si>
    <t>40.</t>
  </si>
  <si>
    <t>41.</t>
  </si>
  <si>
    <t>Melioracja terenów zurbanizowanych w obszarze miasta Świnoujścia</t>
  </si>
  <si>
    <t>42.</t>
  </si>
  <si>
    <t>Rewitalizacja Śródmieścia Świnoujścia - I etap - ulica Hołdu Pruskiego</t>
  </si>
  <si>
    <t>43.</t>
  </si>
  <si>
    <t>44.</t>
  </si>
  <si>
    <t>45.</t>
  </si>
  <si>
    <t>Budowa hali sportowej przy Gimnazjum Publicznym nr 3 (Oś. Warszów)</t>
  </si>
  <si>
    <t>46.</t>
  </si>
  <si>
    <t>Budowa boiska ze sztuczną nawierzchnią przy Gimnazjum Publicznym nr 3 (Oś. Warszów)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</si>
</sst>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#,##0\ &quot;zł&quot;"/>
    <numFmt numFmtId="167" formatCode="0.E+00"/>
    <numFmt numFmtId="168" formatCode="00\-000"/>
    <numFmt numFmtId="169" formatCode="0.0"/>
    <numFmt numFmtId="170" formatCode="0.0000"/>
    <numFmt numFmtId="171" formatCode="0.000"/>
    <numFmt numFmtId="172" formatCode="#,##0.0\ _z_ł"/>
    <numFmt numFmtId="173" formatCode="0.00000"/>
    <numFmt numFmtId="174" formatCode="#,##0.0"/>
    <numFmt numFmtId="175" formatCode="_-* #,##0\ _z_ł_-;\-* #,##0\ _z_ł_-;_-* &quot;-&quot;??\ _z_ł_-;_-@_-"/>
    <numFmt numFmtId="176" formatCode="#,##0.00_ ;\-#,##0.00\ "/>
    <numFmt numFmtId="177" formatCode="#,##0.00\ &quot;zł&quot;"/>
    <numFmt numFmtId="178" formatCode="#,##0.000"/>
    <numFmt numFmtId="179" formatCode="#,##0.0000"/>
    <numFmt numFmtId="180" formatCode="#,##0.000_ ;\-#,##0.000\ "/>
    <numFmt numFmtId="181" formatCode="#,##0.0_ ;\-#,##0.0\ "/>
    <numFmt numFmtId="182" formatCode="#,##0.0000_ ;\-#,##0.0000\ 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_-* #,##0.00000\ _z_ł_-;\-* #,##0.00000\ _z_ł_-;_-* &quot;-&quot;??\ _z_ł_-;_-@_-"/>
    <numFmt numFmtId="186" formatCode="_-* #,##0.0\ _z_ł_-;\-* #,##0.0\ _z_ł_-;_-* &quot;-&quot;??\ _z_ł_-;_-@_-"/>
    <numFmt numFmtId="187" formatCode="_-* #,##0.000\ &quot;zł&quot;_-;\-* #,##0.000\ &quot;zł&quot;_-;_-* &quot;-&quot;??\ &quot;zł&quot;_-;_-@_-"/>
    <numFmt numFmtId="188" formatCode="_-* #,##0.0\ &quot;zł&quot;_-;\-* #,##0.0\ &quot;zł&quot;_-;_-* &quot;-&quot;??\ &quot;zł&quot;_-;_-@_-"/>
    <numFmt numFmtId="189" formatCode="_-* #,##0\ &quot;zł&quot;_-;\-* #,##0\ &quot;zł&quot;_-;_-* &quot;-&quot;??\ &quot;zł&quot;_-;_-@_-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  <numFmt numFmtId="194" formatCode="_-* #,##0.000\ _z_ł_-;\-* #,##0.000\ _z_ł_-;_-* &quot;-&quot;???\ _z_ł_-;_-@_-"/>
    <numFmt numFmtId="195" formatCode="_-* #,##0.0\ _z_ł_-;\-* #,##0.0\ _z_ł_-;_-* &quot;-&quot;?\ _z_ł_-;_-@_-"/>
    <numFmt numFmtId="196" formatCode="0.000000"/>
    <numFmt numFmtId="197" formatCode="0.00000000"/>
    <numFmt numFmtId="198" formatCode="0.0000000"/>
    <numFmt numFmtId="199" formatCode="0.000000000"/>
    <numFmt numFmtId="200" formatCode="0.0000000000"/>
    <numFmt numFmtId="201" formatCode="0.00000000000"/>
    <numFmt numFmtId="202" formatCode="0.000000000000"/>
    <numFmt numFmtId="203" formatCode="#,##0.00\ _z_ł"/>
    <numFmt numFmtId="204" formatCode="0.0%"/>
    <numFmt numFmtId="205" formatCode="_-* #,##0\ _z_ł_-;\-* #,##0\ _z_ł_-;_-* \-??\ _z_ł_-;_-@_-"/>
    <numFmt numFmtId="206" formatCode="_-* #,##0.00\ _z_ł_-;\-* #,##0.00\ _z_ł_-;_-* \-??\ _z_ł_-;_-@_-"/>
  </numFmts>
  <fonts count="36">
    <font>
      <sz val="10"/>
      <name val="Arial CE"/>
      <family val="0"/>
    </font>
    <font>
      <sz val="8"/>
      <name val="Arial CE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Arial CE"/>
      <family val="0"/>
    </font>
    <font>
      <sz val="8"/>
      <color indexed="62"/>
      <name val="Times New Roman"/>
      <family val="1"/>
    </font>
    <font>
      <b/>
      <sz val="8"/>
      <color indexed="6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10"/>
      <color indexed="18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0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4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19" applyFont="1" applyAlignment="1">
      <alignment horizontal="center"/>
      <protection/>
    </xf>
    <xf numFmtId="0" fontId="6" fillId="0" borderId="0" xfId="19" applyFont="1">
      <alignment/>
      <protection/>
    </xf>
    <xf numFmtId="0" fontId="6" fillId="0" borderId="0" xfId="19" applyFont="1" applyFill="1">
      <alignment/>
      <protection/>
    </xf>
    <xf numFmtId="4" fontId="6" fillId="0" borderId="0" xfId="19" applyNumberFormat="1" applyFont="1">
      <alignment/>
      <protection/>
    </xf>
    <xf numFmtId="0" fontId="7" fillId="0" borderId="0" xfId="19" applyFont="1" applyAlignment="1">
      <alignment horizontal="center" vertical="center"/>
      <protection/>
    </xf>
    <xf numFmtId="1" fontId="7" fillId="0" borderId="0" xfId="19" applyNumberFormat="1" applyFont="1" applyAlignment="1">
      <alignment horizontal="center" vertical="center"/>
      <protection/>
    </xf>
    <xf numFmtId="164" fontId="6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0" fontId="6" fillId="0" borderId="0" xfId="21" applyFont="1" applyAlignment="1">
      <alignment horizontal="center" vertical="center" wrapText="1"/>
      <protection/>
    </xf>
    <xf numFmtId="0" fontId="6" fillId="0" borderId="0" xfId="21" applyFont="1" applyAlignment="1">
      <alignment vertical="center" wrapText="1"/>
      <protection/>
    </xf>
    <xf numFmtId="43" fontId="6" fillId="0" borderId="0" xfId="15" applyFont="1" applyAlignment="1">
      <alignment vertical="center" wrapText="1"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vertical="center" wrapText="1"/>
      <protection/>
    </xf>
    <xf numFmtId="43" fontId="6" fillId="0" borderId="0" xfId="15" applyFont="1" applyBorder="1" applyAlignment="1">
      <alignment vertical="center" wrapText="1"/>
    </xf>
    <xf numFmtId="169" fontId="6" fillId="0" borderId="0" xfId="21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1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0" fontId="11" fillId="0" borderId="0" xfId="19" applyFont="1" applyFill="1">
      <alignment/>
      <protection/>
    </xf>
    <xf numFmtId="4" fontId="11" fillId="0" borderId="0" xfId="19" applyNumberFormat="1" applyFont="1">
      <alignment/>
      <protection/>
    </xf>
    <xf numFmtId="0" fontId="12" fillId="0" borderId="0" xfId="0" applyFont="1" applyAlignment="1">
      <alignment horizontal="right" vertical="center"/>
    </xf>
    <xf numFmtId="0" fontId="11" fillId="0" borderId="0" xfId="19" applyFont="1" applyAlignment="1">
      <alignment horizontal="right"/>
      <protection/>
    </xf>
    <xf numFmtId="4" fontId="11" fillId="0" borderId="0" xfId="19" applyNumberFormat="1" applyFont="1" applyAlignment="1">
      <alignment horizontal="right"/>
      <protection/>
    </xf>
    <xf numFmtId="0" fontId="11" fillId="0" borderId="1" xfId="19" applyFont="1" applyBorder="1" applyAlignment="1">
      <alignment horizontal="center" vertical="center"/>
      <protection/>
    </xf>
    <xf numFmtId="0" fontId="11" fillId="0" borderId="1" xfId="19" applyFont="1" applyBorder="1" applyAlignment="1">
      <alignment vertical="center" wrapText="1"/>
      <protection/>
    </xf>
    <xf numFmtId="0" fontId="11" fillId="0" borderId="1" xfId="19" applyFont="1" applyFill="1" applyBorder="1" applyAlignment="1">
      <alignment horizontal="center" vertical="center"/>
      <protection/>
    </xf>
    <xf numFmtId="4" fontId="11" fillId="0" borderId="1" xfId="19" applyNumberFormat="1" applyFont="1" applyBorder="1" applyAlignment="1">
      <alignment vertical="center"/>
      <protection/>
    </xf>
    <xf numFmtId="4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4" fontId="11" fillId="0" borderId="2" xfId="19" applyNumberFormat="1" applyFont="1" applyFill="1" applyBorder="1" applyAlignment="1">
      <alignment vertical="center"/>
      <protection/>
    </xf>
    <xf numFmtId="4" fontId="11" fillId="0" borderId="1" xfId="19" applyNumberFormat="1" applyFont="1" applyFill="1" applyBorder="1" applyAlignment="1">
      <alignment vertical="center"/>
      <protection/>
    </xf>
    <xf numFmtId="0" fontId="12" fillId="0" borderId="0" xfId="22" applyFont="1" applyAlignment="1">
      <alignment horizontal="center" vertical="center" wrapText="1"/>
      <protection/>
    </xf>
    <xf numFmtId="0" fontId="11" fillId="0" borderId="0" xfId="22" applyFont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0" borderId="0" xfId="22" applyFont="1" applyAlignment="1">
      <alignment horizontal="right" vertical="center"/>
      <protection/>
    </xf>
    <xf numFmtId="0" fontId="11" fillId="0" borderId="0" xfId="22" applyFont="1" applyAlignment="1">
      <alignment vertical="center" wrapText="1"/>
      <protection/>
    </xf>
    <xf numFmtId="0" fontId="12" fillId="0" borderId="0" xfId="22" applyFont="1" applyAlignment="1">
      <alignment vertical="center"/>
      <protection/>
    </xf>
    <xf numFmtId="0" fontId="11" fillId="0" borderId="3" xfId="22" applyFont="1" applyBorder="1" applyAlignment="1">
      <alignment horizontal="center" vertical="center"/>
      <protection/>
    </xf>
    <xf numFmtId="49" fontId="11" fillId="0" borderId="1" xfId="22" applyNumberFormat="1" applyFont="1" applyBorder="1" applyAlignment="1">
      <alignment horizontal="center" vertical="center"/>
      <protection/>
    </xf>
    <xf numFmtId="4" fontId="11" fillId="0" borderId="1" xfId="22" applyNumberFormat="1" applyFont="1" applyBorder="1" applyAlignment="1">
      <alignment vertical="center"/>
      <protection/>
    </xf>
    <xf numFmtId="4" fontId="11" fillId="0" borderId="4" xfId="22" applyNumberFormat="1" applyFont="1" applyBorder="1" applyAlignment="1">
      <alignment vertical="center"/>
      <protection/>
    </xf>
    <xf numFmtId="0" fontId="11" fillId="0" borderId="5" xfId="22" applyFont="1" applyBorder="1" applyAlignment="1">
      <alignment horizontal="center" vertical="center"/>
      <protection/>
    </xf>
    <xf numFmtId="0" fontId="11" fillId="2" borderId="3" xfId="22" applyFont="1" applyFill="1" applyBorder="1" applyAlignment="1">
      <alignment horizontal="center" vertical="center"/>
      <protection/>
    </xf>
    <xf numFmtId="49" fontId="11" fillId="2" borderId="1" xfId="22" applyNumberFormat="1" applyFont="1" applyFill="1" applyBorder="1" applyAlignment="1">
      <alignment horizontal="center" vertical="center"/>
      <protection/>
    </xf>
    <xf numFmtId="4" fontId="11" fillId="2" borderId="1" xfId="22" applyNumberFormat="1" applyFont="1" applyFill="1" applyBorder="1" applyAlignment="1">
      <alignment vertical="center"/>
      <protection/>
    </xf>
    <xf numFmtId="4" fontId="11" fillId="2" borderId="4" xfId="22" applyNumberFormat="1" applyFont="1" applyFill="1" applyBorder="1" applyAlignment="1">
      <alignment vertical="center"/>
      <protection/>
    </xf>
    <xf numFmtId="0" fontId="11" fillId="2" borderId="0" xfId="22" applyFont="1" applyFill="1" applyAlignment="1">
      <alignment vertical="center"/>
      <protection/>
    </xf>
    <xf numFmtId="0" fontId="11" fillId="2" borderId="5" xfId="22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right" vertical="center"/>
    </xf>
    <xf numFmtId="174" fontId="11" fillId="0" borderId="10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174" fontId="11" fillId="0" borderId="4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right" vertical="center"/>
    </xf>
    <xf numFmtId="174" fontId="11" fillId="0" borderId="13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4" fontId="11" fillId="0" borderId="7" xfId="0" applyNumberFormat="1" applyFont="1" applyBorder="1" applyAlignment="1">
      <alignment horizontal="right" vertical="center"/>
    </xf>
    <xf numFmtId="174" fontId="11" fillId="0" borderId="14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right" vertical="center"/>
    </xf>
    <xf numFmtId="174" fontId="14" fillId="0" borderId="4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right" vertical="center"/>
    </xf>
    <xf numFmtId="174" fontId="14" fillId="0" borderId="14" xfId="0" applyNumberFormat="1" applyFont="1" applyBorder="1" applyAlignment="1">
      <alignment horizontal="right" vertical="center"/>
    </xf>
    <xf numFmtId="4" fontId="14" fillId="0" borderId="0" xfId="0" applyNumberFormat="1" applyFont="1" applyAlignment="1">
      <alignment vertical="center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left" vertical="top"/>
    </xf>
    <xf numFmtId="4" fontId="12" fillId="0" borderId="16" xfId="0" applyNumberFormat="1" applyFont="1" applyFill="1" applyBorder="1" applyAlignment="1">
      <alignment horizontal="right" vertical="top"/>
    </xf>
    <xf numFmtId="169" fontId="12" fillId="0" borderId="18" xfId="0" applyNumberFormat="1" applyFont="1" applyFill="1" applyBorder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16" xfId="0" applyNumberFormat="1" applyFont="1" applyFill="1" applyBorder="1" applyAlignment="1">
      <alignment vertical="top" wrapText="1"/>
    </xf>
    <xf numFmtId="4" fontId="11" fillId="0" borderId="16" xfId="0" applyNumberFormat="1" applyFont="1" applyFill="1" applyBorder="1" applyAlignment="1">
      <alignment horizontal="right" vertical="top"/>
    </xf>
    <xf numFmtId="169" fontId="11" fillId="0" borderId="18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49" fontId="14" fillId="0" borderId="15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14" fillId="0" borderId="16" xfId="0" applyFont="1" applyBorder="1" applyAlignment="1">
      <alignment horizontal="center" vertical="top" wrapText="1"/>
    </xf>
    <xf numFmtId="49" fontId="14" fillId="0" borderId="16" xfId="0" applyNumberFormat="1" applyFont="1" applyBorder="1" applyAlignment="1">
      <alignment vertical="top" wrapText="1"/>
    </xf>
    <xf numFmtId="4" fontId="14" fillId="0" borderId="16" xfId="0" applyNumberFormat="1" applyFont="1" applyFill="1" applyBorder="1" applyAlignment="1">
      <alignment horizontal="right" vertical="top"/>
    </xf>
    <xf numFmtId="169" fontId="14" fillId="0" borderId="18" xfId="0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9" fontId="11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vertical="top"/>
    </xf>
    <xf numFmtId="4" fontId="12" fillId="0" borderId="16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19" xfId="0" applyFont="1" applyBorder="1" applyAlignment="1">
      <alignment vertical="top"/>
    </xf>
    <xf numFmtId="49" fontId="11" fillId="0" borderId="16" xfId="0" applyNumberFormat="1" applyFont="1" applyFill="1" applyBorder="1" applyAlignment="1">
      <alignment horizontal="center" vertical="top"/>
    </xf>
    <xf numFmtId="49" fontId="11" fillId="0" borderId="16" xfId="0" applyNumberFormat="1" applyFont="1" applyFill="1" applyBorder="1" applyAlignment="1">
      <alignment vertical="top"/>
    </xf>
    <xf numFmtId="4" fontId="11" fillId="0" borderId="16" xfId="0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16" xfId="0" applyFont="1" applyBorder="1" applyAlignment="1">
      <alignment vertical="top"/>
    </xf>
    <xf numFmtId="49" fontId="14" fillId="0" borderId="16" xfId="0" applyNumberFormat="1" applyFont="1" applyFill="1" applyBorder="1" applyAlignment="1">
      <alignment horizontal="center" vertical="top"/>
    </xf>
    <xf numFmtId="49" fontId="14" fillId="0" borderId="16" xfId="0" applyNumberFormat="1" applyFont="1" applyFill="1" applyBorder="1" applyAlignment="1">
      <alignment vertical="top"/>
    </xf>
    <xf numFmtId="4" fontId="14" fillId="0" borderId="16" xfId="0" applyNumberFormat="1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16" xfId="0" applyFont="1" applyBorder="1" applyAlignment="1">
      <alignment vertical="top"/>
    </xf>
    <xf numFmtId="49" fontId="14" fillId="0" borderId="16" xfId="0" applyNumberFormat="1" applyFont="1" applyFill="1" applyBorder="1" applyAlignment="1">
      <alignment vertical="top" wrapText="1"/>
    </xf>
    <xf numFmtId="0" fontId="12" fillId="0" borderId="16" xfId="0" applyFont="1" applyBorder="1" applyAlignment="1">
      <alignment vertical="top"/>
    </xf>
    <xf numFmtId="49" fontId="12" fillId="0" borderId="16" xfId="0" applyNumberFormat="1" applyFont="1" applyFill="1" applyBorder="1" applyAlignment="1">
      <alignment vertical="top" wrapText="1"/>
    </xf>
    <xf numFmtId="169" fontId="14" fillId="0" borderId="20" xfId="0" applyNumberFormat="1" applyFont="1" applyFill="1" applyBorder="1" applyAlignment="1">
      <alignment horizontal="right" vertical="top"/>
    </xf>
    <xf numFmtId="49" fontId="14" fillId="0" borderId="21" xfId="0" applyNumberFormat="1" applyFont="1" applyFill="1" applyBorder="1" applyAlignment="1">
      <alignment horizontal="center" vertical="top"/>
    </xf>
    <xf numFmtId="4" fontId="12" fillId="0" borderId="0" xfId="0" applyNumberFormat="1" applyFont="1" applyBorder="1" applyAlignment="1">
      <alignment vertical="top"/>
    </xf>
    <xf numFmtId="4" fontId="12" fillId="0" borderId="16" xfId="0" applyNumberFormat="1" applyFont="1" applyBorder="1" applyAlignment="1">
      <alignment vertical="top"/>
    </xf>
    <xf numFmtId="169" fontId="12" fillId="0" borderId="20" xfId="0" applyNumberFormat="1" applyFont="1" applyFill="1" applyBorder="1" applyAlignment="1">
      <alignment horizontal="right" vertical="top"/>
    </xf>
    <xf numFmtId="49" fontId="14" fillId="0" borderId="17" xfId="0" applyNumberFormat="1" applyFont="1" applyFill="1" applyBorder="1" applyAlignment="1">
      <alignment vertical="top"/>
    </xf>
    <xf numFmtId="4" fontId="14" fillId="0" borderId="17" xfId="0" applyNumberFormat="1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16" xfId="0" applyFont="1" applyFill="1" applyBorder="1" applyAlignment="1">
      <alignment vertical="top"/>
    </xf>
    <xf numFmtId="49" fontId="14" fillId="0" borderId="16" xfId="0" applyNumberFormat="1" applyFont="1" applyBorder="1" applyAlignment="1">
      <alignment horizontal="center" vertical="top" wrapText="1"/>
    </xf>
    <xf numFmtId="4" fontId="14" fillId="0" borderId="16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49" fontId="12" fillId="0" borderId="21" xfId="0" applyNumberFormat="1" applyFont="1" applyFill="1" applyBorder="1" applyAlignment="1">
      <alignment horizontal="center" vertical="top"/>
    </xf>
    <xf numFmtId="49" fontId="11" fillId="0" borderId="21" xfId="0" applyNumberFormat="1" applyFont="1" applyFill="1" applyBorder="1" applyAlignment="1">
      <alignment horizontal="center" vertical="top"/>
    </xf>
    <xf numFmtId="49" fontId="11" fillId="0" borderId="21" xfId="0" applyNumberFormat="1" applyFont="1" applyFill="1" applyBorder="1" applyAlignment="1">
      <alignment vertical="top"/>
    </xf>
    <xf numFmtId="4" fontId="11" fillId="0" borderId="21" xfId="0" applyNumberFormat="1" applyFont="1" applyFill="1" applyBorder="1" applyAlignment="1">
      <alignment vertical="top"/>
    </xf>
    <xf numFmtId="169" fontId="11" fillId="0" borderId="20" xfId="0" applyNumberFormat="1" applyFont="1" applyFill="1" applyBorder="1" applyAlignment="1">
      <alignment horizontal="right" vertical="top"/>
    </xf>
    <xf numFmtId="4" fontId="14" fillId="0" borderId="21" xfId="0" applyNumberFormat="1" applyFont="1" applyBorder="1" applyAlignment="1">
      <alignment vertical="top"/>
    </xf>
    <xf numFmtId="49" fontId="12" fillId="0" borderId="15" xfId="0" applyNumberFormat="1" applyFont="1" applyBorder="1" applyAlignment="1">
      <alignment horizontal="center" vertical="top"/>
    </xf>
    <xf numFmtId="49" fontId="12" fillId="0" borderId="16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49" fontId="12" fillId="0" borderId="16" xfId="0" applyNumberFormat="1" applyFont="1" applyBorder="1" applyAlignment="1">
      <alignment vertical="top"/>
    </xf>
    <xf numFmtId="49" fontId="11" fillId="0" borderId="15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vertical="top"/>
    </xf>
    <xf numFmtId="4" fontId="11" fillId="0" borderId="16" xfId="0" applyNumberFormat="1" applyFont="1" applyBorder="1" applyAlignment="1">
      <alignment vertical="top"/>
    </xf>
    <xf numFmtId="49" fontId="14" fillId="0" borderId="15" xfId="0" applyNumberFormat="1" applyFont="1" applyBorder="1" applyAlignment="1">
      <alignment horizontal="center" vertical="top"/>
    </xf>
    <xf numFmtId="49" fontId="14" fillId="0" borderId="16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vertical="top" wrapText="1"/>
    </xf>
    <xf numFmtId="49" fontId="14" fillId="0" borderId="16" xfId="0" applyNumberFormat="1" applyFont="1" applyBorder="1" applyAlignment="1">
      <alignment vertical="top"/>
    </xf>
    <xf numFmtId="49" fontId="11" fillId="0" borderId="17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vertical="top"/>
    </xf>
    <xf numFmtId="4" fontId="11" fillId="0" borderId="17" xfId="0" applyNumberFormat="1" applyFont="1" applyBorder="1" applyAlignment="1">
      <alignment vertical="top"/>
    </xf>
    <xf numFmtId="49" fontId="14" fillId="0" borderId="22" xfId="0" applyNumberFormat="1" applyFont="1" applyBorder="1" applyAlignment="1">
      <alignment horizontal="center" vertical="top"/>
    </xf>
    <xf numFmtId="49" fontId="14" fillId="0" borderId="21" xfId="0" applyNumberFormat="1" applyFont="1" applyBorder="1" applyAlignment="1">
      <alignment horizontal="center" vertical="top"/>
    </xf>
    <xf numFmtId="49" fontId="14" fillId="0" borderId="21" xfId="0" applyNumberFormat="1" applyFont="1" applyBorder="1" applyAlignment="1">
      <alignment vertical="top"/>
    </xf>
    <xf numFmtId="49" fontId="12" fillId="0" borderId="15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49" fontId="12" fillId="0" borderId="16" xfId="0" applyNumberFormat="1" applyFont="1" applyBorder="1" applyAlignment="1">
      <alignment vertical="top" wrapText="1"/>
    </xf>
    <xf numFmtId="169" fontId="12" fillId="0" borderId="18" xfId="0" applyNumberFormat="1" applyFont="1" applyBorder="1" applyAlignment="1">
      <alignment horizontal="right" vertical="top"/>
    </xf>
    <xf numFmtId="0" fontId="11" fillId="0" borderId="16" xfId="0" applyFont="1" applyBorder="1" applyAlignment="1">
      <alignment horizontal="center" vertical="top" wrapText="1"/>
    </xf>
    <xf numFmtId="169" fontId="11" fillId="0" borderId="18" xfId="0" applyNumberFormat="1" applyFont="1" applyBorder="1" applyAlignment="1">
      <alignment horizontal="right" vertical="top"/>
    </xf>
    <xf numFmtId="169" fontId="14" fillId="0" borderId="18" xfId="0" applyNumberFormat="1" applyFont="1" applyBorder="1" applyAlignment="1">
      <alignment horizontal="right" vertical="top"/>
    </xf>
    <xf numFmtId="49" fontId="14" fillId="0" borderId="17" xfId="0" applyNumberFormat="1" applyFont="1" applyBorder="1" applyAlignment="1">
      <alignment horizontal="center" vertical="top"/>
    </xf>
    <xf numFmtId="4" fontId="14" fillId="0" borderId="17" xfId="0" applyNumberFormat="1" applyFont="1" applyBorder="1" applyAlignment="1">
      <alignment vertical="top"/>
    </xf>
    <xf numFmtId="49" fontId="11" fillId="0" borderId="16" xfId="0" applyNumberFormat="1" applyFont="1" applyBorder="1" applyAlignment="1">
      <alignment horizontal="center" vertical="top" wrapText="1"/>
    </xf>
    <xf numFmtId="49" fontId="14" fillId="0" borderId="17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4" fillId="0" borderId="17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1" fillId="0" borderId="17" xfId="0" applyFont="1" applyBorder="1" applyAlignment="1">
      <alignment horizontal="center" vertical="top"/>
    </xf>
    <xf numFmtId="49" fontId="11" fillId="0" borderId="17" xfId="0" applyNumberFormat="1" applyFont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49" fontId="12" fillId="0" borderId="16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2" fillId="0" borderId="16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16" xfId="0" applyFont="1" applyFill="1" applyBorder="1" applyAlignment="1">
      <alignment vertical="top"/>
    </xf>
    <xf numFmtId="49" fontId="11" fillId="0" borderId="22" xfId="0" applyNumberFormat="1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 wrapText="1"/>
    </xf>
    <xf numFmtId="49" fontId="14" fillId="0" borderId="21" xfId="0" applyNumberFormat="1" applyFont="1" applyFill="1" applyBorder="1" applyAlignment="1">
      <alignment vertical="top" wrapText="1"/>
    </xf>
    <xf numFmtId="4" fontId="14" fillId="0" borderId="21" xfId="0" applyNumberFormat="1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49" fontId="12" fillId="0" borderId="15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/>
    </xf>
    <xf numFmtId="49" fontId="14" fillId="0" borderId="16" xfId="0" applyNumberFormat="1" applyFont="1" applyFill="1" applyBorder="1" applyAlignment="1">
      <alignment horizontal="center" vertical="top" wrapText="1"/>
    </xf>
    <xf numFmtId="49" fontId="14" fillId="0" borderId="17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2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1" fillId="0" borderId="17" xfId="0" applyNumberFormat="1" applyFont="1" applyFill="1" applyBorder="1" applyAlignment="1">
      <alignment vertical="top" wrapText="1"/>
    </xf>
    <xf numFmtId="4" fontId="11" fillId="0" borderId="17" xfId="0" applyNumberFormat="1" applyFont="1" applyFill="1" applyBorder="1" applyAlignment="1">
      <alignment vertical="top"/>
    </xf>
    <xf numFmtId="49" fontId="14" fillId="0" borderId="23" xfId="0" applyNumberFormat="1" applyFont="1" applyFill="1" applyBorder="1" applyAlignment="1">
      <alignment horizontal="center" vertical="top"/>
    </xf>
    <xf numFmtId="49" fontId="14" fillId="0" borderId="24" xfId="0" applyNumberFormat="1" applyFont="1" applyFill="1" applyBorder="1" applyAlignment="1">
      <alignment horizontal="center" vertical="top"/>
    </xf>
    <xf numFmtId="49" fontId="14" fillId="0" borderId="24" xfId="0" applyNumberFormat="1" applyFont="1" applyFill="1" applyBorder="1" applyAlignment="1">
      <alignment horizontal="center" vertical="top" wrapText="1"/>
    </xf>
    <xf numFmtId="49" fontId="14" fillId="0" borderId="24" xfId="0" applyNumberFormat="1" applyFont="1" applyFill="1" applyBorder="1" applyAlignment="1">
      <alignment vertical="top" wrapText="1"/>
    </xf>
    <xf numFmtId="4" fontId="14" fillId="0" borderId="24" xfId="0" applyNumberFormat="1" applyFont="1" applyFill="1" applyBorder="1" applyAlignment="1">
      <alignment vertical="top"/>
    </xf>
    <xf numFmtId="169" fontId="11" fillId="0" borderId="25" xfId="0" applyNumberFormat="1" applyFont="1" applyFill="1" applyBorder="1" applyAlignment="1">
      <alignment horizontal="right" vertical="top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"/>
    </xf>
    <xf numFmtId="0" fontId="14" fillId="0" borderId="15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 wrapText="1"/>
    </xf>
    <xf numFmtId="4" fontId="14" fillId="0" borderId="16" xfId="0" applyNumberFormat="1" applyFont="1" applyBorder="1" applyAlignment="1">
      <alignment vertical="center"/>
    </xf>
    <xf numFmtId="172" fontId="14" fillId="0" borderId="0" xfId="0" applyNumberFormat="1" applyFont="1" applyBorder="1" applyAlignment="1">
      <alignment horizontal="right" vertical="center"/>
    </xf>
    <xf numFmtId="195" fontId="14" fillId="0" borderId="20" xfId="0" applyNumberFormat="1" applyFont="1" applyBorder="1" applyAlignment="1">
      <alignment vertical="center"/>
    </xf>
    <xf numFmtId="49" fontId="14" fillId="0" borderId="16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4" fontId="12" fillId="0" borderId="16" xfId="0" applyNumberFormat="1" applyFont="1" applyBorder="1" applyAlignment="1">
      <alignment vertical="center"/>
    </xf>
    <xf numFmtId="195" fontId="12" fillId="0" borderId="20" xfId="0" applyNumberFormat="1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172" fontId="11" fillId="0" borderId="0" xfId="0" applyNumberFormat="1" applyFont="1" applyBorder="1" applyAlignment="1">
      <alignment horizontal="right" vertical="center"/>
    </xf>
    <xf numFmtId="195" fontId="11" fillId="0" borderId="20" xfId="0" applyNumberFormat="1" applyFont="1" applyBorder="1" applyAlignment="1">
      <alignment vertical="center"/>
    </xf>
    <xf numFmtId="0" fontId="14" fillId="0" borderId="15" xfId="0" applyFont="1" applyBorder="1" applyAlignment="1">
      <alignment horizontal="center" vertical="top"/>
    </xf>
    <xf numFmtId="49" fontId="14" fillId="0" borderId="0" xfId="0" applyNumberFormat="1" applyFont="1" applyBorder="1" applyAlignment="1">
      <alignment vertical="top" wrapText="1"/>
    </xf>
    <xf numFmtId="4" fontId="14" fillId="0" borderId="21" xfId="0" applyNumberFormat="1" applyFont="1" applyBorder="1" applyAlignment="1">
      <alignment vertical="center"/>
    </xf>
    <xf numFmtId="172" fontId="14" fillId="0" borderId="16" xfId="0" applyNumberFormat="1" applyFont="1" applyBorder="1" applyAlignment="1">
      <alignment horizontal="right" vertical="top"/>
    </xf>
    <xf numFmtId="195" fontId="14" fillId="0" borderId="20" xfId="0" applyNumberFormat="1" applyFont="1" applyBorder="1" applyAlignment="1">
      <alignment vertical="top"/>
    </xf>
    <xf numFmtId="0" fontId="14" fillId="0" borderId="8" xfId="0" applyFont="1" applyBorder="1" applyAlignment="1">
      <alignment horizontal="center" vertical="top"/>
    </xf>
    <xf numFmtId="49" fontId="14" fillId="0" borderId="26" xfId="0" applyNumberFormat="1" applyFont="1" applyBorder="1" applyAlignment="1">
      <alignment vertical="top" wrapText="1"/>
    </xf>
    <xf numFmtId="4" fontId="14" fillId="0" borderId="9" xfId="0" applyNumberFormat="1" applyFont="1" applyBorder="1" applyAlignment="1">
      <alignment vertical="top"/>
    </xf>
    <xf numFmtId="172" fontId="14" fillId="0" borderId="9" xfId="0" applyNumberFormat="1" applyFont="1" applyBorder="1" applyAlignment="1">
      <alignment horizontal="right" vertical="top"/>
    </xf>
    <xf numFmtId="195" fontId="14" fillId="0" borderId="10" xfId="0" applyNumberFormat="1" applyFont="1" applyBorder="1" applyAlignment="1">
      <alignment vertical="top"/>
    </xf>
    <xf numFmtId="0" fontId="11" fillId="0" borderId="15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vertical="top" wrapText="1"/>
    </xf>
    <xf numFmtId="172" fontId="11" fillId="0" borderId="16" xfId="0" applyNumberFormat="1" applyFont="1" applyBorder="1" applyAlignment="1">
      <alignment horizontal="right" vertical="top"/>
    </xf>
    <xf numFmtId="195" fontId="11" fillId="0" borderId="20" xfId="0" applyNumberFormat="1" applyFont="1" applyBorder="1" applyAlignment="1">
      <alignment vertical="top"/>
    </xf>
    <xf numFmtId="49" fontId="11" fillId="0" borderId="21" xfId="0" applyNumberFormat="1" applyFont="1" applyBorder="1" applyAlignment="1">
      <alignment vertical="center" wrapText="1"/>
    </xf>
    <xf numFmtId="172" fontId="11" fillId="0" borderId="21" xfId="0" applyNumberFormat="1" applyFont="1" applyBorder="1" applyAlignment="1">
      <alignment horizontal="right" vertical="center"/>
    </xf>
    <xf numFmtId="49" fontId="12" fillId="0" borderId="21" xfId="0" applyNumberFormat="1" applyFont="1" applyBorder="1" applyAlignment="1">
      <alignment vertical="center"/>
    </xf>
    <xf numFmtId="172" fontId="12" fillId="0" borderId="21" xfId="0" applyNumberFormat="1" applyFont="1" applyBorder="1" applyAlignment="1">
      <alignment horizontal="right" vertical="center"/>
    </xf>
    <xf numFmtId="195" fontId="12" fillId="0" borderId="13" xfId="0" applyNumberFormat="1" applyFont="1" applyBorder="1" applyAlignment="1">
      <alignment vertical="center"/>
    </xf>
    <xf numFmtId="4" fontId="11" fillId="0" borderId="21" xfId="0" applyNumberFormat="1" applyFont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49" fontId="11" fillId="0" borderId="27" xfId="0" applyNumberFormat="1" applyFont="1" applyBorder="1" applyAlignment="1">
      <alignment vertical="center" wrapText="1"/>
    </xf>
    <xf numFmtId="4" fontId="11" fillId="0" borderId="27" xfId="0" applyNumberFormat="1" applyFont="1" applyBorder="1" applyAlignment="1">
      <alignment vertical="center"/>
    </xf>
    <xf numFmtId="172" fontId="11" fillId="0" borderId="27" xfId="0" applyNumberFormat="1" applyFont="1" applyBorder="1" applyAlignment="1">
      <alignment horizontal="right" vertical="center"/>
    </xf>
    <xf numFmtId="195" fontId="11" fillId="0" borderId="28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49" fontId="12" fillId="0" borderId="16" xfId="0" applyNumberFormat="1" applyFont="1" applyBorder="1" applyAlignment="1">
      <alignment vertical="center"/>
    </xf>
    <xf numFmtId="49" fontId="11" fillId="0" borderId="22" xfId="0" applyNumberFormat="1" applyFont="1" applyFill="1" applyBorder="1" applyAlignment="1">
      <alignment vertical="top"/>
    </xf>
    <xf numFmtId="0" fontId="11" fillId="0" borderId="21" xfId="0" applyFont="1" applyFill="1" applyBorder="1" applyAlignment="1">
      <alignment vertical="top"/>
    </xf>
    <xf numFmtId="0" fontId="11" fillId="0" borderId="21" xfId="0" applyFont="1" applyFill="1" applyBorder="1" applyAlignment="1">
      <alignment horizontal="right" vertical="top"/>
    </xf>
    <xf numFmtId="169" fontId="11" fillId="0" borderId="21" xfId="0" applyNumberFormat="1" applyFont="1" applyFill="1" applyBorder="1" applyAlignment="1">
      <alignment horizontal="right" vertical="top"/>
    </xf>
    <xf numFmtId="0" fontId="11" fillId="0" borderId="21" xfId="0" applyFont="1" applyFill="1" applyBorder="1" applyAlignment="1">
      <alignment vertical="top" wrapText="1"/>
    </xf>
    <xf numFmtId="3" fontId="11" fillId="0" borderId="21" xfId="0" applyNumberFormat="1" applyFont="1" applyFill="1" applyBorder="1" applyAlignment="1">
      <alignment vertical="top" wrapText="1"/>
    </xf>
    <xf numFmtId="49" fontId="11" fillId="0" borderId="29" xfId="0" applyNumberFormat="1" applyFont="1" applyFill="1" applyBorder="1" applyAlignment="1">
      <alignment horizontal="center" vertical="top"/>
    </xf>
    <xf numFmtId="0" fontId="11" fillId="0" borderId="27" xfId="0" applyFont="1" applyFill="1" applyBorder="1" applyAlignment="1">
      <alignment vertical="top"/>
    </xf>
    <xf numFmtId="4" fontId="11" fillId="0" borderId="27" xfId="0" applyNumberFormat="1" applyFont="1" applyFill="1" applyBorder="1" applyAlignment="1">
      <alignment vertical="top"/>
    </xf>
    <xf numFmtId="169" fontId="11" fillId="0" borderId="27" xfId="0" applyNumberFormat="1" applyFont="1" applyFill="1" applyBorder="1" applyAlignment="1">
      <alignment horizontal="right" vertical="top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4" fillId="0" borderId="22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4" fontId="14" fillId="0" borderId="21" xfId="0" applyNumberFormat="1" applyFont="1" applyFill="1" applyBorder="1" applyAlignment="1">
      <alignment vertical="center"/>
    </xf>
    <xf numFmtId="169" fontId="14" fillId="0" borderId="21" xfId="0" applyNumberFormat="1" applyFont="1" applyFill="1" applyBorder="1" applyAlignment="1">
      <alignment horizontal="right" vertical="center"/>
    </xf>
    <xf numFmtId="49" fontId="14" fillId="0" borderId="22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left" vertical="top"/>
    </xf>
    <xf numFmtId="169" fontId="14" fillId="0" borderId="21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left" vertical="top" wrapText="1"/>
    </xf>
    <xf numFmtId="169" fontId="16" fillId="0" borderId="21" xfId="0" applyNumberFormat="1" applyFont="1" applyFill="1" applyBorder="1" applyAlignment="1">
      <alignment horizontal="right" vertical="top"/>
    </xf>
    <xf numFmtId="49" fontId="14" fillId="0" borderId="29" xfId="0" applyNumberFormat="1" applyFont="1" applyFill="1" applyBorder="1" applyAlignment="1">
      <alignment horizontal="right" vertical="top"/>
    </xf>
    <xf numFmtId="49" fontId="14" fillId="0" borderId="30" xfId="0" applyNumberFormat="1" applyFont="1" applyFill="1" applyBorder="1" applyAlignment="1">
      <alignment horizontal="left" vertical="top" wrapText="1"/>
    </xf>
    <xf numFmtId="4" fontId="14" fillId="0" borderId="27" xfId="0" applyNumberFormat="1" applyFont="1" applyFill="1" applyBorder="1" applyAlignment="1">
      <alignment vertical="top"/>
    </xf>
    <xf numFmtId="169" fontId="14" fillId="0" borderId="27" xfId="0" applyNumberFormat="1" applyFont="1" applyFill="1" applyBorder="1" applyAlignment="1">
      <alignment horizontal="right" vertical="top"/>
    </xf>
    <xf numFmtId="0" fontId="17" fillId="0" borderId="0" xfId="0" applyFont="1" applyAlignment="1">
      <alignment horizontal="center" vertical="top"/>
    </xf>
    <xf numFmtId="49" fontId="11" fillId="0" borderId="21" xfId="0" applyNumberFormat="1" applyFont="1" applyBorder="1" applyAlignment="1">
      <alignment horizontal="center" vertical="top"/>
    </xf>
    <xf numFmtId="49" fontId="11" fillId="0" borderId="21" xfId="0" applyNumberFormat="1" applyFont="1" applyBorder="1" applyAlignment="1">
      <alignment horizontal="center" vertical="top" wrapText="1"/>
    </xf>
    <xf numFmtId="49" fontId="11" fillId="0" borderId="21" xfId="0" applyNumberFormat="1" applyFont="1" applyBorder="1" applyAlignment="1">
      <alignment vertical="top" wrapText="1"/>
    </xf>
    <xf numFmtId="4" fontId="11" fillId="0" borderId="21" xfId="0" applyNumberFormat="1" applyFont="1" applyBorder="1" applyAlignment="1">
      <alignment vertical="top"/>
    </xf>
    <xf numFmtId="49" fontId="14" fillId="0" borderId="9" xfId="0" applyNumberFormat="1" applyFont="1" applyBorder="1" applyAlignment="1">
      <alignment horizontal="center" vertical="top"/>
    </xf>
    <xf numFmtId="49" fontId="14" fillId="0" borderId="9" xfId="0" applyNumberFormat="1" applyFont="1" applyBorder="1" applyAlignment="1">
      <alignment vertical="top" wrapText="1"/>
    </xf>
    <xf numFmtId="4" fontId="14" fillId="0" borderId="31" xfId="0" applyNumberFormat="1" applyFont="1" applyBorder="1" applyAlignment="1">
      <alignment vertical="top"/>
    </xf>
    <xf numFmtId="169" fontId="14" fillId="0" borderId="10" xfId="0" applyNumberFormat="1" applyFont="1" applyFill="1" applyBorder="1" applyAlignment="1">
      <alignment horizontal="right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vertical="top"/>
    </xf>
    <xf numFmtId="4" fontId="11" fillId="0" borderId="0" xfId="0" applyNumberFormat="1" applyFont="1" applyBorder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169" fontId="11" fillId="0" borderId="0" xfId="0" applyNumberFormat="1" applyFont="1" applyAlignment="1">
      <alignment horizontal="right" vertical="top"/>
    </xf>
    <xf numFmtId="49" fontId="14" fillId="0" borderId="0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right" vertical="top"/>
    </xf>
    <xf numFmtId="4" fontId="14" fillId="0" borderId="0" xfId="0" applyNumberFormat="1" applyFont="1" applyBorder="1" applyAlignment="1">
      <alignment vertical="top"/>
    </xf>
    <xf numFmtId="4" fontId="14" fillId="0" borderId="0" xfId="0" applyNumberFormat="1" applyFont="1" applyAlignment="1">
      <alignment vertical="top"/>
    </xf>
    <xf numFmtId="169" fontId="14" fillId="0" borderId="0" xfId="0" applyNumberFormat="1" applyFont="1" applyAlignment="1">
      <alignment horizontal="right" vertical="top"/>
    </xf>
    <xf numFmtId="3" fontId="11" fillId="0" borderId="0" xfId="0" applyNumberFormat="1" applyFont="1" applyBorder="1" applyAlignment="1">
      <alignment vertical="top"/>
    </xf>
    <xf numFmtId="165" fontId="11" fillId="0" borderId="0" xfId="0" applyNumberFormat="1" applyFont="1" applyAlignment="1">
      <alignment vertical="top"/>
    </xf>
    <xf numFmtId="0" fontId="11" fillId="0" borderId="9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vertical="top"/>
    </xf>
    <xf numFmtId="49" fontId="11" fillId="0" borderId="15" xfId="0" applyNumberFormat="1" applyFont="1" applyBorder="1" applyAlignment="1" applyProtection="1">
      <alignment/>
      <protection hidden="1"/>
    </xf>
    <xf numFmtId="4" fontId="11" fillId="0" borderId="16" xfId="0" applyNumberFormat="1" applyFont="1" applyBorder="1" applyAlignment="1" applyProtection="1">
      <alignment/>
      <protection hidden="1"/>
    </xf>
    <xf numFmtId="4" fontId="11" fillId="0" borderId="21" xfId="0" applyNumberFormat="1" applyFont="1" applyBorder="1" applyAlignment="1" applyProtection="1">
      <alignment/>
      <protection hidden="1"/>
    </xf>
    <xf numFmtId="169" fontId="11" fillId="0" borderId="20" xfId="0" applyNumberFormat="1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49" fontId="14" fillId="0" borderId="15" xfId="0" applyNumberFormat="1" applyFont="1" applyBorder="1" applyAlignment="1" applyProtection="1">
      <alignment/>
      <protection hidden="1"/>
    </xf>
    <xf numFmtId="4" fontId="14" fillId="0" borderId="16" xfId="0" applyNumberFormat="1" applyFont="1" applyBorder="1" applyAlignment="1" applyProtection="1">
      <alignment/>
      <protection hidden="1"/>
    </xf>
    <xf numFmtId="4" fontId="14" fillId="0" borderId="21" xfId="0" applyNumberFormat="1" applyFont="1" applyBorder="1" applyAlignment="1" applyProtection="1">
      <alignment/>
      <protection hidden="1"/>
    </xf>
    <xf numFmtId="169" fontId="14" fillId="0" borderId="20" xfId="0" applyNumberFormat="1" applyFont="1" applyBorder="1" applyAlignment="1" applyProtection="1">
      <alignment/>
      <protection hidden="1"/>
    </xf>
    <xf numFmtId="49" fontId="14" fillId="0" borderId="15" xfId="0" applyNumberFormat="1" applyFont="1" applyBorder="1" applyAlignment="1" applyProtection="1">
      <alignment wrapText="1"/>
      <protection hidden="1"/>
    </xf>
    <xf numFmtId="4" fontId="14" fillId="0" borderId="16" xfId="0" applyNumberFormat="1" applyFont="1" applyBorder="1" applyAlignment="1" applyProtection="1">
      <alignment wrapText="1"/>
      <protection hidden="1"/>
    </xf>
    <xf numFmtId="49" fontId="11" fillId="0" borderId="15" xfId="0" applyNumberFormat="1" applyFont="1" applyBorder="1" applyAlignment="1" applyProtection="1">
      <alignment wrapText="1"/>
      <protection hidden="1"/>
    </xf>
    <xf numFmtId="49" fontId="11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 horizontal="center"/>
      <protection hidden="1"/>
    </xf>
    <xf numFmtId="49" fontId="11" fillId="0" borderId="15" xfId="0" applyNumberFormat="1" applyFont="1" applyBorder="1" applyAlignment="1" applyProtection="1">
      <alignment horizontal="center"/>
      <protection hidden="1"/>
    </xf>
    <xf numFmtId="4" fontId="11" fillId="0" borderId="0" xfId="0" applyNumberFormat="1" applyFont="1" applyBorder="1" applyAlignment="1" applyProtection="1">
      <alignment horizontal="center"/>
      <protection hidden="1"/>
    </xf>
    <xf numFmtId="4" fontId="11" fillId="0" borderId="21" xfId="0" applyNumberFormat="1" applyFont="1" applyBorder="1" applyAlignment="1" applyProtection="1">
      <alignment horizontal="center"/>
      <protection hidden="1"/>
    </xf>
    <xf numFmtId="0" fontId="11" fillId="0" borderId="20" xfId="0" applyFont="1" applyBorder="1" applyAlignment="1" applyProtection="1">
      <alignment horizontal="center"/>
      <protection hidden="1"/>
    </xf>
    <xf numFmtId="49" fontId="12" fillId="0" borderId="15" xfId="0" applyNumberFormat="1" applyFont="1" applyBorder="1" applyAlignment="1" applyProtection="1">
      <alignment/>
      <protection hidden="1"/>
    </xf>
    <xf numFmtId="4" fontId="12" fillId="0" borderId="16" xfId="0" applyNumberFormat="1" applyFont="1" applyBorder="1" applyAlignment="1" applyProtection="1">
      <alignment/>
      <protection hidden="1"/>
    </xf>
    <xf numFmtId="4" fontId="12" fillId="0" borderId="21" xfId="0" applyNumberFormat="1" applyFont="1" applyBorder="1" applyAlignment="1" applyProtection="1">
      <alignment/>
      <protection hidden="1"/>
    </xf>
    <xf numFmtId="169" fontId="12" fillId="0" borderId="20" xfId="0" applyNumberFormat="1" applyFont="1" applyBorder="1" applyAlignment="1" applyProtection="1">
      <alignment/>
      <protection hidden="1"/>
    </xf>
    <xf numFmtId="4" fontId="14" fillId="0" borderId="21" xfId="0" applyNumberFormat="1" applyFont="1" applyBorder="1" applyAlignment="1" applyProtection="1">
      <alignment horizontal="right"/>
      <protection hidden="1"/>
    </xf>
    <xf numFmtId="4" fontId="11" fillId="0" borderId="16" xfId="0" applyNumberFormat="1" applyFont="1" applyBorder="1" applyAlignment="1" applyProtection="1">
      <alignment wrapText="1"/>
      <protection hidden="1"/>
    </xf>
    <xf numFmtId="4" fontId="11" fillId="0" borderId="21" xfId="0" applyNumberFormat="1" applyFont="1" applyBorder="1" applyAlignment="1" applyProtection="1">
      <alignment horizontal="right"/>
      <protection hidden="1"/>
    </xf>
    <xf numFmtId="0" fontId="14" fillId="0" borderId="0" xfId="0" applyFont="1" applyAlignment="1" applyProtection="1">
      <alignment/>
      <protection hidden="1"/>
    </xf>
    <xf numFmtId="49" fontId="11" fillId="0" borderId="22" xfId="0" applyNumberFormat="1" applyFont="1" applyBorder="1" applyAlignment="1" applyProtection="1">
      <alignment/>
      <protection hidden="1"/>
    </xf>
    <xf numFmtId="49" fontId="11" fillId="0" borderId="22" xfId="0" applyNumberFormat="1" applyFont="1" applyBorder="1" applyAlignment="1" applyProtection="1">
      <alignment/>
      <protection hidden="1"/>
    </xf>
    <xf numFmtId="4" fontId="11" fillId="0" borderId="16" xfId="0" applyNumberFormat="1" applyFont="1" applyBorder="1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49" fontId="14" fillId="0" borderId="22" xfId="0" applyNumberFormat="1" applyFont="1" applyBorder="1" applyAlignment="1" applyProtection="1">
      <alignment/>
      <protection hidden="1"/>
    </xf>
    <xf numFmtId="4" fontId="14" fillId="0" borderId="16" xfId="0" applyNumberFormat="1" applyFont="1" applyBorder="1" applyAlignment="1" applyProtection="1">
      <alignment/>
      <protection hidden="1"/>
    </xf>
    <xf numFmtId="49" fontId="12" fillId="0" borderId="22" xfId="0" applyNumberFormat="1" applyFont="1" applyBorder="1" applyAlignment="1" applyProtection="1">
      <alignment/>
      <protection hidden="1"/>
    </xf>
    <xf numFmtId="4" fontId="11" fillId="0" borderId="16" xfId="0" applyNumberFormat="1" applyFont="1" applyBorder="1" applyAlignment="1" applyProtection="1">
      <alignment/>
      <protection hidden="1"/>
    </xf>
    <xf numFmtId="49" fontId="11" fillId="0" borderId="22" xfId="0" applyNumberFormat="1" applyFont="1" applyBorder="1" applyAlignment="1" applyProtection="1">
      <alignment wrapText="1"/>
      <protection hidden="1"/>
    </xf>
    <xf numFmtId="49" fontId="14" fillId="0" borderId="22" xfId="0" applyNumberFormat="1" applyFont="1" applyBorder="1" applyAlignment="1" applyProtection="1">
      <alignment/>
      <protection hidden="1"/>
    </xf>
    <xf numFmtId="49" fontId="12" fillId="0" borderId="22" xfId="0" applyNumberFormat="1" applyFont="1" applyBorder="1" applyAlignment="1" applyProtection="1">
      <alignment wrapText="1"/>
      <protection hidden="1"/>
    </xf>
    <xf numFmtId="4" fontId="12" fillId="0" borderId="16" xfId="0" applyNumberFormat="1" applyFont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4" fontId="12" fillId="0" borderId="27" xfId="0" applyNumberFormat="1" applyFont="1" applyBorder="1" applyAlignment="1" applyProtection="1">
      <alignment/>
      <protection hidden="1"/>
    </xf>
    <xf numFmtId="0" fontId="12" fillId="0" borderId="0" xfId="0" applyFont="1" applyAlignment="1" applyProtection="1">
      <alignment vertical="center"/>
      <protection hidden="1"/>
    </xf>
    <xf numFmtId="49" fontId="16" fillId="0" borderId="29" xfId="0" applyNumberFormat="1" applyFont="1" applyBorder="1" applyAlignment="1" applyProtection="1">
      <alignment/>
      <protection hidden="1"/>
    </xf>
    <xf numFmtId="4" fontId="16" fillId="0" borderId="24" xfId="0" applyNumberFormat="1" applyFont="1" applyFill="1" applyBorder="1" applyAlignment="1" applyProtection="1">
      <alignment/>
      <protection hidden="1"/>
    </xf>
    <xf numFmtId="4" fontId="14" fillId="0" borderId="27" xfId="0" applyNumberFormat="1" applyFont="1" applyBorder="1" applyAlignment="1" applyProtection="1">
      <alignment/>
      <protection hidden="1"/>
    </xf>
    <xf numFmtId="169" fontId="14" fillId="0" borderId="28" xfId="0" applyNumberFormat="1" applyFont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4" fontId="11" fillId="0" borderId="0" xfId="0" applyNumberFormat="1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4" fontId="11" fillId="0" borderId="0" xfId="0" applyNumberFormat="1" applyFont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3" fontId="12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>
      <alignment/>
    </xf>
    <xf numFmtId="4" fontId="12" fillId="3" borderId="9" xfId="0" applyNumberFormat="1" applyFont="1" applyFill="1" applyBorder="1" applyAlignment="1">
      <alignment horizontal="right" vertical="center"/>
    </xf>
    <xf numFmtId="169" fontId="12" fillId="3" borderId="10" xfId="0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top"/>
    </xf>
    <xf numFmtId="4" fontId="14" fillId="0" borderId="0" xfId="0" applyNumberFormat="1" applyFont="1" applyFill="1" applyBorder="1" applyAlignment="1">
      <alignment horizontal="right" vertical="top"/>
    </xf>
    <xf numFmtId="169" fontId="14" fillId="0" borderId="0" xfId="0" applyNumberFormat="1" applyFont="1" applyFill="1" applyBorder="1" applyAlignment="1">
      <alignment horizontal="right" vertical="top"/>
    </xf>
    <xf numFmtId="169" fontId="11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 applyAlignment="1">
      <alignment vertical="top"/>
    </xf>
    <xf numFmtId="49" fontId="14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" fontId="12" fillId="3" borderId="9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16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top" wrapText="1"/>
    </xf>
    <xf numFmtId="4" fontId="12" fillId="4" borderId="32" xfId="0" applyNumberFormat="1" applyFont="1" applyFill="1" applyBorder="1" applyAlignment="1">
      <alignment horizontal="center" vertical="center"/>
    </xf>
    <xf numFmtId="169" fontId="12" fillId="4" borderId="33" xfId="0" applyNumberFormat="1" applyFont="1" applyFill="1" applyBorder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top"/>
    </xf>
    <xf numFmtId="49" fontId="14" fillId="0" borderId="9" xfId="0" applyNumberFormat="1" applyFont="1" applyBorder="1" applyAlignment="1">
      <alignment horizontal="center" vertical="top" wrapText="1"/>
    </xf>
    <xf numFmtId="169" fontId="14" fillId="0" borderId="34" xfId="0" applyNumberFormat="1" applyFont="1" applyFill="1" applyBorder="1" applyAlignment="1">
      <alignment horizontal="right" vertical="top"/>
    </xf>
    <xf numFmtId="0" fontId="19" fillId="4" borderId="0" xfId="0" applyFont="1" applyFill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top"/>
    </xf>
    <xf numFmtId="4" fontId="14" fillId="0" borderId="24" xfId="0" applyNumberFormat="1" applyFont="1" applyFill="1" applyBorder="1" applyAlignment="1">
      <alignment horizontal="right" vertical="top"/>
    </xf>
    <xf numFmtId="169" fontId="14" fillId="0" borderId="25" xfId="0" applyNumberFormat="1" applyFont="1" applyFill="1" applyBorder="1" applyAlignment="1">
      <alignment horizontal="right" vertical="top"/>
    </xf>
    <xf numFmtId="0" fontId="12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4" fontId="11" fillId="0" borderId="9" xfId="0" applyNumberFormat="1" applyFont="1" applyFill="1" applyBorder="1" applyAlignment="1">
      <alignment horizontal="right" vertical="center"/>
    </xf>
    <xf numFmtId="174" fontId="11" fillId="0" borderId="9" xfId="0" applyNumberFormat="1" applyFont="1" applyFill="1" applyBorder="1" applyAlignment="1">
      <alignment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4" fontId="11" fillId="0" borderId="1" xfId="0" applyNumberFormat="1" applyFont="1" applyFill="1" applyBorder="1" applyAlignment="1">
      <alignment horizontal="right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right" vertical="center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7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174" fontId="11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4" fontId="12" fillId="0" borderId="9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174" fontId="12" fillId="0" borderId="9" xfId="0" applyNumberFormat="1" applyFont="1" applyFill="1" applyBorder="1" applyAlignment="1">
      <alignment vertical="center"/>
    </xf>
    <xf numFmtId="4" fontId="12" fillId="0" borderId="9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right" vertical="center"/>
    </xf>
    <xf numFmtId="17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174" fontId="11" fillId="0" borderId="24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vertical="center"/>
    </xf>
    <xf numFmtId="4" fontId="1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vertical="center"/>
    </xf>
    <xf numFmtId="4" fontId="11" fillId="5" borderId="4" xfId="0" applyNumberFormat="1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vertical="center"/>
    </xf>
    <xf numFmtId="4" fontId="11" fillId="2" borderId="10" xfId="0" applyNumberFormat="1" applyFont="1" applyFill="1" applyBorder="1" applyAlignment="1">
      <alignment vertical="center"/>
    </xf>
    <xf numFmtId="49" fontId="11" fillId="2" borderId="9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4" fontId="12" fillId="2" borderId="9" xfId="0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" fontId="12" fillId="0" borderId="7" xfId="0" applyNumberFormat="1" applyFont="1" applyBorder="1" applyAlignment="1">
      <alignment vertical="center"/>
    </xf>
    <xf numFmtId="4" fontId="11" fillId="0" borderId="36" xfId="0" applyNumberFormat="1" applyFont="1" applyFill="1" applyBorder="1" applyAlignment="1">
      <alignment vertical="center"/>
    </xf>
    <xf numFmtId="4" fontId="11" fillId="0" borderId="37" xfId="0" applyNumberFormat="1" applyFont="1" applyBorder="1" applyAlignment="1">
      <alignment vertical="center"/>
    </xf>
    <xf numFmtId="4" fontId="12" fillId="2" borderId="10" xfId="0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4" fontId="12" fillId="0" borderId="1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38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horizontal="center" vertical="center"/>
    </xf>
    <xf numFmtId="4" fontId="11" fillId="0" borderId="19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2" fillId="2" borderId="4" xfId="0" applyNumberFormat="1" applyFont="1" applyFill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4" fontId="11" fillId="2" borderId="4" xfId="0" applyNumberFormat="1" applyFont="1" applyFill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2" fillId="2" borderId="4" xfId="0" applyNumberFormat="1" applyFont="1" applyFill="1" applyBorder="1" applyAlignment="1">
      <alignment vertical="center"/>
    </xf>
    <xf numFmtId="4" fontId="12" fillId="0" borderId="4" xfId="0" applyNumberFormat="1" applyFont="1" applyBorder="1" applyAlignment="1">
      <alignment vertical="center"/>
    </xf>
    <xf numFmtId="169" fontId="14" fillId="0" borderId="28" xfId="0" applyNumberFormat="1" applyFont="1" applyFill="1" applyBorder="1" applyAlignment="1">
      <alignment horizontal="right" vertical="top"/>
    </xf>
    <xf numFmtId="169" fontId="11" fillId="0" borderId="0" xfId="0" applyNumberFormat="1" applyFont="1" applyFill="1" applyAlignment="1">
      <alignment horizontal="right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69" fontId="12" fillId="3" borderId="10" xfId="0" applyNumberFormat="1" applyFont="1" applyFill="1" applyBorder="1" applyAlignment="1">
      <alignment vertical="center"/>
    </xf>
    <xf numFmtId="49" fontId="12" fillId="3" borderId="39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169" fontId="12" fillId="0" borderId="18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169" fontId="11" fillId="0" borderId="18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169" fontId="14" fillId="0" borderId="18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1" fillId="0" borderId="16" xfId="0" applyNumberFormat="1" applyFont="1" applyBorder="1" applyAlignment="1">
      <alignment vertical="center" wrapText="1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vertical="center" wrapText="1"/>
    </xf>
    <xf numFmtId="4" fontId="25" fillId="0" borderId="16" xfId="0" applyNumberFormat="1" applyFont="1" applyBorder="1" applyAlignment="1">
      <alignment vertical="center"/>
    </xf>
    <xf numFmtId="169" fontId="18" fillId="0" borderId="18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vertical="center" wrapText="1"/>
    </xf>
    <xf numFmtId="4" fontId="26" fillId="0" borderId="16" xfId="0" applyNumberFormat="1" applyFont="1" applyBorder="1" applyAlignment="1">
      <alignment vertical="center"/>
    </xf>
    <xf numFmtId="169" fontId="26" fillId="0" borderId="18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49" fontId="25" fillId="0" borderId="16" xfId="0" applyNumberFormat="1" applyFont="1" applyBorder="1" applyAlignment="1">
      <alignment horizontal="left" vertical="center" wrapText="1"/>
    </xf>
    <xf numFmtId="169" fontId="25" fillId="0" borderId="18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49" fontId="19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169" fontId="16" fillId="0" borderId="18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4" fontId="11" fillId="0" borderId="17" xfId="0" applyNumberFormat="1" applyFont="1" applyBorder="1" applyAlignment="1">
      <alignment vertical="center"/>
    </xf>
    <xf numFmtId="49" fontId="23" fillId="0" borderId="22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vertical="center" wrapText="1"/>
    </xf>
    <xf numFmtId="4" fontId="26" fillId="0" borderId="16" xfId="0" applyNumberFormat="1" applyFont="1" applyFill="1" applyBorder="1" applyAlignment="1">
      <alignment vertical="center"/>
    </xf>
    <xf numFmtId="3" fontId="23" fillId="0" borderId="0" xfId="0" applyNumberFormat="1" applyFont="1" applyAlignment="1">
      <alignment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>
      <alignment vertical="center"/>
    </xf>
    <xf numFmtId="169" fontId="25" fillId="0" borderId="18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9" fontId="12" fillId="3" borderId="40" xfId="0" applyNumberFormat="1" applyFont="1" applyFill="1" applyBorder="1" applyAlignment="1">
      <alignment horizontal="center" vertical="center"/>
    </xf>
    <xf numFmtId="49" fontId="12" fillId="3" borderId="4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/>
    </xf>
    <xf numFmtId="169" fontId="12" fillId="3" borderId="42" xfId="0" applyNumberFormat="1" applyFont="1" applyFill="1" applyBorder="1" applyAlignment="1">
      <alignment vertical="center"/>
    </xf>
    <xf numFmtId="3" fontId="18" fillId="0" borderId="0" xfId="0" applyNumberFormat="1" applyFont="1" applyAlignment="1">
      <alignment vertical="center"/>
    </xf>
    <xf numFmtId="49" fontId="18" fillId="0" borderId="22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vertical="center" wrapText="1"/>
    </xf>
    <xf numFmtId="49" fontId="25" fillId="0" borderId="17" xfId="0" applyNumberFormat="1" applyFont="1" applyBorder="1" applyAlignment="1">
      <alignment vertical="center" wrapText="1"/>
    </xf>
    <xf numFmtId="4" fontId="18" fillId="0" borderId="16" xfId="0" applyNumberFormat="1" applyFont="1" applyBorder="1" applyAlignment="1">
      <alignment vertical="center"/>
    </xf>
    <xf numFmtId="49" fontId="26" fillId="0" borderId="17" xfId="0" applyNumberFormat="1" applyFont="1" applyFill="1" applyBorder="1" applyAlignment="1">
      <alignment vertical="center" wrapText="1"/>
    </xf>
    <xf numFmtId="169" fontId="26" fillId="0" borderId="18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" fontId="14" fillId="0" borderId="16" xfId="0" applyNumberFormat="1" applyFont="1" applyFill="1" applyBorder="1" applyAlignment="1">
      <alignment vertical="center"/>
    </xf>
    <xf numFmtId="169" fontId="12" fillId="3" borderId="4" xfId="0" applyNumberFormat="1" applyFont="1" applyFill="1" applyBorder="1" applyAlignment="1">
      <alignment vertical="center"/>
    </xf>
    <xf numFmtId="4" fontId="12" fillId="0" borderId="16" xfId="0" applyNumberFormat="1" applyFont="1" applyBorder="1" applyAlignment="1">
      <alignment horizontal="right" vertical="center" wrapText="1"/>
    </xf>
    <xf numFmtId="4" fontId="11" fillId="0" borderId="16" xfId="0" applyNumberFormat="1" applyFont="1" applyBorder="1" applyAlignment="1">
      <alignment horizontal="right" vertical="center" wrapText="1"/>
    </xf>
    <xf numFmtId="49" fontId="24" fillId="0" borderId="1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vertical="center"/>
    </xf>
    <xf numFmtId="4" fontId="25" fillId="0" borderId="17" xfId="0" applyNumberFormat="1" applyFont="1" applyBorder="1" applyAlignment="1">
      <alignment vertical="center"/>
    </xf>
    <xf numFmtId="49" fontId="26" fillId="0" borderId="22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4" fontId="26" fillId="5" borderId="16" xfId="0" applyNumberFormat="1" applyFont="1" applyFill="1" applyBorder="1" applyAlignment="1">
      <alignment vertical="center"/>
    </xf>
    <xf numFmtId="49" fontId="25" fillId="0" borderId="17" xfId="0" applyNumberFormat="1" applyFont="1" applyBorder="1" applyAlignment="1">
      <alignment horizontal="left" vertical="center" wrapText="1"/>
    </xf>
    <xf numFmtId="4" fontId="25" fillId="5" borderId="16" xfId="0" applyNumberFormat="1" applyFont="1" applyFill="1" applyBorder="1" applyAlignment="1">
      <alignment vertical="center"/>
    </xf>
    <xf numFmtId="49" fontId="23" fillId="0" borderId="29" xfId="0" applyNumberFormat="1" applyFont="1" applyBorder="1" applyAlignment="1">
      <alignment horizontal="center" vertical="center"/>
    </xf>
    <xf numFmtId="49" fontId="26" fillId="0" borderId="43" xfId="0" applyNumberFormat="1" applyFont="1" applyBorder="1" applyAlignment="1">
      <alignment vertical="center" wrapText="1"/>
    </xf>
    <xf numFmtId="4" fontId="26" fillId="0" borderId="24" xfId="0" applyNumberFormat="1" applyFont="1" applyBorder="1" applyAlignment="1">
      <alignment vertical="center"/>
    </xf>
    <xf numFmtId="169" fontId="26" fillId="0" borderId="25" xfId="0" applyNumberFormat="1" applyFont="1" applyBorder="1" applyAlignment="1">
      <alignment vertical="center"/>
    </xf>
    <xf numFmtId="49" fontId="23" fillId="5" borderId="22" xfId="0" applyNumberFormat="1" applyFont="1" applyFill="1" applyBorder="1" applyAlignment="1">
      <alignment horizontal="center" vertical="center"/>
    </xf>
    <xf numFmtId="49" fontId="26" fillId="5" borderId="17" xfId="0" applyNumberFormat="1" applyFont="1" applyFill="1" applyBorder="1" applyAlignment="1">
      <alignment vertical="center" wrapText="1"/>
    </xf>
    <xf numFmtId="169" fontId="26" fillId="5" borderId="18" xfId="0" applyNumberFormat="1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49" fontId="12" fillId="3" borderId="44" xfId="0" applyNumberFormat="1" applyFont="1" applyFill="1" applyBorder="1" applyAlignment="1">
      <alignment vertical="center" wrapText="1"/>
    </xf>
    <xf numFmtId="49" fontId="12" fillId="4" borderId="40" xfId="0" applyNumberFormat="1" applyFont="1" applyFill="1" applyBorder="1" applyAlignment="1">
      <alignment horizontal="center" vertical="center"/>
    </xf>
    <xf numFmtId="49" fontId="12" fillId="4" borderId="45" xfId="0" applyNumberFormat="1" applyFont="1" applyFill="1" applyBorder="1" applyAlignment="1">
      <alignment horizontal="center" vertical="center"/>
    </xf>
    <xf numFmtId="49" fontId="12" fillId="4" borderId="46" xfId="0" applyNumberFormat="1" applyFont="1" applyFill="1" applyBorder="1" applyAlignment="1">
      <alignment vertical="center" wrapText="1"/>
    </xf>
    <xf numFmtId="4" fontId="12" fillId="4" borderId="47" xfId="0" applyNumberFormat="1" applyFont="1" applyFill="1" applyBorder="1" applyAlignment="1">
      <alignment vertical="center"/>
    </xf>
    <xf numFmtId="169" fontId="12" fillId="4" borderId="42" xfId="0" applyNumberFormat="1" applyFont="1" applyFill="1" applyBorder="1" applyAlignment="1">
      <alignment vertical="center"/>
    </xf>
    <xf numFmtId="49" fontId="18" fillId="0" borderId="21" xfId="0" applyNumberFormat="1" applyFont="1" applyBorder="1" applyAlignment="1">
      <alignment horizontal="center" vertical="center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49" fontId="23" fillId="0" borderId="21" xfId="0" applyNumberFormat="1" applyFont="1" applyBorder="1" applyAlignment="1">
      <alignment horizontal="center" vertical="center"/>
    </xf>
    <xf numFmtId="4" fontId="29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4" fontId="16" fillId="3" borderId="0" xfId="0" applyNumberFormat="1" applyFont="1" applyFill="1" applyAlignment="1">
      <alignment vertical="center"/>
    </xf>
    <xf numFmtId="4" fontId="23" fillId="3" borderId="0" xfId="0" applyNumberFormat="1" applyFont="1" applyFill="1" applyAlignment="1">
      <alignment vertical="center"/>
    </xf>
    <xf numFmtId="4" fontId="16" fillId="0" borderId="0" xfId="0" applyNumberFormat="1" applyFont="1" applyAlignment="1">
      <alignment vertical="center"/>
    </xf>
    <xf numFmtId="49" fontId="23" fillId="0" borderId="2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vertical="center"/>
    </xf>
    <xf numFmtId="169" fontId="19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49" fontId="25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vertical="center"/>
    </xf>
    <xf numFmtId="169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169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26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vertical="center"/>
    </xf>
    <xf numFmtId="169" fontId="26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 wrapText="1"/>
    </xf>
    <xf numFmtId="169" fontId="11" fillId="0" borderId="0" xfId="0" applyNumberFormat="1" applyFont="1" applyBorder="1" applyAlignment="1">
      <alignment vertic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left" vertical="center" wrapText="1"/>
    </xf>
    <xf numFmtId="4" fontId="25" fillId="0" borderId="24" xfId="0" applyNumberFormat="1" applyFont="1" applyBorder="1" applyAlignment="1">
      <alignment vertical="center"/>
    </xf>
    <xf numFmtId="169" fontId="25" fillId="0" borderId="25" xfId="0" applyNumberFormat="1" applyFont="1" applyBorder="1" applyAlignment="1">
      <alignment vertical="center"/>
    </xf>
    <xf numFmtId="49" fontId="25" fillId="0" borderId="22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vertical="center" wrapText="1"/>
    </xf>
    <xf numFmtId="4" fontId="14" fillId="0" borderId="24" xfId="0" applyNumberFormat="1" applyFont="1" applyBorder="1" applyAlignment="1">
      <alignment vertical="center"/>
    </xf>
    <xf numFmtId="169" fontId="14" fillId="0" borderId="25" xfId="0" applyNumberFormat="1" applyFont="1" applyBorder="1" applyAlignment="1">
      <alignment vertical="center"/>
    </xf>
    <xf numFmtId="49" fontId="12" fillId="0" borderId="22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6" fillId="0" borderId="24" xfId="0" applyNumberFormat="1" applyFont="1" applyBorder="1" applyAlignment="1">
      <alignment vertical="center" wrapText="1"/>
    </xf>
    <xf numFmtId="4" fontId="14" fillId="0" borderId="43" xfId="0" applyNumberFormat="1" applyFont="1" applyBorder="1" applyAlignment="1">
      <alignment vertical="center"/>
    </xf>
    <xf numFmtId="49" fontId="14" fillId="0" borderId="24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vertical="center" wrapText="1"/>
    </xf>
    <xf numFmtId="4" fontId="11" fillId="0" borderId="24" xfId="0" applyNumberFormat="1" applyFont="1" applyBorder="1" applyAlignment="1">
      <alignment vertical="center"/>
    </xf>
    <xf numFmtId="169" fontId="11" fillId="0" borderId="25" xfId="0" applyNumberFormat="1" applyFont="1" applyBorder="1" applyAlignment="1">
      <alignment vertical="center"/>
    </xf>
    <xf numFmtId="49" fontId="14" fillId="0" borderId="16" xfId="0" applyNumberFormat="1" applyFont="1" applyBorder="1" applyAlignment="1">
      <alignment vertical="center"/>
    </xf>
    <xf numFmtId="172" fontId="14" fillId="0" borderId="21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49" fontId="14" fillId="0" borderId="9" xfId="0" applyNumberFormat="1" applyFont="1" applyBorder="1" applyAlignment="1">
      <alignment vertical="center"/>
    </xf>
    <xf numFmtId="4" fontId="14" fillId="0" borderId="9" xfId="0" applyNumberFormat="1" applyFont="1" applyFill="1" applyBorder="1" applyAlignment="1">
      <alignment vertical="center"/>
    </xf>
    <xf numFmtId="172" fontId="14" fillId="0" borderId="31" xfId="0" applyNumberFormat="1" applyFont="1" applyBorder="1" applyAlignment="1">
      <alignment horizontal="right" vertical="center"/>
    </xf>
    <xf numFmtId="195" fontId="14" fillId="0" borderId="10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vertical="center"/>
    </xf>
    <xf numFmtId="4" fontId="11" fillId="0" borderId="26" xfId="0" applyNumberFormat="1" applyFont="1" applyBorder="1" applyAlignment="1">
      <alignment vertical="center"/>
    </xf>
    <xf numFmtId="4" fontId="11" fillId="5" borderId="48" xfId="0" applyNumberFormat="1" applyFont="1" applyFill="1" applyBorder="1" applyAlignment="1">
      <alignment vertical="center"/>
    </xf>
    <xf numFmtId="39" fontId="11" fillId="0" borderId="0" xfId="0" applyNumberFormat="1" applyFont="1" applyAlignment="1">
      <alignment vertical="center"/>
    </xf>
    <xf numFmtId="39" fontId="11" fillId="0" borderId="26" xfId="0" applyNumberFormat="1" applyFont="1" applyBorder="1" applyAlignment="1">
      <alignment vertical="center"/>
    </xf>
    <xf numFmtId="39" fontId="11" fillId="0" borderId="48" xfId="0" applyNumberFormat="1" applyFont="1" applyBorder="1" applyAlignment="1">
      <alignment vertical="center"/>
    </xf>
    <xf numFmtId="164" fontId="11" fillId="0" borderId="21" xfId="0" applyNumberFormat="1" applyFont="1" applyFill="1" applyBorder="1" applyAlignment="1">
      <alignment vertical="top"/>
    </xf>
    <xf numFmtId="0" fontId="11" fillId="0" borderId="20" xfId="0" applyFont="1" applyFill="1" applyBorder="1" applyAlignment="1">
      <alignment horizontal="right" vertical="top"/>
    </xf>
    <xf numFmtId="169" fontId="11" fillId="0" borderId="28" xfId="0" applyNumberFormat="1" applyFont="1" applyFill="1" applyBorder="1" applyAlignment="1">
      <alignment horizontal="right" vertical="top"/>
    </xf>
    <xf numFmtId="0" fontId="12" fillId="0" borderId="0" xfId="0" applyFont="1" applyFill="1" applyAlignment="1">
      <alignment/>
    </xf>
    <xf numFmtId="169" fontId="14" fillId="0" borderId="20" xfId="0" applyNumberFormat="1" applyFont="1" applyFill="1" applyBorder="1" applyAlignment="1">
      <alignment horizontal="right" vertical="center"/>
    </xf>
    <xf numFmtId="4" fontId="11" fillId="6" borderId="0" xfId="0" applyNumberFormat="1" applyFont="1" applyFill="1" applyAlignment="1">
      <alignment/>
    </xf>
    <xf numFmtId="0" fontId="11" fillId="6" borderId="0" xfId="0" applyFont="1" applyFill="1" applyAlignment="1">
      <alignment/>
    </xf>
    <xf numFmtId="4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right"/>
    </xf>
    <xf numFmtId="49" fontId="14" fillId="0" borderId="31" xfId="0" applyNumberFormat="1" applyFont="1" applyBorder="1" applyAlignment="1">
      <alignment horizontal="center" vertical="top"/>
    </xf>
    <xf numFmtId="49" fontId="14" fillId="0" borderId="31" xfId="0" applyNumberFormat="1" applyFont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vertical="top"/>
    </xf>
    <xf numFmtId="0" fontId="15" fillId="0" borderId="9" xfId="0" applyFont="1" applyBorder="1" applyAlignment="1">
      <alignment horizontal="center" vertical="center"/>
    </xf>
    <xf numFmtId="49" fontId="14" fillId="0" borderId="24" xfId="0" applyNumberFormat="1" applyFont="1" applyBorder="1" applyAlignment="1">
      <alignment vertical="top" wrapText="1"/>
    </xf>
    <xf numFmtId="49" fontId="14" fillId="0" borderId="23" xfId="0" applyNumberFormat="1" applyFont="1" applyBorder="1" applyAlignment="1">
      <alignment horizontal="center" vertical="top"/>
    </xf>
    <xf numFmtId="49" fontId="14" fillId="0" borderId="24" xfId="0" applyNumberFormat="1" applyFont="1" applyBorder="1" applyAlignment="1">
      <alignment horizontal="center" vertical="top"/>
    </xf>
    <xf numFmtId="4" fontId="14" fillId="0" borderId="24" xfId="0" applyNumberFormat="1" applyFont="1" applyBorder="1" applyAlignment="1">
      <alignment vertical="top"/>
    </xf>
    <xf numFmtId="49" fontId="14" fillId="0" borderId="24" xfId="0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 wrapText="1"/>
    </xf>
    <xf numFmtId="49" fontId="11" fillId="0" borderId="24" xfId="0" applyNumberFormat="1" applyFont="1" applyFill="1" applyBorder="1" applyAlignment="1">
      <alignment vertical="top" wrapText="1"/>
    </xf>
    <xf numFmtId="4" fontId="11" fillId="0" borderId="24" xfId="0" applyNumberFormat="1" applyFont="1" applyBorder="1" applyAlignment="1">
      <alignment vertical="top"/>
    </xf>
    <xf numFmtId="49" fontId="14" fillId="0" borderId="24" xfId="0" applyNumberFormat="1" applyFont="1" applyFill="1" applyBorder="1" applyAlignment="1">
      <alignment vertical="top"/>
    </xf>
    <xf numFmtId="4" fontId="14" fillId="0" borderId="43" xfId="0" applyNumberFormat="1" applyFont="1" applyFill="1" applyBorder="1" applyAlignment="1">
      <alignment vertical="top"/>
    </xf>
    <xf numFmtId="0" fontId="12" fillId="3" borderId="49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vertical="center"/>
    </xf>
    <xf numFmtId="4" fontId="12" fillId="3" borderId="47" xfId="0" applyNumberFormat="1" applyFont="1" applyFill="1" applyBorder="1" applyAlignment="1">
      <alignment vertical="center"/>
    </xf>
    <xf numFmtId="172" fontId="12" fillId="3" borderId="50" xfId="0" applyNumberFormat="1" applyFont="1" applyFill="1" applyBorder="1" applyAlignment="1">
      <alignment horizontal="right" vertical="center"/>
    </xf>
    <xf numFmtId="195" fontId="12" fillId="3" borderId="42" xfId="0" applyNumberFormat="1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vertical="center"/>
    </xf>
    <xf numFmtId="172" fontId="12" fillId="3" borderId="2" xfId="0" applyNumberFormat="1" applyFont="1" applyFill="1" applyBorder="1" applyAlignment="1">
      <alignment horizontal="right" vertical="center"/>
    </xf>
    <xf numFmtId="195" fontId="12" fillId="3" borderId="4" xfId="0" applyNumberFormat="1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49" fontId="12" fillId="3" borderId="31" xfId="0" applyNumberFormat="1" applyFont="1" applyFill="1" applyBorder="1" applyAlignment="1">
      <alignment vertical="center"/>
    </xf>
    <xf numFmtId="172" fontId="12" fillId="3" borderId="31" xfId="0" applyNumberFormat="1" applyFont="1" applyFill="1" applyBorder="1" applyAlignment="1">
      <alignment horizontal="center" vertical="center"/>
    </xf>
    <xf numFmtId="195" fontId="12" fillId="3" borderId="10" xfId="0" applyNumberFormat="1" applyFont="1" applyFill="1" applyBorder="1" applyAlignment="1">
      <alignment horizontal="center" vertical="center"/>
    </xf>
    <xf numFmtId="195" fontId="12" fillId="3" borderId="4" xfId="0" applyNumberFormat="1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left" vertical="top"/>
    </xf>
    <xf numFmtId="49" fontId="11" fillId="3" borderId="0" xfId="0" applyNumberFormat="1" applyFont="1" applyFill="1" applyBorder="1" applyAlignment="1">
      <alignment horizontal="left" vertical="top"/>
    </xf>
    <xf numFmtId="4" fontId="11" fillId="3" borderId="21" xfId="0" applyNumberFormat="1" applyFont="1" applyFill="1" applyBorder="1" applyAlignment="1">
      <alignment vertical="top"/>
    </xf>
    <xf numFmtId="169" fontId="11" fillId="3" borderId="21" xfId="0" applyNumberFormat="1" applyFont="1" applyFill="1" applyBorder="1" applyAlignment="1">
      <alignment horizontal="right" vertical="top"/>
    </xf>
    <xf numFmtId="169" fontId="11" fillId="3" borderId="20" xfId="0" applyNumberFormat="1" applyFont="1" applyFill="1" applyBorder="1" applyAlignment="1">
      <alignment horizontal="right" vertical="top"/>
    </xf>
    <xf numFmtId="0" fontId="12" fillId="3" borderId="29" xfId="0" applyFont="1" applyFill="1" applyBorder="1" applyAlignment="1">
      <alignment horizontal="right" vertical="top"/>
    </xf>
    <xf numFmtId="0" fontId="12" fillId="3" borderId="30" xfId="0" applyFont="1" applyFill="1" applyBorder="1" applyAlignment="1">
      <alignment horizontal="left" vertical="top"/>
    </xf>
    <xf numFmtId="4" fontId="12" fillId="3" borderId="27" xfId="0" applyNumberFormat="1" applyFont="1" applyFill="1" applyBorder="1" applyAlignment="1">
      <alignment vertical="top"/>
    </xf>
    <xf numFmtId="169" fontId="12" fillId="3" borderId="27" xfId="0" applyNumberFormat="1" applyFont="1" applyFill="1" applyBorder="1" applyAlignment="1">
      <alignment horizontal="right" vertical="top"/>
    </xf>
    <xf numFmtId="169" fontId="12" fillId="3" borderId="28" xfId="0" applyNumberFormat="1" applyFont="1" applyFill="1" applyBorder="1" applyAlignment="1">
      <alignment horizontal="right" vertical="top"/>
    </xf>
    <xf numFmtId="0" fontId="12" fillId="3" borderId="40" xfId="0" applyFont="1" applyFill="1" applyBorder="1" applyAlignment="1">
      <alignment horizontal="center" vertical="center"/>
    </xf>
    <xf numFmtId="4" fontId="12" fillId="3" borderId="47" xfId="0" applyNumberFormat="1" applyFont="1" applyFill="1" applyBorder="1" applyAlignment="1">
      <alignment horizontal="right" vertical="center"/>
    </xf>
    <xf numFmtId="174" fontId="12" fillId="3" borderId="42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5" fillId="0" borderId="0" xfId="22" applyFont="1" applyAlignment="1">
      <alignment vertical="center"/>
      <protection/>
    </xf>
    <xf numFmtId="4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right" vertical="center"/>
    </xf>
    <xf numFmtId="169" fontId="12" fillId="3" borderId="4" xfId="0" applyNumberFormat="1" applyFont="1" applyFill="1" applyBorder="1" applyAlignment="1">
      <alignment horizontal="right" vertical="center"/>
    </xf>
    <xf numFmtId="49" fontId="19" fillId="3" borderId="51" xfId="0" applyNumberFormat="1" applyFont="1" applyFill="1" applyBorder="1" applyAlignment="1">
      <alignment vertical="center"/>
    </xf>
    <xf numFmtId="4" fontId="19" fillId="3" borderId="52" xfId="0" applyNumberFormat="1" applyFont="1" applyFill="1" applyBorder="1" applyAlignment="1">
      <alignment horizontal="center" vertical="center"/>
    </xf>
    <xf numFmtId="4" fontId="19" fillId="3" borderId="52" xfId="0" applyNumberFormat="1" applyFont="1" applyFill="1" applyBorder="1" applyAlignment="1">
      <alignment horizontal="right" vertical="center"/>
    </xf>
    <xf numFmtId="169" fontId="19" fillId="3" borderId="53" xfId="0" applyNumberFormat="1" applyFont="1" applyFill="1" applyBorder="1" applyAlignment="1">
      <alignment horizontal="right" vertical="center"/>
    </xf>
    <xf numFmtId="49" fontId="19" fillId="3" borderId="54" xfId="0" applyNumberFormat="1" applyFont="1" applyFill="1" applyBorder="1" applyAlignment="1">
      <alignment vertical="center"/>
    </xf>
    <xf numFmtId="4" fontId="19" fillId="3" borderId="55" xfId="0" applyNumberFormat="1" applyFont="1" applyFill="1" applyBorder="1" applyAlignment="1">
      <alignment horizontal="right" vertical="center"/>
    </xf>
    <xf numFmtId="169" fontId="19" fillId="3" borderId="56" xfId="0" applyNumberFormat="1" applyFont="1" applyFill="1" applyBorder="1" applyAlignment="1">
      <alignment horizontal="right" vertical="center"/>
    </xf>
    <xf numFmtId="49" fontId="19" fillId="3" borderId="29" xfId="0" applyNumberFormat="1" applyFont="1" applyFill="1" applyBorder="1" applyAlignment="1">
      <alignment vertical="center"/>
    </xf>
    <xf numFmtId="4" fontId="19" fillId="3" borderId="24" xfId="0" applyNumberFormat="1" applyFont="1" applyFill="1" applyBorder="1" applyAlignment="1">
      <alignment horizontal="right" vertical="center"/>
    </xf>
    <xf numFmtId="169" fontId="19" fillId="3" borderId="28" xfId="0" applyNumberFormat="1" applyFont="1" applyFill="1" applyBorder="1" applyAlignment="1">
      <alignment horizontal="right" vertical="center"/>
    </xf>
    <xf numFmtId="49" fontId="12" fillId="3" borderId="57" xfId="0" applyNumberFormat="1" applyFont="1" applyFill="1" applyBorder="1" applyAlignment="1" applyProtection="1">
      <alignment vertical="center"/>
      <protection hidden="1"/>
    </xf>
    <xf numFmtId="4" fontId="12" fillId="3" borderId="58" xfId="0" applyNumberFormat="1" applyFont="1" applyFill="1" applyBorder="1" applyAlignment="1" applyProtection="1">
      <alignment vertical="center"/>
      <protection hidden="1"/>
    </xf>
    <xf numFmtId="4" fontId="12" fillId="3" borderId="27" xfId="0" applyNumberFormat="1" applyFont="1" applyFill="1" applyBorder="1" applyAlignment="1" applyProtection="1">
      <alignment vertical="center"/>
      <protection hidden="1"/>
    </xf>
    <xf numFmtId="169" fontId="12" fillId="3" borderId="33" xfId="0" applyNumberFormat="1" applyFont="1" applyFill="1" applyBorder="1" applyAlignment="1" applyProtection="1">
      <alignment vertical="center"/>
      <protection hidden="1"/>
    </xf>
    <xf numFmtId="49" fontId="26" fillId="0" borderId="24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2" fillId="3" borderId="31" xfId="0" applyNumberFormat="1" applyFont="1" applyFill="1" applyBorder="1" applyAlignment="1">
      <alignment horizontal="center" vertical="center"/>
    </xf>
    <xf numFmtId="49" fontId="23" fillId="5" borderId="21" xfId="0" applyNumberFormat="1" applyFont="1" applyFill="1" applyBorder="1" applyAlignment="1">
      <alignment horizontal="center" vertical="center"/>
    </xf>
    <xf numFmtId="49" fontId="12" fillId="3" borderId="45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25" fillId="0" borderId="29" xfId="0" applyNumberFormat="1" applyFont="1" applyBorder="1" applyAlignment="1">
      <alignment horizontal="center" vertical="center"/>
    </xf>
    <xf numFmtId="49" fontId="26" fillId="0" borderId="29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30" xfId="0" applyFont="1" applyBorder="1" applyAlignment="1">
      <alignment horizontal="right"/>
    </xf>
    <xf numFmtId="174" fontId="12" fillId="0" borderId="4" xfId="0" applyNumberFormat="1" applyFont="1" applyBorder="1" applyAlignment="1">
      <alignment vertical="center"/>
    </xf>
    <xf numFmtId="174" fontId="11" fillId="0" borderId="4" xfId="0" applyNumberFormat="1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vertical="center" wrapText="1"/>
    </xf>
    <xf numFmtId="174" fontId="11" fillId="0" borderId="37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1" fillId="0" borderId="7" xfId="0" applyFont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174" fontId="11" fillId="0" borderId="14" xfId="0" applyNumberFormat="1" applyFont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4" fontId="11" fillId="0" borderId="9" xfId="0" applyNumberFormat="1" applyFont="1" applyBorder="1" applyAlignment="1">
      <alignment vertical="center"/>
    </xf>
    <xf numFmtId="4" fontId="11" fillId="0" borderId="31" xfId="0" applyNumberFormat="1" applyFont="1" applyBorder="1" applyAlignment="1">
      <alignment vertical="center"/>
    </xf>
    <xf numFmtId="174" fontId="11" fillId="0" borderId="10" xfId="0" applyNumberFormat="1" applyFont="1" applyBorder="1" applyAlignment="1">
      <alignment vertical="center"/>
    </xf>
    <xf numFmtId="4" fontId="12" fillId="0" borderId="9" xfId="0" applyNumberFormat="1" applyFont="1" applyBorder="1" applyAlignment="1">
      <alignment vertical="center"/>
    </xf>
    <xf numFmtId="174" fontId="12" fillId="0" borderId="10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" fontId="11" fillId="0" borderId="59" xfId="0" applyNumberFormat="1" applyFont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 wrapText="1"/>
    </xf>
    <xf numFmtId="0" fontId="11" fillId="0" borderId="23" xfId="0" applyFont="1" applyBorder="1" applyAlignment="1">
      <alignment horizontal="center" vertical="center"/>
    </xf>
    <xf numFmtId="4" fontId="12" fillId="0" borderId="19" xfId="0" applyNumberFormat="1" applyFont="1" applyBorder="1" applyAlignment="1">
      <alignment vertical="center"/>
    </xf>
    <xf numFmtId="4" fontId="19" fillId="4" borderId="36" xfId="0" applyNumberFormat="1" applyFont="1" applyFill="1" applyBorder="1" applyAlignment="1">
      <alignment vertical="center"/>
    </xf>
    <xf numFmtId="174" fontId="19" fillId="4" borderId="37" xfId="0" applyNumberFormat="1" applyFont="1" applyFill="1" applyBorder="1" applyAlignment="1">
      <alignment vertical="center"/>
    </xf>
    <xf numFmtId="4" fontId="12" fillId="4" borderId="24" xfId="0" applyNumberFormat="1" applyFont="1" applyFill="1" applyBorder="1" applyAlignment="1">
      <alignment vertical="center"/>
    </xf>
    <xf numFmtId="174" fontId="12" fillId="4" borderId="28" xfId="0" applyNumberFormat="1" applyFont="1" applyFill="1" applyBorder="1" applyAlignment="1">
      <alignment vertical="center"/>
    </xf>
    <xf numFmtId="4" fontId="12" fillId="3" borderId="24" xfId="0" applyNumberFormat="1" applyFont="1" applyFill="1" applyBorder="1" applyAlignment="1">
      <alignment vertical="center"/>
    </xf>
    <xf numFmtId="174" fontId="12" fillId="3" borderId="28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174" fontId="12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" fontId="19" fillId="4" borderId="9" xfId="0" applyNumberFormat="1" applyFont="1" applyFill="1" applyBorder="1" applyAlignment="1">
      <alignment vertical="center"/>
    </xf>
    <xf numFmtId="174" fontId="19" fillId="4" borderId="10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174" fontId="12" fillId="0" borderId="4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 vertical="center"/>
    </xf>
    <xf numFmtId="4" fontId="11" fillId="0" borderId="9" xfId="0" applyNumberFormat="1" applyFont="1" applyFill="1" applyBorder="1" applyAlignment="1">
      <alignment horizontal="right" vertical="center"/>
    </xf>
    <xf numFmtId="174" fontId="11" fillId="0" borderId="10" xfId="0" applyNumberFormat="1" applyFont="1" applyFill="1" applyBorder="1" applyAlignment="1">
      <alignment horizontal="right" vertical="center"/>
    </xf>
    <xf numFmtId="174" fontId="11" fillId="0" borderId="4" xfId="0" applyNumberFormat="1" applyFont="1" applyFill="1" applyBorder="1" applyAlignment="1">
      <alignment horizontal="right" vertical="center"/>
    </xf>
    <xf numFmtId="4" fontId="11" fillId="0" borderId="24" xfId="0" applyNumberFormat="1" applyFont="1" applyFill="1" applyBorder="1" applyAlignment="1">
      <alignment horizontal="right" vertical="center"/>
    </xf>
    <xf numFmtId="174" fontId="11" fillId="0" borderId="14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174" fontId="11" fillId="0" borderId="0" xfId="0" applyNumberFormat="1" applyFont="1" applyFill="1" applyBorder="1" applyAlignment="1">
      <alignment horizontal="right" vertical="center"/>
    </xf>
    <xf numFmtId="174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2" borderId="49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174" fontId="11" fillId="0" borderId="37" xfId="0" applyNumberFormat="1" applyFont="1" applyBorder="1" applyAlignment="1">
      <alignment horizontal="right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horizontal="right" vertical="center"/>
    </xf>
    <xf numFmtId="4" fontId="14" fillId="0" borderId="4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" fontId="11" fillId="0" borderId="2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right" vertical="center"/>
    </xf>
    <xf numFmtId="4" fontId="11" fillId="0" borderId="59" xfId="0" applyNumberFormat="1" applyFont="1" applyFill="1" applyBorder="1" applyAlignment="1">
      <alignment horizontal="right" vertical="center"/>
    </xf>
    <xf numFmtId="4" fontId="11" fillId="0" borderId="14" xfId="0" applyNumberFormat="1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4" fontId="14" fillId="0" borderId="9" xfId="0" applyNumberFormat="1" applyFont="1" applyFill="1" applyBorder="1" applyAlignment="1">
      <alignment horizontal="right" vertical="center"/>
    </xf>
    <xf numFmtId="4" fontId="14" fillId="0" borderId="31" xfId="0" applyNumberFormat="1" applyFont="1" applyFill="1" applyBorder="1" applyAlignment="1">
      <alignment horizontal="right" vertical="center"/>
    </xf>
    <xf numFmtId="4" fontId="14" fillId="0" borderId="10" xfId="0" applyNumberFormat="1" applyFont="1" applyBorder="1" applyAlignment="1">
      <alignment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 wrapText="1"/>
    </xf>
    <xf numFmtId="4" fontId="14" fillId="0" borderId="24" xfId="0" applyNumberFormat="1" applyFont="1" applyFill="1" applyBorder="1" applyAlignment="1">
      <alignment horizontal="right" vertical="center"/>
    </xf>
    <xf numFmtId="4" fontId="14" fillId="0" borderId="27" xfId="0" applyNumberFormat="1" applyFont="1" applyFill="1" applyBorder="1" applyAlignment="1">
      <alignment horizontal="right" vertical="center"/>
    </xf>
    <xf numFmtId="4" fontId="14" fillId="0" borderId="28" xfId="0" applyNumberFormat="1" applyFont="1" applyBorder="1" applyAlignment="1">
      <alignment vertical="center"/>
    </xf>
    <xf numFmtId="49" fontId="11" fillId="0" borderId="3" xfId="0" applyNumberFormat="1" applyFont="1" applyBorder="1" applyAlignment="1">
      <alignment horizontal="center" vertical="center"/>
    </xf>
    <xf numFmtId="174" fontId="12" fillId="3" borderId="28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12" fillId="4" borderId="24" xfId="0" applyNumberFormat="1" applyFont="1" applyFill="1" applyBorder="1" applyAlignment="1">
      <alignment horizontal="right" vertical="center"/>
    </xf>
    <xf numFmtId="4" fontId="12" fillId="4" borderId="28" xfId="0" applyNumberFormat="1" applyFont="1" applyFill="1" applyBorder="1" applyAlignment="1">
      <alignment horizontal="right" vertical="center"/>
    </xf>
    <xf numFmtId="4" fontId="12" fillId="3" borderId="26" xfId="0" applyNumberFormat="1" applyFont="1" applyFill="1" applyBorder="1" applyAlignment="1">
      <alignment horizontal="right" vertical="center"/>
    </xf>
    <xf numFmtId="4" fontId="12" fillId="3" borderId="45" xfId="0" applyNumberFormat="1" applyFont="1" applyFill="1" applyBorder="1" applyAlignment="1">
      <alignment horizontal="right" vertical="center"/>
    </xf>
    <xf numFmtId="4" fontId="12" fillId="3" borderId="42" xfId="0" applyNumberFormat="1" applyFont="1" applyFill="1" applyBorder="1" applyAlignment="1">
      <alignment horizontal="right" vertical="center"/>
    </xf>
    <xf numFmtId="4" fontId="12" fillId="3" borderId="50" xfId="0" applyNumberFormat="1" applyFont="1" applyFill="1" applyBorder="1" applyAlignment="1">
      <alignment horizontal="right" vertical="center"/>
    </xf>
    <xf numFmtId="0" fontId="12" fillId="0" borderId="0" xfId="18" applyFont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174" fontId="11" fillId="0" borderId="20" xfId="0" applyNumberFormat="1" applyFont="1" applyBorder="1" applyAlignment="1">
      <alignment vertical="center"/>
    </xf>
    <xf numFmtId="174" fontId="11" fillId="0" borderId="20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12" fillId="2" borderId="45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4" fontId="11" fillId="0" borderId="12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vertical="center" wrapText="1"/>
    </xf>
    <xf numFmtId="4" fontId="11" fillId="0" borderId="21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horizontal="center" vertical="center"/>
    </xf>
    <xf numFmtId="174" fontId="11" fillId="0" borderId="20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1" xfId="0" applyFont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1" fillId="0" borderId="0" xfId="18" applyFont="1" applyAlignment="1">
      <alignment vertical="center"/>
      <protection/>
    </xf>
    <xf numFmtId="0" fontId="11" fillId="0" borderId="0" xfId="18" applyFont="1" applyAlignment="1">
      <alignment horizontal="right" vertical="center"/>
      <protection/>
    </xf>
    <xf numFmtId="0" fontId="31" fillId="0" borderId="0" xfId="18" applyFont="1" applyAlignment="1">
      <alignment horizontal="center" vertical="center"/>
      <protection/>
    </xf>
    <xf numFmtId="0" fontId="12" fillId="0" borderId="0" xfId="18" applyFont="1" applyAlignment="1">
      <alignment vertical="center"/>
      <protection/>
    </xf>
    <xf numFmtId="0" fontId="11" fillId="0" borderId="15" xfId="18" applyFont="1" applyBorder="1" applyAlignment="1">
      <alignment horizontal="center" vertical="center"/>
      <protection/>
    </xf>
    <xf numFmtId="49" fontId="11" fillId="0" borderId="16" xfId="18" applyNumberFormat="1" applyFont="1" applyBorder="1" applyAlignment="1">
      <alignment horizontal="center" vertical="center"/>
      <protection/>
    </xf>
    <xf numFmtId="0" fontId="11" fillId="0" borderId="16" xfId="18" applyFont="1" applyBorder="1" applyAlignment="1">
      <alignment vertical="center"/>
      <protection/>
    </xf>
    <xf numFmtId="4" fontId="11" fillId="0" borderId="16" xfId="18" applyNumberFormat="1" applyFont="1" applyBorder="1" applyAlignment="1">
      <alignment vertical="center"/>
      <protection/>
    </xf>
    <xf numFmtId="174" fontId="11" fillId="0" borderId="20" xfId="18" applyNumberFormat="1" applyFont="1" applyBorder="1" applyAlignment="1">
      <alignment vertical="center"/>
      <protection/>
    </xf>
    <xf numFmtId="0" fontId="11" fillId="0" borderId="16" xfId="18" applyFont="1" applyBorder="1" applyAlignment="1">
      <alignment horizontal="center" vertical="center"/>
      <protection/>
    </xf>
    <xf numFmtId="0" fontId="11" fillId="0" borderId="16" xfId="18" applyFont="1" applyBorder="1" applyAlignment="1">
      <alignment vertical="center" wrapText="1"/>
      <protection/>
    </xf>
    <xf numFmtId="0" fontId="11" fillId="0" borderId="8" xfId="18" applyFont="1" applyBorder="1" applyAlignment="1">
      <alignment horizontal="center" vertical="center"/>
      <protection/>
    </xf>
    <xf numFmtId="0" fontId="11" fillId="0" borderId="9" xfId="18" applyFont="1" applyBorder="1" applyAlignment="1">
      <alignment horizontal="center" vertical="center"/>
      <protection/>
    </xf>
    <xf numFmtId="0" fontId="11" fillId="0" borderId="9" xfId="18" applyFont="1" applyBorder="1" applyAlignment="1">
      <alignment vertical="center"/>
      <protection/>
    </xf>
    <xf numFmtId="4" fontId="11" fillId="0" borderId="9" xfId="18" applyNumberFormat="1" applyFont="1" applyBorder="1" applyAlignment="1">
      <alignment vertical="center"/>
      <protection/>
    </xf>
    <xf numFmtId="174" fontId="11" fillId="0" borderId="10" xfId="18" applyNumberFormat="1" applyFont="1" applyBorder="1" applyAlignment="1">
      <alignment vertical="center"/>
      <protection/>
    </xf>
    <xf numFmtId="4" fontId="11" fillId="0" borderId="0" xfId="18" applyNumberFormat="1" applyFont="1" applyAlignment="1">
      <alignment vertical="center"/>
      <protection/>
    </xf>
    <xf numFmtId="0" fontId="20" fillId="7" borderId="0" xfId="0" applyFont="1" applyFill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vertical="center"/>
    </xf>
    <xf numFmtId="0" fontId="12" fillId="3" borderId="47" xfId="0" applyFont="1" applyFill="1" applyBorder="1" applyAlignment="1">
      <alignment vertical="center" wrapText="1"/>
    </xf>
    <xf numFmtId="4" fontId="12" fillId="3" borderId="47" xfId="0" applyNumberFormat="1" applyFont="1" applyFill="1" applyBorder="1" applyAlignment="1">
      <alignment vertical="center"/>
    </xf>
    <xf numFmtId="174" fontId="12" fillId="3" borderId="42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/>
    </xf>
    <xf numFmtId="4" fontId="12" fillId="3" borderId="9" xfId="0" applyNumberFormat="1" applyFont="1" applyFill="1" applyBorder="1" applyAlignment="1">
      <alignment vertical="center"/>
    </xf>
    <xf numFmtId="174" fontId="12" fillId="3" borderId="10" xfId="0" applyNumberFormat="1" applyFont="1" applyFill="1" applyBorder="1" applyAlignment="1">
      <alignment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vertical="center"/>
    </xf>
    <xf numFmtId="0" fontId="12" fillId="3" borderId="16" xfId="0" applyFont="1" applyFill="1" applyBorder="1" applyAlignment="1">
      <alignment vertical="center" wrapText="1"/>
    </xf>
    <xf numFmtId="4" fontId="12" fillId="3" borderId="16" xfId="0" applyNumberFormat="1" applyFont="1" applyFill="1" applyBorder="1" applyAlignment="1">
      <alignment vertical="center"/>
    </xf>
    <xf numFmtId="174" fontId="12" fillId="3" borderId="20" xfId="0" applyNumberFormat="1" applyFont="1" applyFill="1" applyBorder="1" applyAlignment="1">
      <alignment horizontal="center" vertical="center"/>
    </xf>
    <xf numFmtId="4" fontId="12" fillId="4" borderId="7" xfId="0" applyNumberFormat="1" applyFont="1" applyFill="1" applyBorder="1" applyAlignment="1">
      <alignment vertical="center"/>
    </xf>
    <xf numFmtId="174" fontId="12" fillId="4" borderId="14" xfId="0" applyNumberFormat="1" applyFont="1" applyFill="1" applyBorder="1" applyAlignment="1">
      <alignment vertical="center"/>
    </xf>
    <xf numFmtId="4" fontId="12" fillId="4" borderId="58" xfId="0" applyNumberFormat="1" applyFont="1" applyFill="1" applyBorder="1" applyAlignment="1">
      <alignment vertical="center"/>
    </xf>
    <xf numFmtId="174" fontId="12" fillId="4" borderId="33" xfId="0" applyNumberFormat="1" applyFont="1" applyFill="1" applyBorder="1" applyAlignment="1">
      <alignment vertical="center"/>
    </xf>
    <xf numFmtId="0" fontId="12" fillId="3" borderId="49" xfId="18" applyFont="1" applyFill="1" applyBorder="1" applyAlignment="1">
      <alignment horizontal="center" vertical="center"/>
      <protection/>
    </xf>
    <xf numFmtId="0" fontId="12" fillId="3" borderId="47" xfId="18" applyFont="1" applyFill="1" applyBorder="1" applyAlignment="1">
      <alignment vertical="center"/>
      <protection/>
    </xf>
    <xf numFmtId="0" fontId="12" fillId="3" borderId="47" xfId="18" applyFont="1" applyFill="1" applyBorder="1" applyAlignment="1">
      <alignment vertical="center" wrapText="1"/>
      <protection/>
    </xf>
    <xf numFmtId="4" fontId="12" fillId="3" borderId="47" xfId="18" applyNumberFormat="1" applyFont="1" applyFill="1" applyBorder="1" applyAlignment="1">
      <alignment vertical="center"/>
      <protection/>
    </xf>
    <xf numFmtId="174" fontId="12" fillId="3" borderId="42" xfId="18" applyNumberFormat="1" applyFont="1" applyFill="1" applyBorder="1" applyAlignment="1">
      <alignment horizontal="center" vertical="center"/>
      <protection/>
    </xf>
    <xf numFmtId="0" fontId="12" fillId="3" borderId="8" xfId="18" applyFont="1" applyFill="1" applyBorder="1" applyAlignment="1">
      <alignment horizontal="center" vertical="center"/>
      <protection/>
    </xf>
    <xf numFmtId="0" fontId="12" fillId="3" borderId="9" xfId="18" applyFont="1" applyFill="1" applyBorder="1" applyAlignment="1">
      <alignment vertical="center"/>
      <protection/>
    </xf>
    <xf numFmtId="4" fontId="12" fillId="3" borderId="9" xfId="18" applyNumberFormat="1" applyFont="1" applyFill="1" applyBorder="1" applyAlignment="1">
      <alignment vertical="center"/>
      <protection/>
    </xf>
    <xf numFmtId="174" fontId="12" fillId="3" borderId="10" xfId="18" applyNumberFormat="1" applyFont="1" applyFill="1" applyBorder="1" applyAlignment="1">
      <alignment vertical="center"/>
      <protection/>
    </xf>
    <xf numFmtId="4" fontId="12" fillId="4" borderId="58" xfId="18" applyNumberFormat="1" applyFont="1" applyFill="1" applyBorder="1" applyAlignment="1">
      <alignment vertical="center"/>
      <protection/>
    </xf>
    <xf numFmtId="174" fontId="12" fillId="4" borderId="33" xfId="18" applyNumberFormat="1" applyFont="1" applyFill="1" applyBorder="1" applyAlignment="1">
      <alignment vertical="center"/>
      <protection/>
    </xf>
    <xf numFmtId="0" fontId="12" fillId="3" borderId="22" xfId="18" applyFont="1" applyFill="1" applyBorder="1" applyAlignment="1">
      <alignment horizontal="center" vertical="center"/>
      <protection/>
    </xf>
    <xf numFmtId="0" fontId="12" fillId="3" borderId="16" xfId="18" applyFont="1" applyFill="1" applyBorder="1" applyAlignment="1">
      <alignment vertical="center"/>
      <protection/>
    </xf>
    <xf numFmtId="0" fontId="12" fillId="3" borderId="16" xfId="18" applyFont="1" applyFill="1" applyBorder="1" applyAlignment="1">
      <alignment vertical="center" wrapText="1"/>
      <protection/>
    </xf>
    <xf numFmtId="4" fontId="12" fillId="3" borderId="16" xfId="18" applyNumberFormat="1" applyFont="1" applyFill="1" applyBorder="1" applyAlignment="1">
      <alignment vertical="center"/>
      <protection/>
    </xf>
    <xf numFmtId="174" fontId="12" fillId="3" borderId="20" xfId="18" applyNumberFormat="1" applyFont="1" applyFill="1" applyBorder="1" applyAlignment="1">
      <alignment horizontal="center" vertical="center"/>
      <protection/>
    </xf>
    <xf numFmtId="4" fontId="12" fillId="4" borderId="7" xfId="18" applyNumberFormat="1" applyFont="1" applyFill="1" applyBorder="1" applyAlignment="1">
      <alignment vertical="center"/>
      <protection/>
    </xf>
    <xf numFmtId="174" fontId="12" fillId="4" borderId="14" xfId="18" applyNumberFormat="1" applyFont="1" applyFill="1" applyBorder="1" applyAlignment="1">
      <alignment vertical="center"/>
      <protection/>
    </xf>
    <xf numFmtId="4" fontId="12" fillId="3" borderId="1" xfId="22" applyNumberFormat="1" applyFont="1" applyFill="1" applyBorder="1" applyAlignment="1">
      <alignment vertical="center"/>
      <protection/>
    </xf>
    <xf numFmtId="4" fontId="12" fillId="3" borderId="4" xfId="22" applyNumberFormat="1" applyFont="1" applyFill="1" applyBorder="1" applyAlignment="1">
      <alignment vertical="center"/>
      <protection/>
    </xf>
    <xf numFmtId="0" fontId="11" fillId="0" borderId="5" xfId="22" applyFont="1" applyFill="1" applyBorder="1" applyAlignment="1">
      <alignment horizontal="center" vertical="center"/>
      <protection/>
    </xf>
    <xf numFmtId="49" fontId="11" fillId="0" borderId="1" xfId="22" applyNumberFormat="1" applyFont="1" applyFill="1" applyBorder="1" applyAlignment="1">
      <alignment horizontal="center" vertical="center"/>
      <protection/>
    </xf>
    <xf numFmtId="4" fontId="11" fillId="0" borderId="1" xfId="22" applyNumberFormat="1" applyFont="1" applyFill="1" applyBorder="1" applyAlignment="1">
      <alignment vertical="center"/>
      <protection/>
    </xf>
    <xf numFmtId="4" fontId="11" fillId="0" borderId="4" xfId="22" applyNumberFormat="1" applyFont="1" applyFill="1" applyBorder="1" applyAlignment="1">
      <alignment vertical="center"/>
      <protection/>
    </xf>
    <xf numFmtId="0" fontId="11" fillId="0" borderId="0" xfId="22" applyFont="1" applyFill="1" applyAlignment="1">
      <alignment vertical="center"/>
      <protection/>
    </xf>
    <xf numFmtId="0" fontId="12" fillId="7" borderId="1" xfId="22" applyFont="1" applyFill="1" applyBorder="1" applyAlignment="1">
      <alignment horizontal="center" vertical="center"/>
      <protection/>
    </xf>
    <xf numFmtId="0" fontId="12" fillId="7" borderId="4" xfId="22" applyFont="1" applyFill="1" applyBorder="1" applyAlignment="1">
      <alignment horizontal="center" vertical="center"/>
      <protection/>
    </xf>
    <xf numFmtId="0" fontId="12" fillId="7" borderId="1" xfId="22" applyFont="1" applyFill="1" applyBorder="1" applyAlignment="1">
      <alignment horizontal="center" vertical="center" wrapText="1"/>
      <protection/>
    </xf>
    <xf numFmtId="0" fontId="12" fillId="0" borderId="0" xfId="22" applyFont="1" applyAlignment="1">
      <alignment horizontal="right" vertical="center"/>
      <protection/>
    </xf>
    <xf numFmtId="4" fontId="11" fillId="0" borderId="21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vertical="center"/>
    </xf>
    <xf numFmtId="4" fontId="11" fillId="0" borderId="27" xfId="0" applyNumberFormat="1" applyFont="1" applyBorder="1" applyAlignment="1">
      <alignment horizontal="right" vertical="center"/>
    </xf>
    <xf numFmtId="174" fontId="11" fillId="0" borderId="28" xfId="0" applyNumberFormat="1" applyFont="1" applyBorder="1" applyAlignment="1">
      <alignment vertical="center"/>
    </xf>
    <xf numFmtId="4" fontId="11" fillId="0" borderId="31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vertical="center" wrapText="1"/>
    </xf>
    <xf numFmtId="4" fontId="12" fillId="3" borderId="32" xfId="0" applyNumberFormat="1" applyFont="1" applyFill="1" applyBorder="1" applyAlignment="1">
      <alignment horizontal="right" vertical="center"/>
    </xf>
    <xf numFmtId="174" fontId="12" fillId="3" borderId="33" xfId="0" applyNumberFormat="1" applyFont="1" applyFill="1" applyBorder="1" applyAlignment="1">
      <alignment vertical="center"/>
    </xf>
    <xf numFmtId="0" fontId="12" fillId="3" borderId="45" xfId="0" applyFont="1" applyFill="1" applyBorder="1" applyAlignment="1">
      <alignment vertical="center"/>
    </xf>
    <xf numFmtId="174" fontId="12" fillId="3" borderId="42" xfId="0" applyNumberFormat="1" applyFont="1" applyFill="1" applyBorder="1" applyAlignment="1">
      <alignment vertical="center"/>
    </xf>
    <xf numFmtId="4" fontId="12" fillId="4" borderId="21" xfId="0" applyNumberFormat="1" applyFont="1" applyFill="1" applyBorder="1" applyAlignment="1">
      <alignment horizontal="right" vertical="center"/>
    </xf>
    <xf numFmtId="174" fontId="12" fillId="4" borderId="20" xfId="0" applyNumberFormat="1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4" fontId="12" fillId="3" borderId="16" xfId="0" applyNumberFormat="1" applyFont="1" applyFill="1" applyBorder="1" applyAlignment="1">
      <alignment horizontal="right" vertical="center"/>
    </xf>
    <xf numFmtId="4" fontId="12" fillId="4" borderId="58" xfId="0" applyNumberFormat="1" applyFont="1" applyFill="1" applyBorder="1" applyAlignment="1">
      <alignment horizontal="right" vertical="center"/>
    </xf>
    <xf numFmtId="169" fontId="12" fillId="4" borderId="33" xfId="0" applyNumberFormat="1" applyFont="1" applyFill="1" applyBorder="1" applyAlignment="1">
      <alignment vertical="center"/>
    </xf>
    <xf numFmtId="0" fontId="1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vertical="center" wrapText="1"/>
      <protection/>
    </xf>
    <xf numFmtId="43" fontId="11" fillId="0" borderId="0" xfId="15" applyFont="1" applyAlignment="1">
      <alignment vertical="center" wrapText="1"/>
    </xf>
    <xf numFmtId="0" fontId="12" fillId="0" borderId="0" xfId="21" applyFont="1" applyAlignment="1">
      <alignment horizontal="center" vertical="center" wrapText="1"/>
      <protection/>
    </xf>
    <xf numFmtId="43" fontId="11" fillId="0" borderId="0" xfId="15" applyFont="1" applyAlignment="1">
      <alignment horizontal="right" vertical="center" wrapText="1"/>
    </xf>
    <xf numFmtId="1" fontId="12" fillId="0" borderId="32" xfId="15" applyNumberFormat="1" applyFont="1" applyBorder="1" applyAlignment="1">
      <alignment horizontal="center" vertical="center" wrapText="1"/>
    </xf>
    <xf numFmtId="1" fontId="12" fillId="0" borderId="33" xfId="21" applyNumberFormat="1" applyFont="1" applyBorder="1" applyAlignment="1">
      <alignment horizontal="center" vertical="center" wrapText="1"/>
      <protection/>
    </xf>
    <xf numFmtId="1" fontId="11" fillId="0" borderId="0" xfId="21" applyNumberFormat="1" applyFont="1" applyAlignment="1">
      <alignment horizontal="center" vertical="center" wrapText="1"/>
      <protection/>
    </xf>
    <xf numFmtId="0" fontId="12" fillId="0" borderId="0" xfId="21" applyFont="1" applyAlignment="1">
      <alignment vertical="center" wrapText="1"/>
      <protection/>
    </xf>
    <xf numFmtId="0" fontId="11" fillId="0" borderId="22" xfId="21" applyFont="1" applyBorder="1" applyAlignment="1">
      <alignment horizontal="center" vertical="center" wrapText="1"/>
      <protection/>
    </xf>
    <xf numFmtId="0" fontId="11" fillId="0" borderId="21" xfId="21" applyFont="1" applyBorder="1" applyAlignment="1">
      <alignment vertical="center" wrapText="1"/>
      <protection/>
    </xf>
    <xf numFmtId="43" fontId="11" fillId="0" borderId="21" xfId="15" applyFont="1" applyBorder="1" applyAlignment="1">
      <alignment vertical="center" wrapText="1"/>
    </xf>
    <xf numFmtId="169" fontId="11" fillId="0" borderId="20" xfId="21" applyNumberFormat="1" applyFont="1" applyBorder="1" applyAlignment="1">
      <alignment vertical="center" wrapText="1"/>
      <protection/>
    </xf>
    <xf numFmtId="0" fontId="14" fillId="0" borderId="21" xfId="21" applyFont="1" applyBorder="1" applyAlignment="1">
      <alignment vertical="center" wrapText="1"/>
      <protection/>
    </xf>
    <xf numFmtId="43" fontId="14" fillId="0" borderId="21" xfId="15" applyFont="1" applyBorder="1" applyAlignment="1">
      <alignment vertical="center" wrapText="1"/>
    </xf>
    <xf numFmtId="169" fontId="14" fillId="0" borderId="20" xfId="21" applyNumberFormat="1" applyFont="1" applyBorder="1" applyAlignment="1">
      <alignment vertical="center" wrapText="1"/>
      <protection/>
    </xf>
    <xf numFmtId="0" fontId="11" fillId="0" borderId="39" xfId="21" applyFont="1" applyBorder="1" applyAlignment="1">
      <alignment horizontal="center" vertical="center" wrapText="1"/>
      <protection/>
    </xf>
    <xf numFmtId="0" fontId="14" fillId="0" borderId="31" xfId="21" applyFont="1" applyBorder="1" applyAlignment="1">
      <alignment vertical="center" wrapText="1"/>
      <protection/>
    </xf>
    <xf numFmtId="43" fontId="14" fillId="0" borderId="31" xfId="15" applyFont="1" applyBorder="1" applyAlignment="1">
      <alignment vertical="center" wrapText="1"/>
    </xf>
    <xf numFmtId="169" fontId="14" fillId="0" borderId="10" xfId="21" applyNumberFormat="1" applyFont="1" applyBorder="1" applyAlignment="1">
      <alignment vertical="center" wrapText="1"/>
      <protection/>
    </xf>
    <xf numFmtId="0" fontId="11" fillId="0" borderId="31" xfId="21" applyFont="1" applyBorder="1" applyAlignment="1">
      <alignment vertical="center" wrapText="1"/>
      <protection/>
    </xf>
    <xf numFmtId="43" fontId="11" fillId="0" borderId="31" xfId="15" applyFont="1" applyBorder="1" applyAlignment="1">
      <alignment vertical="center" wrapText="1"/>
    </xf>
    <xf numFmtId="169" fontId="11" fillId="0" borderId="10" xfId="21" applyNumberFormat="1" applyFont="1" applyBorder="1" applyAlignment="1">
      <alignment vertical="center" wrapText="1"/>
      <protection/>
    </xf>
    <xf numFmtId="0" fontId="11" fillId="0" borderId="29" xfId="21" applyFont="1" applyBorder="1" applyAlignment="1">
      <alignment horizontal="center" vertical="center" wrapText="1"/>
      <protection/>
    </xf>
    <xf numFmtId="0" fontId="11" fillId="0" borderId="27" xfId="21" applyFont="1" applyBorder="1" applyAlignment="1">
      <alignment vertical="center" wrapText="1"/>
      <protection/>
    </xf>
    <xf numFmtId="43" fontId="11" fillId="0" borderId="27" xfId="15" applyFont="1" applyBorder="1" applyAlignment="1">
      <alignment vertical="center" wrapText="1"/>
    </xf>
    <xf numFmtId="169" fontId="11" fillId="0" borderId="28" xfId="21" applyNumberFormat="1" applyFont="1" applyBorder="1" applyAlignment="1">
      <alignment vertical="center" wrapText="1"/>
      <protection/>
    </xf>
    <xf numFmtId="1" fontId="12" fillId="0" borderId="40" xfId="21" applyNumberFormat="1" applyFont="1" applyBorder="1" applyAlignment="1">
      <alignment horizontal="center" vertical="center" wrapText="1"/>
      <protection/>
    </xf>
    <xf numFmtId="1" fontId="12" fillId="0" borderId="45" xfId="21" applyNumberFormat="1" applyFont="1" applyBorder="1" applyAlignment="1">
      <alignment horizontal="center" vertical="center" wrapText="1"/>
      <protection/>
    </xf>
    <xf numFmtId="1" fontId="12" fillId="0" borderId="45" xfId="15" applyNumberFormat="1" applyFont="1" applyBorder="1" applyAlignment="1">
      <alignment horizontal="center" vertical="center" wrapText="1"/>
    </xf>
    <xf numFmtId="1" fontId="12" fillId="0" borderId="42" xfId="21" applyNumberFormat="1" applyFont="1" applyBorder="1" applyAlignment="1">
      <alignment horizontal="center" vertical="center" wrapText="1"/>
      <protection/>
    </xf>
    <xf numFmtId="0" fontId="12" fillId="3" borderId="49" xfId="21" applyFont="1" applyFill="1" applyBorder="1" applyAlignment="1">
      <alignment horizontal="center" vertical="center" wrapText="1"/>
      <protection/>
    </xf>
    <xf numFmtId="0" fontId="12" fillId="3" borderId="47" xfId="21" applyFont="1" applyFill="1" applyBorder="1" applyAlignment="1">
      <alignment vertical="center" wrapText="1"/>
      <protection/>
    </xf>
    <xf numFmtId="43" fontId="12" fillId="3" borderId="47" xfId="15" applyFont="1" applyFill="1" applyBorder="1" applyAlignment="1">
      <alignment vertical="center" wrapText="1"/>
    </xf>
    <xf numFmtId="43" fontId="12" fillId="3" borderId="45" xfId="15" applyFont="1" applyFill="1" applyBorder="1" applyAlignment="1">
      <alignment vertical="center" wrapText="1"/>
    </xf>
    <xf numFmtId="169" fontId="12" fillId="3" borderId="42" xfId="21" applyNumberFormat="1" applyFont="1" applyFill="1" applyBorder="1" applyAlignment="1">
      <alignment vertical="center" wrapText="1"/>
      <protection/>
    </xf>
    <xf numFmtId="0" fontId="12" fillId="3" borderId="22" xfId="21" applyFont="1" applyFill="1" applyBorder="1" applyAlignment="1">
      <alignment horizontal="center" vertical="center" wrapText="1"/>
      <protection/>
    </xf>
    <xf numFmtId="0" fontId="12" fillId="3" borderId="21" xfId="21" applyFont="1" applyFill="1" applyBorder="1" applyAlignment="1">
      <alignment vertical="center" wrapText="1"/>
      <protection/>
    </xf>
    <xf numFmtId="43" fontId="12" fillId="3" borderId="21" xfId="15" applyFont="1" applyFill="1" applyBorder="1" applyAlignment="1">
      <alignment vertical="center" wrapText="1"/>
    </xf>
    <xf numFmtId="169" fontId="12" fillId="3" borderId="20" xfId="21" applyNumberFormat="1" applyFont="1" applyFill="1" applyBorder="1" applyAlignment="1">
      <alignment vertical="center" wrapText="1"/>
      <protection/>
    </xf>
    <xf numFmtId="0" fontId="12" fillId="3" borderId="11" xfId="21" applyFont="1" applyFill="1" applyBorder="1" applyAlignment="1">
      <alignment horizontal="center" vertical="center" wrapText="1"/>
      <protection/>
    </xf>
    <xf numFmtId="0" fontId="12" fillId="3" borderId="12" xfId="21" applyFont="1" applyFill="1" applyBorder="1" applyAlignment="1">
      <alignment vertical="center" wrapText="1"/>
      <protection/>
    </xf>
    <xf numFmtId="43" fontId="12" fillId="3" borderId="12" xfId="15" applyFont="1" applyFill="1" applyBorder="1" applyAlignment="1">
      <alignment vertical="center" wrapText="1"/>
    </xf>
    <xf numFmtId="169" fontId="12" fillId="3" borderId="13" xfId="21" applyNumberFormat="1" applyFont="1" applyFill="1" applyBorder="1" applyAlignment="1">
      <alignment vertical="center" wrapText="1"/>
      <protection/>
    </xf>
    <xf numFmtId="0" fontId="12" fillId="3" borderId="5" xfId="21" applyFont="1" applyFill="1" applyBorder="1" applyAlignment="1">
      <alignment horizontal="center" vertical="center" wrapText="1"/>
      <protection/>
    </xf>
    <xf numFmtId="0" fontId="12" fillId="3" borderId="2" xfId="21" applyFont="1" applyFill="1" applyBorder="1" applyAlignment="1">
      <alignment vertical="center" wrapText="1"/>
      <protection/>
    </xf>
    <xf numFmtId="43" fontId="12" fillId="3" borderId="2" xfId="15" applyFont="1" applyFill="1" applyBorder="1" applyAlignment="1">
      <alignment vertical="center" wrapText="1"/>
    </xf>
    <xf numFmtId="169" fontId="12" fillId="3" borderId="4" xfId="21" applyNumberFormat="1" applyFont="1" applyFill="1" applyBorder="1" applyAlignment="1">
      <alignment vertical="center" wrapText="1"/>
      <protection/>
    </xf>
    <xf numFmtId="0" fontId="12" fillId="3" borderId="3" xfId="21" applyFont="1" applyFill="1" applyBorder="1" applyAlignment="1">
      <alignment horizontal="center" vertical="center" wrapText="1"/>
      <protection/>
    </xf>
    <xf numFmtId="0" fontId="12" fillId="3" borderId="1" xfId="21" applyFont="1" applyFill="1" applyBorder="1" applyAlignment="1">
      <alignment vertical="center" wrapText="1"/>
      <protection/>
    </xf>
    <xf numFmtId="43" fontId="12" fillId="3" borderId="1" xfId="15" applyFont="1" applyFill="1" applyBorder="1" applyAlignment="1">
      <alignment vertical="center" wrapText="1"/>
    </xf>
    <xf numFmtId="169" fontId="12" fillId="3" borderId="4" xfId="21" applyNumberFormat="1" applyFont="1" applyFill="1" applyBorder="1" applyAlignment="1">
      <alignment horizontal="right" vertical="center" wrapText="1"/>
      <protection/>
    </xf>
    <xf numFmtId="43" fontId="11" fillId="3" borderId="1" xfId="15" applyFont="1" applyFill="1" applyBorder="1" applyAlignment="1">
      <alignment vertical="center" wrapText="1"/>
    </xf>
    <xf numFmtId="0" fontId="12" fillId="3" borderId="23" xfId="21" applyFont="1" applyFill="1" applyBorder="1" applyAlignment="1">
      <alignment horizontal="center" vertical="center" wrapText="1"/>
      <protection/>
    </xf>
    <xf numFmtId="0" fontId="12" fillId="3" borderId="24" xfId="21" applyFont="1" applyFill="1" applyBorder="1" applyAlignment="1">
      <alignment vertical="center" wrapText="1"/>
      <protection/>
    </xf>
    <xf numFmtId="43" fontId="12" fillId="3" borderId="27" xfId="15" applyFont="1" applyFill="1" applyBorder="1" applyAlignment="1">
      <alignment vertical="center" wrapText="1"/>
    </xf>
    <xf numFmtId="169" fontId="12" fillId="3" borderId="28" xfId="21" applyNumberFormat="1" applyFont="1" applyFill="1" applyBorder="1" applyAlignment="1">
      <alignment vertical="center" wrapText="1"/>
      <protection/>
    </xf>
    <xf numFmtId="0" fontId="15" fillId="7" borderId="3" xfId="22" applyFont="1" applyFill="1" applyBorder="1" applyAlignment="1">
      <alignment horizontal="center" vertical="center" wrapText="1"/>
      <protection/>
    </xf>
    <xf numFmtId="0" fontId="15" fillId="7" borderId="1" xfId="22" applyFont="1" applyFill="1" applyBorder="1" applyAlignment="1">
      <alignment horizontal="center" vertical="center" wrapText="1"/>
      <protection/>
    </xf>
    <xf numFmtId="0" fontId="15" fillId="7" borderId="1" xfId="22" applyFont="1" applyFill="1" applyBorder="1" applyAlignment="1">
      <alignment horizontal="center" vertical="center"/>
      <protection/>
    </xf>
    <xf numFmtId="0" fontId="15" fillId="7" borderId="4" xfId="22" applyFont="1" applyFill="1" applyBorder="1" applyAlignment="1">
      <alignment horizontal="center" vertical="center"/>
      <protection/>
    </xf>
    <xf numFmtId="0" fontId="12" fillId="7" borderId="2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59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12" fillId="0" borderId="49" xfId="0" applyNumberFormat="1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left" vertical="center" wrapText="1"/>
    </xf>
    <xf numFmtId="4" fontId="12" fillId="0" borderId="47" xfId="0" applyNumberFormat="1" applyFont="1" applyFill="1" applyBorder="1" applyAlignment="1">
      <alignment horizontal="right" vertical="center"/>
    </xf>
    <xf numFmtId="174" fontId="12" fillId="0" borderId="9" xfId="0" applyNumberFormat="1" applyFont="1" applyFill="1" applyBorder="1" applyAlignment="1">
      <alignment vertical="center"/>
    </xf>
    <xf numFmtId="4" fontId="12" fillId="0" borderId="45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 vertical="center"/>
    </xf>
    <xf numFmtId="174" fontId="11" fillId="0" borderId="10" xfId="0" applyNumberFormat="1" applyFont="1" applyFill="1" applyBorder="1" applyAlignment="1">
      <alignment horizontal="right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4" fontId="12" fillId="0" borderId="9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49" fontId="15" fillId="2" borderId="57" xfId="0" applyNumberFormat="1" applyFont="1" applyFill="1" applyBorder="1" applyAlignment="1">
      <alignment horizontal="center" vertical="center"/>
    </xf>
    <xf numFmtId="49" fontId="15" fillId="2" borderId="58" xfId="0" applyNumberFormat="1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2" fillId="2" borderId="1" xfId="19" applyFont="1" applyFill="1" applyBorder="1" applyAlignment="1">
      <alignment horizontal="center" vertical="center"/>
      <protection/>
    </xf>
    <xf numFmtId="0" fontId="12" fillId="2" borderId="1" xfId="19" applyFont="1" applyFill="1" applyBorder="1" applyAlignment="1">
      <alignment horizontal="center" vertical="center" wrapText="1"/>
      <protection/>
    </xf>
    <xf numFmtId="4" fontId="12" fillId="2" borderId="2" xfId="19" applyNumberFormat="1" applyFont="1" applyFill="1" applyBorder="1" applyAlignment="1">
      <alignment horizontal="center" vertical="center" wrapText="1"/>
      <protection/>
    </xf>
    <xf numFmtId="1" fontId="12" fillId="2" borderId="1" xfId="19" applyNumberFormat="1" applyFont="1" applyFill="1" applyBorder="1" applyAlignment="1">
      <alignment horizontal="center" vertical="center"/>
      <protection/>
    </xf>
    <xf numFmtId="1" fontId="12" fillId="2" borderId="1" xfId="19" applyNumberFormat="1" applyFont="1" applyFill="1" applyBorder="1" applyAlignment="1">
      <alignment horizontal="center" vertical="center" wrapText="1"/>
      <protection/>
    </xf>
    <xf numFmtId="1" fontId="12" fillId="2" borderId="2" xfId="19" applyNumberFormat="1" applyFont="1" applyFill="1" applyBorder="1" applyAlignment="1">
      <alignment horizontal="center" vertical="center" wrapText="1"/>
      <protection/>
    </xf>
    <xf numFmtId="4" fontId="12" fillId="3" borderId="1" xfId="19" applyNumberFormat="1" applyFont="1" applyFill="1" applyBorder="1" applyAlignment="1">
      <alignment vertical="center"/>
      <protection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 wrapText="1"/>
    </xf>
    <xf numFmtId="0" fontId="12" fillId="2" borderId="62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12" fillId="2" borderId="60" xfId="18" applyFont="1" applyFill="1" applyBorder="1" applyAlignment="1">
      <alignment horizontal="center" vertical="center"/>
      <protection/>
    </xf>
    <xf numFmtId="0" fontId="12" fillId="2" borderId="61" xfId="18" applyFont="1" applyFill="1" applyBorder="1" applyAlignment="1">
      <alignment horizontal="center" vertical="center"/>
      <protection/>
    </xf>
    <xf numFmtId="0" fontId="12" fillId="2" borderId="61" xfId="18" applyFont="1" applyFill="1" applyBorder="1" applyAlignment="1">
      <alignment horizontal="center" vertical="center" wrapText="1"/>
      <protection/>
    </xf>
    <xf numFmtId="0" fontId="12" fillId="2" borderId="62" xfId="18" applyFont="1" applyFill="1" applyBorder="1" applyAlignment="1">
      <alignment horizontal="center" vertical="center" wrapText="1"/>
      <protection/>
    </xf>
    <xf numFmtId="0" fontId="31" fillId="2" borderId="6" xfId="18" applyFont="1" applyFill="1" applyBorder="1" applyAlignment="1">
      <alignment horizontal="center" vertical="center"/>
      <protection/>
    </xf>
    <xf numFmtId="0" fontId="31" fillId="2" borderId="7" xfId="18" applyFont="1" applyFill="1" applyBorder="1" applyAlignment="1">
      <alignment horizontal="center" vertical="center"/>
      <protection/>
    </xf>
    <xf numFmtId="0" fontId="31" fillId="2" borderId="7" xfId="18" applyFont="1" applyFill="1" applyBorder="1" applyAlignment="1">
      <alignment horizontal="center" vertical="center" wrapText="1"/>
      <protection/>
    </xf>
    <xf numFmtId="0" fontId="31" fillId="2" borderId="14" xfId="18" applyFont="1" applyFill="1" applyBorder="1" applyAlignment="1">
      <alignment horizontal="center" vertical="center" wrapText="1"/>
      <protection/>
    </xf>
    <xf numFmtId="174" fontId="12" fillId="2" borderId="42" xfId="0" applyNumberFormat="1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164" fontId="12" fillId="2" borderId="45" xfId="0" applyNumberFormat="1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164" fontId="12" fillId="2" borderId="59" xfId="0" applyNumberFormat="1" applyFont="1" applyFill="1" applyBorder="1" applyAlignment="1">
      <alignment horizontal="center" vertical="center"/>
    </xf>
    <xf numFmtId="3" fontId="12" fillId="2" borderId="14" xfId="0" applyNumberFormat="1" applyFont="1" applyFill="1" applyBorder="1" applyAlignment="1">
      <alignment horizontal="center" vertical="center"/>
    </xf>
    <xf numFmtId="0" fontId="12" fillId="2" borderId="49" xfId="21" applyFont="1" applyFill="1" applyBorder="1" applyAlignment="1">
      <alignment horizontal="center" vertical="center" wrapText="1"/>
      <protection/>
    </xf>
    <xf numFmtId="0" fontId="12" fillId="2" borderId="47" xfId="21" applyFont="1" applyFill="1" applyBorder="1" applyAlignment="1">
      <alignment horizontal="center" vertical="center" wrapText="1"/>
      <protection/>
    </xf>
    <xf numFmtId="43" fontId="12" fillId="2" borderId="47" xfId="15" applyFont="1" applyFill="1" applyBorder="1" applyAlignment="1">
      <alignment horizontal="center" vertical="center" wrapText="1"/>
    </xf>
    <xf numFmtId="43" fontId="12" fillId="2" borderId="45" xfId="15" applyFont="1" applyFill="1" applyBorder="1" applyAlignment="1">
      <alignment horizontal="center" vertical="center" wrapText="1"/>
    </xf>
    <xf numFmtId="0" fontId="12" fillId="2" borderId="42" xfId="21" applyFont="1" applyFill="1" applyBorder="1" applyAlignment="1">
      <alignment horizontal="center" vertical="center" wrapText="1"/>
      <protection/>
    </xf>
    <xf numFmtId="1" fontId="12" fillId="2" borderId="23" xfId="21" applyNumberFormat="1" applyFont="1" applyFill="1" applyBorder="1" applyAlignment="1">
      <alignment horizontal="center" vertical="center" wrapText="1"/>
      <protection/>
    </xf>
    <xf numFmtId="1" fontId="12" fillId="2" borderId="24" xfId="21" applyNumberFormat="1" applyFont="1" applyFill="1" applyBorder="1" applyAlignment="1">
      <alignment horizontal="center" vertical="center" wrapText="1"/>
      <protection/>
    </xf>
    <xf numFmtId="1" fontId="12" fillId="2" borderId="24" xfId="15" applyNumberFormat="1" applyFont="1" applyFill="1" applyBorder="1" applyAlignment="1">
      <alignment horizontal="center" vertical="center" wrapText="1"/>
    </xf>
    <xf numFmtId="1" fontId="12" fillId="2" borderId="27" xfId="15" applyNumberFormat="1" applyFont="1" applyFill="1" applyBorder="1" applyAlignment="1">
      <alignment horizontal="center" vertical="center" wrapText="1"/>
    </xf>
    <xf numFmtId="1" fontId="12" fillId="2" borderId="28" xfId="21" applyNumberFormat="1" applyFont="1" applyFill="1" applyBorder="1" applyAlignment="1">
      <alignment horizontal="center" vertical="center" wrapText="1"/>
      <protection/>
    </xf>
    <xf numFmtId="1" fontId="12" fillId="0" borderId="64" xfId="21" applyNumberFormat="1" applyFont="1" applyBorder="1" applyAlignment="1">
      <alignment horizontal="center" vertical="center" wrapText="1"/>
      <protection/>
    </xf>
    <xf numFmtId="1" fontId="12" fillId="0" borderId="32" xfId="21" applyNumberFormat="1" applyFont="1" applyBorder="1" applyAlignment="1">
      <alignment horizontal="center" vertical="center" wrapText="1"/>
      <protection/>
    </xf>
    <xf numFmtId="1" fontId="12" fillId="2" borderId="29" xfId="21" applyNumberFormat="1" applyFont="1" applyFill="1" applyBorder="1" applyAlignment="1">
      <alignment horizontal="center" vertical="center" wrapText="1"/>
      <protection/>
    </xf>
    <xf numFmtId="1" fontId="12" fillId="2" borderId="27" xfId="21" applyNumberFormat="1" applyFont="1" applyFill="1" applyBorder="1" applyAlignment="1">
      <alignment horizontal="center" vertical="center" wrapText="1"/>
      <protection/>
    </xf>
    <xf numFmtId="0" fontId="12" fillId="2" borderId="40" xfId="21" applyFont="1" applyFill="1" applyBorder="1" applyAlignment="1">
      <alignment horizontal="center" vertical="center" wrapText="1"/>
      <protection/>
    </xf>
    <xf numFmtId="0" fontId="12" fillId="2" borderId="45" xfId="21" applyFont="1" applyFill="1" applyBorder="1" applyAlignment="1">
      <alignment horizontal="center" vertical="center" wrapText="1"/>
      <protection/>
    </xf>
    <xf numFmtId="1" fontId="12" fillId="0" borderId="0" xfId="21" applyNumberFormat="1" applyFont="1" applyAlignment="1">
      <alignment horizontal="center" vertical="center" wrapText="1"/>
      <protection/>
    </xf>
    <xf numFmtId="0" fontId="11" fillId="0" borderId="0" xfId="21" applyFont="1" applyBorder="1" applyAlignment="1">
      <alignment horizontal="center" vertical="center" wrapText="1"/>
      <protection/>
    </xf>
    <xf numFmtId="0" fontId="11" fillId="0" borderId="0" xfId="21" applyFont="1" applyBorder="1" applyAlignment="1">
      <alignment vertical="center" wrapText="1"/>
      <protection/>
    </xf>
    <xf numFmtId="43" fontId="11" fillId="0" borderId="0" xfId="15" applyFont="1" applyBorder="1" applyAlignment="1">
      <alignment vertical="center" wrapText="1"/>
    </xf>
    <xf numFmtId="169" fontId="11" fillId="0" borderId="0" xfId="21" applyNumberFormat="1" applyFont="1" applyBorder="1" applyAlignment="1">
      <alignment vertical="center" wrapText="1"/>
      <protection/>
    </xf>
    <xf numFmtId="0" fontId="12" fillId="3" borderId="39" xfId="21" applyFont="1" applyFill="1" applyBorder="1" applyAlignment="1">
      <alignment horizontal="center" vertical="center" wrapText="1"/>
      <protection/>
    </xf>
    <xf numFmtId="0" fontId="12" fillId="3" borderId="31" xfId="21" applyFont="1" applyFill="1" applyBorder="1" applyAlignment="1">
      <alignment vertical="center" wrapText="1"/>
      <protection/>
    </xf>
    <xf numFmtId="43" fontId="12" fillId="3" borderId="31" xfId="15" applyFont="1" applyFill="1" applyBorder="1" applyAlignment="1">
      <alignment vertical="center" wrapText="1"/>
    </xf>
    <xf numFmtId="169" fontId="12" fillId="3" borderId="10" xfId="21" applyNumberFormat="1" applyFont="1" applyFill="1" applyBorder="1" applyAlignment="1">
      <alignment vertical="center" wrapText="1"/>
      <protection/>
    </xf>
    <xf numFmtId="0" fontId="12" fillId="3" borderId="29" xfId="21" applyFont="1" applyFill="1" applyBorder="1" applyAlignment="1">
      <alignment horizontal="center" vertical="center" wrapText="1"/>
      <protection/>
    </xf>
    <xf numFmtId="0" fontId="12" fillId="3" borderId="27" xfId="21" applyFont="1" applyFill="1" applyBorder="1" applyAlignment="1">
      <alignment vertical="center" wrapText="1"/>
      <protection/>
    </xf>
    <xf numFmtId="0" fontId="12" fillId="2" borderId="47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49" fontId="12" fillId="2" borderId="49" xfId="0" applyNumberFormat="1" applyFont="1" applyFill="1" applyBorder="1" applyAlignment="1">
      <alignment horizontal="center" vertical="center"/>
    </xf>
    <xf numFmtId="49" fontId="12" fillId="2" borderId="47" xfId="0" applyNumberFormat="1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174" fontId="11" fillId="0" borderId="18" xfId="0" applyNumberFormat="1" applyFont="1" applyBorder="1" applyAlignment="1">
      <alignment vertical="center"/>
    </xf>
    <xf numFmtId="9" fontId="11" fillId="0" borderId="16" xfId="24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vertical="center" wrapText="1"/>
    </xf>
    <xf numFmtId="4" fontId="11" fillId="0" borderId="24" xfId="0" applyNumberFormat="1" applyFont="1" applyBorder="1" applyAlignment="1">
      <alignment vertical="center"/>
    </xf>
    <xf numFmtId="0" fontId="31" fillId="2" borderId="57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/>
    </xf>
    <xf numFmtId="174" fontId="12" fillId="3" borderId="4" xfId="0" applyNumberFormat="1" applyFont="1" applyFill="1" applyBorder="1" applyAlignment="1">
      <alignment horizontal="center" vertical="center"/>
    </xf>
    <xf numFmtId="174" fontId="12" fillId="3" borderId="10" xfId="0" applyNumberFormat="1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5" fillId="2" borderId="29" xfId="0" applyNumberFormat="1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169" fontId="12" fillId="2" borderId="42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9" fontId="15" fillId="7" borderId="58" xfId="0" applyNumberFormat="1" applyFont="1" applyFill="1" applyBorder="1" applyAlignment="1">
      <alignment horizontal="center" vertical="center"/>
    </xf>
    <xf numFmtId="0" fontId="15" fillId="7" borderId="58" xfId="0" applyFont="1" applyFill="1" applyBorder="1" applyAlignment="1">
      <alignment horizontal="center" vertical="center"/>
    </xf>
    <xf numFmtId="49" fontId="15" fillId="2" borderId="57" xfId="0" applyNumberFormat="1" applyFont="1" applyFill="1" applyBorder="1" applyAlignment="1">
      <alignment horizontal="center" vertical="center"/>
    </xf>
    <xf numFmtId="49" fontId="15" fillId="2" borderId="58" xfId="0" applyNumberFormat="1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1" fontId="15" fillId="2" borderId="33" xfId="0" applyNumberFormat="1" applyFont="1" applyFill="1" applyBorder="1" applyAlignment="1">
      <alignment horizontal="center" vertical="center"/>
    </xf>
    <xf numFmtId="49" fontId="12" fillId="2" borderId="49" xfId="0" applyNumberFormat="1" applyFont="1" applyFill="1" applyBorder="1" applyAlignment="1">
      <alignment horizontal="center" vertical="center"/>
    </xf>
    <xf numFmtId="49" fontId="12" fillId="2" borderId="47" xfId="0" applyNumberFormat="1" applyFont="1" applyFill="1" applyBorder="1" applyAlignment="1">
      <alignment horizontal="center" vertical="center"/>
    </xf>
    <xf numFmtId="169" fontId="12" fillId="2" borderId="42" xfId="0" applyNumberFormat="1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0" fontId="12" fillId="2" borderId="49" xfId="0" applyFont="1" applyFill="1" applyBorder="1" applyAlignment="1" applyProtection="1">
      <alignment horizontal="center" vertical="center"/>
      <protection hidden="1"/>
    </xf>
    <xf numFmtId="0" fontId="12" fillId="2" borderId="50" xfId="0" applyFont="1" applyFill="1" applyBorder="1" applyAlignment="1" applyProtection="1">
      <alignment horizontal="center" vertical="center"/>
      <protection hidden="1"/>
    </xf>
    <xf numFmtId="0" fontId="12" fillId="2" borderId="45" xfId="0" applyFont="1" applyFill="1" applyBorder="1" applyAlignment="1" applyProtection="1">
      <alignment horizontal="center" vertical="center"/>
      <protection hidden="1"/>
    </xf>
    <xf numFmtId="0" fontId="12" fillId="2" borderId="45" xfId="0" applyFont="1" applyFill="1" applyBorder="1" applyAlignment="1" applyProtection="1">
      <alignment horizontal="center" vertical="center" wrapText="1"/>
      <protection hidden="1"/>
    </xf>
    <xf numFmtId="0" fontId="12" fillId="2" borderId="42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/>
      <protection hidden="1"/>
    </xf>
    <xf numFmtId="0" fontId="11" fillId="2" borderId="65" xfId="0" applyFont="1" applyFill="1" applyBorder="1" applyAlignment="1" applyProtection="1">
      <alignment horizontal="center"/>
      <protection hidden="1"/>
    </xf>
    <xf numFmtId="0" fontId="11" fillId="2" borderId="59" xfId="0" applyFont="1" applyFill="1" applyBorder="1" applyAlignment="1" applyProtection="1">
      <alignment horizontal="center"/>
      <protection hidden="1"/>
    </xf>
    <xf numFmtId="0" fontId="11" fillId="2" borderId="27" xfId="0" applyFont="1" applyFill="1" applyBorder="1" applyAlignment="1" applyProtection="1">
      <alignment horizontal="center"/>
      <protection hidden="1"/>
    </xf>
    <xf numFmtId="0" fontId="11" fillId="2" borderId="14" xfId="0" applyFont="1" applyFill="1" applyBorder="1" applyAlignment="1" applyProtection="1">
      <alignment horizontal="center" wrapText="1"/>
      <protection hidden="1"/>
    </xf>
    <xf numFmtId="0" fontId="11" fillId="2" borderId="57" xfId="0" applyFont="1" applyFill="1" applyBorder="1" applyAlignment="1" applyProtection="1">
      <alignment horizontal="center"/>
      <protection hidden="1"/>
    </xf>
    <xf numFmtId="0" fontId="11" fillId="2" borderId="66" xfId="0" applyFont="1" applyFill="1" applyBorder="1" applyAlignment="1" applyProtection="1">
      <alignment horizontal="center"/>
      <protection hidden="1"/>
    </xf>
    <xf numFmtId="0" fontId="11" fillId="2" borderId="32" xfId="0" applyFont="1" applyFill="1" applyBorder="1" applyAlignment="1" applyProtection="1">
      <alignment horizontal="center"/>
      <protection hidden="1"/>
    </xf>
    <xf numFmtId="0" fontId="11" fillId="2" borderId="33" xfId="0" applyFont="1" applyFill="1" applyBorder="1" applyAlignment="1" applyProtection="1">
      <alignment horizontal="center" wrapText="1"/>
      <protection hidden="1"/>
    </xf>
    <xf numFmtId="49" fontId="23" fillId="2" borderId="60" xfId="0" applyNumberFormat="1" applyFont="1" applyFill="1" applyBorder="1" applyAlignment="1">
      <alignment horizontal="center" vertical="center"/>
    </xf>
    <xf numFmtId="49" fontId="23" fillId="2" borderId="61" xfId="0" applyNumberFormat="1" applyFont="1" applyFill="1" applyBorder="1" applyAlignment="1">
      <alignment horizontal="center" vertical="center"/>
    </xf>
    <xf numFmtId="0" fontId="23" fillId="2" borderId="47" xfId="0" applyFont="1" applyFill="1" applyBorder="1" applyAlignment="1">
      <alignment horizontal="center" vertical="center"/>
    </xf>
    <xf numFmtId="0" fontId="23" fillId="2" borderId="67" xfId="0" applyFont="1" applyFill="1" applyBorder="1" applyAlignment="1">
      <alignment horizontal="center" vertical="center"/>
    </xf>
    <xf numFmtId="49" fontId="15" fillId="7" borderId="64" xfId="0" applyNumberFormat="1" applyFont="1" applyFill="1" applyBorder="1" applyAlignment="1">
      <alignment horizontal="center" vertical="center"/>
    </xf>
    <xf numFmtId="0" fontId="15" fillId="7" borderId="33" xfId="0" applyFont="1" applyFill="1" applyBorder="1" applyAlignment="1">
      <alignment horizontal="center" vertical="center"/>
    </xf>
    <xf numFmtId="49" fontId="15" fillId="2" borderId="64" xfId="0" applyNumberFormat="1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9" fontId="18" fillId="0" borderId="26" xfId="0" applyNumberFormat="1" applyFont="1" applyBorder="1" applyAlignment="1">
      <alignment vertical="center"/>
    </xf>
    <xf numFmtId="4" fontId="18" fillId="0" borderId="26" xfId="0" applyNumberFormat="1" applyFont="1" applyBorder="1" applyAlignment="1">
      <alignment vertical="center"/>
    </xf>
    <xf numFmtId="169" fontId="25" fillId="0" borderId="26" xfId="0" applyNumberFormat="1" applyFont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/>
    </xf>
    <xf numFmtId="49" fontId="16" fillId="0" borderId="26" xfId="0" applyNumberFormat="1" applyFont="1" applyBorder="1" applyAlignment="1">
      <alignment vertical="center" wrapText="1"/>
    </xf>
    <xf numFmtId="4" fontId="16" fillId="0" borderId="26" xfId="0" applyNumberFormat="1" applyFont="1" applyBorder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 wrapText="1"/>
    </xf>
    <xf numFmtId="4" fontId="29" fillId="0" borderId="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6" xfId="0" applyNumberFormat="1" applyFont="1" applyBorder="1" applyAlignment="1">
      <alignment vertical="center"/>
    </xf>
    <xf numFmtId="0" fontId="12" fillId="2" borderId="4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74" fontId="12" fillId="4" borderId="7" xfId="0" applyNumberFormat="1" applyFont="1" applyFill="1" applyBorder="1" applyAlignment="1">
      <alignment vertical="center"/>
    </xf>
    <xf numFmtId="174" fontId="12" fillId="4" borderId="14" xfId="0" applyNumberFormat="1" applyFont="1" applyFill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vertical="top"/>
    </xf>
    <xf numFmtId="4" fontId="11" fillId="0" borderId="0" xfId="0" applyNumberFormat="1" applyFont="1" applyAlignment="1">
      <alignment vertical="top"/>
    </xf>
    <xf numFmtId="169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16" xfId="0" applyFont="1" applyBorder="1" applyAlignment="1">
      <alignment vertical="top"/>
    </xf>
    <xf numFmtId="4" fontId="11" fillId="0" borderId="0" xfId="0" applyNumberFormat="1" applyFont="1" applyFill="1" applyAlignment="1">
      <alignment horizontal="right" vertical="center"/>
    </xf>
    <xf numFmtId="174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74" fontId="11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4" fontId="14" fillId="0" borderId="21" xfId="0" applyNumberFormat="1" applyFont="1" applyBorder="1" applyAlignment="1">
      <alignment horizontal="right" vertical="center"/>
    </xf>
    <xf numFmtId="174" fontId="14" fillId="0" borderId="2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174" fontId="11" fillId="0" borderId="28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vertical="center" wrapText="1"/>
    </xf>
    <xf numFmtId="4" fontId="12" fillId="4" borderId="32" xfId="0" applyNumberFormat="1" applyFont="1" applyFill="1" applyBorder="1" applyAlignment="1">
      <alignment horizontal="right" vertical="center"/>
    </xf>
    <xf numFmtId="174" fontId="12" fillId="4" borderId="33" xfId="0" applyNumberFormat="1" applyFont="1" applyFill="1" applyBorder="1" applyAlignment="1">
      <alignment horizontal="right" vertical="center"/>
    </xf>
    <xf numFmtId="0" fontId="12" fillId="3" borderId="45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/>
    </xf>
    <xf numFmtId="4" fontId="12" fillId="3" borderId="2" xfId="0" applyNumberFormat="1" applyFont="1" applyFill="1" applyBorder="1" applyAlignment="1">
      <alignment horizontal="right" vertical="center"/>
    </xf>
    <xf numFmtId="174" fontId="12" fillId="3" borderId="4" xfId="0" applyNumberFormat="1" applyFont="1" applyFill="1" applyBorder="1" applyAlignment="1">
      <alignment horizontal="right" vertical="center"/>
    </xf>
    <xf numFmtId="0" fontId="12" fillId="3" borderId="27" xfId="0" applyFont="1" applyFill="1" applyBorder="1" applyAlignment="1">
      <alignment vertical="center" wrapText="1"/>
    </xf>
    <xf numFmtId="4" fontId="12" fillId="3" borderId="21" xfId="0" applyNumberFormat="1" applyFont="1" applyFill="1" applyBorder="1" applyAlignment="1">
      <alignment horizontal="right" vertical="center"/>
    </xf>
    <xf numFmtId="0" fontId="12" fillId="3" borderId="68" xfId="0" applyFont="1" applyFill="1" applyBorder="1" applyAlignment="1">
      <alignment horizontal="center" vertical="center"/>
    </xf>
    <xf numFmtId="4" fontId="12" fillId="3" borderId="69" xfId="0" applyNumberFormat="1" applyFont="1" applyFill="1" applyBorder="1" applyAlignment="1">
      <alignment horizontal="right" vertical="center"/>
    </xf>
    <xf numFmtId="174" fontId="12" fillId="3" borderId="62" xfId="0" applyNumberFormat="1" applyFont="1" applyFill="1" applyBorder="1" applyAlignment="1">
      <alignment horizontal="center" vertical="center"/>
    </xf>
    <xf numFmtId="4" fontId="12" fillId="4" borderId="27" xfId="0" applyNumberFormat="1" applyFont="1" applyFill="1" applyBorder="1" applyAlignment="1">
      <alignment horizontal="right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vertical="center" wrapText="1"/>
    </xf>
    <xf numFmtId="4" fontId="12" fillId="3" borderId="61" xfId="0" applyNumberFormat="1" applyFont="1" applyFill="1" applyBorder="1" applyAlignment="1">
      <alignment horizontal="right" vertical="center"/>
    </xf>
    <xf numFmtId="174" fontId="12" fillId="3" borderId="62" xfId="0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4" fontId="11" fillId="0" borderId="2" xfId="0" applyNumberFormat="1" applyFont="1" applyBorder="1" applyAlignment="1">
      <alignment horizontal="right" vertical="top" wrapText="1"/>
    </xf>
    <xf numFmtId="174" fontId="11" fillId="0" borderId="4" xfId="0" applyNumberFormat="1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4" fontId="11" fillId="0" borderId="31" xfId="0" applyNumberFormat="1" applyFont="1" applyBorder="1" applyAlignment="1">
      <alignment horizontal="right" vertical="center" wrapText="1"/>
    </xf>
    <xf numFmtId="4" fontId="11" fillId="0" borderId="9" xfId="0" applyNumberFormat="1" applyFont="1" applyBorder="1" applyAlignment="1">
      <alignment horizontal="right" vertical="center" wrapText="1"/>
    </xf>
    <xf numFmtId="174" fontId="11" fillId="0" borderId="10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174" fontId="11" fillId="0" borderId="4" xfId="0" applyNumberFormat="1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4" fontId="11" fillId="0" borderId="16" xfId="0" applyNumberFormat="1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left" vertical="top" wrapText="1"/>
    </xf>
    <xf numFmtId="4" fontId="11" fillId="0" borderId="9" xfId="0" applyNumberFormat="1" applyFont="1" applyBorder="1" applyAlignment="1">
      <alignment horizontal="right" vertical="top" wrapText="1"/>
    </xf>
    <xf numFmtId="0" fontId="11" fillId="0" borderId="15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33" fillId="0" borderId="0" xfId="0" applyFont="1" applyAlignment="1">
      <alignment vertical="top" wrapText="1"/>
    </xf>
    <xf numFmtId="0" fontId="33" fillId="0" borderId="0" xfId="0" applyFont="1" applyBorder="1" applyAlignment="1">
      <alignment vertical="top" wrapText="1"/>
    </xf>
    <xf numFmtId="4" fontId="11" fillId="0" borderId="19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174" fontId="19" fillId="0" borderId="0" xfId="0" applyNumberFormat="1" applyFont="1" applyBorder="1" applyAlignment="1">
      <alignment vertical="center" wrapText="1"/>
    </xf>
    <xf numFmtId="0" fontId="11" fillId="0" borderId="38" xfId="0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174" fontId="11" fillId="0" borderId="13" xfId="0" applyNumberFormat="1" applyFont="1" applyBorder="1" applyAlignment="1">
      <alignment vertical="center" wrapText="1"/>
    </xf>
    <xf numFmtId="0" fontId="11" fillId="0" borderId="35" xfId="0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4" fontId="11" fillId="0" borderId="36" xfId="0" applyNumberFormat="1" applyFont="1" applyBorder="1" applyAlignment="1">
      <alignment horizontal="right" vertical="center" wrapText="1"/>
    </xf>
    <xf numFmtId="174" fontId="11" fillId="0" borderId="37" xfId="0" applyNumberFormat="1" applyFont="1" applyBorder="1" applyAlignment="1">
      <alignment vertical="center" wrapText="1"/>
    </xf>
    <xf numFmtId="4" fontId="12" fillId="4" borderId="70" xfId="0" applyNumberFormat="1" applyFont="1" applyFill="1" applyBorder="1" applyAlignment="1">
      <alignment horizontal="right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4" fontId="12" fillId="3" borderId="9" xfId="0" applyNumberFormat="1" applyFont="1" applyFill="1" applyBorder="1" applyAlignment="1">
      <alignment horizontal="right" vertical="center" wrapText="1"/>
    </xf>
    <xf numFmtId="174" fontId="12" fillId="3" borderId="10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right" vertical="center" wrapText="1"/>
    </xf>
    <xf numFmtId="174" fontId="12" fillId="3" borderId="4" xfId="0" applyNumberFormat="1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0" xfId="0" applyFont="1" applyFill="1" applyAlignment="1">
      <alignment vertical="center" wrapText="1"/>
    </xf>
    <xf numFmtId="49" fontId="14" fillId="0" borderId="9" xfId="0" applyNumberFormat="1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1" fillId="0" borderId="71" xfId="0" applyFont="1" applyBorder="1" applyAlignment="1">
      <alignment horizontal="center" vertical="center" wrapText="1"/>
    </xf>
    <xf numFmtId="49" fontId="11" fillId="0" borderId="72" xfId="0" applyNumberFormat="1" applyFont="1" applyBorder="1" applyAlignment="1">
      <alignment horizontal="center" vertical="center" wrapText="1"/>
    </xf>
    <xf numFmtId="0" fontId="11" fillId="0" borderId="72" xfId="0" applyFont="1" applyBorder="1" applyAlignment="1">
      <alignment vertical="center" wrapText="1"/>
    </xf>
    <xf numFmtId="4" fontId="11" fillId="0" borderId="72" xfId="0" applyNumberFormat="1" applyFont="1" applyBorder="1" applyAlignment="1">
      <alignment horizontal="right" vertical="center" wrapText="1"/>
    </xf>
    <xf numFmtId="174" fontId="11" fillId="0" borderId="73" xfId="0" applyNumberFormat="1" applyFont="1" applyBorder="1" applyAlignment="1">
      <alignment vertical="center" wrapText="1"/>
    </xf>
    <xf numFmtId="0" fontId="11" fillId="0" borderId="74" xfId="0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 wrapText="1"/>
    </xf>
    <xf numFmtId="0" fontId="14" fillId="0" borderId="75" xfId="0" applyFont="1" applyBorder="1" applyAlignment="1">
      <alignment vertical="center" wrapText="1"/>
    </xf>
    <xf numFmtId="0" fontId="11" fillId="0" borderId="76" xfId="0" applyFont="1" applyBorder="1" applyAlignment="1">
      <alignment vertical="top" wrapText="1"/>
    </xf>
    <xf numFmtId="0" fontId="11" fillId="0" borderId="77" xfId="0" applyFont="1" applyBorder="1" applyAlignment="1">
      <alignment vertical="center" wrapText="1"/>
    </xf>
    <xf numFmtId="4" fontId="14" fillId="0" borderId="9" xfId="0" applyNumberFormat="1" applyFont="1" applyBorder="1" applyAlignment="1">
      <alignment horizontal="right" vertical="center" wrapText="1"/>
    </xf>
    <xf numFmtId="174" fontId="14" fillId="0" borderId="10" xfId="0" applyNumberFormat="1" applyFont="1" applyBorder="1" applyAlignment="1">
      <alignment vertical="center" wrapText="1"/>
    </xf>
    <xf numFmtId="4" fontId="14" fillId="0" borderId="75" xfId="0" applyNumberFormat="1" applyFont="1" applyBorder="1" applyAlignment="1">
      <alignment horizontal="right" vertical="center" wrapText="1"/>
    </xf>
    <xf numFmtId="174" fontId="14" fillId="0" borderId="78" xfId="0" applyNumberFormat="1" applyFont="1" applyBorder="1" applyAlignment="1">
      <alignment vertical="center" wrapText="1"/>
    </xf>
    <xf numFmtId="0" fontId="11" fillId="0" borderId="79" xfId="0" applyFont="1" applyBorder="1" applyAlignment="1">
      <alignment horizontal="center" vertical="top" wrapText="1"/>
    </xf>
    <xf numFmtId="49" fontId="11" fillId="0" borderId="72" xfId="0" applyNumberFormat="1" applyFont="1" applyBorder="1" applyAlignment="1">
      <alignment horizontal="center" vertical="top" wrapText="1"/>
    </xf>
    <xf numFmtId="4" fontId="11" fillId="0" borderId="76" xfId="0" applyNumberFormat="1" applyFont="1" applyBorder="1" applyAlignment="1">
      <alignment horizontal="right" vertical="top" wrapText="1"/>
    </xf>
    <xf numFmtId="174" fontId="11" fillId="0" borderId="73" xfId="0" applyNumberFormat="1" applyFont="1" applyBorder="1" applyAlignment="1">
      <alignment vertical="top" wrapText="1"/>
    </xf>
    <xf numFmtId="174" fontId="14" fillId="0" borderId="4" xfId="0" applyNumberFormat="1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174" fontId="12" fillId="4" borderId="80" xfId="0" applyNumberFormat="1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4" fillId="0" borderId="74" xfId="0" applyFont="1" applyBorder="1" applyAlignment="1">
      <alignment horizontal="center" vertical="center" wrapText="1"/>
    </xf>
    <xf numFmtId="49" fontId="14" fillId="0" borderId="75" xfId="0" applyNumberFormat="1" applyFont="1" applyBorder="1" applyAlignment="1">
      <alignment horizontal="center" vertical="center" wrapText="1"/>
    </xf>
    <xf numFmtId="49" fontId="14" fillId="0" borderId="75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4" fontId="14" fillId="0" borderId="2" xfId="0" applyNumberFormat="1" applyFont="1" applyBorder="1" applyAlignment="1">
      <alignment horizontal="right" vertical="center" wrapText="1"/>
    </xf>
    <xf numFmtId="174" fontId="14" fillId="0" borderId="4" xfId="0" applyNumberFormat="1" applyFont="1" applyBorder="1" applyAlignment="1">
      <alignment vertical="center" wrapText="1"/>
    </xf>
    <xf numFmtId="0" fontId="14" fillId="0" borderId="81" xfId="0" applyFont="1" applyBorder="1" applyAlignment="1">
      <alignment vertical="center" wrapText="1"/>
    </xf>
    <xf numFmtId="0" fontId="14" fillId="0" borderId="82" xfId="0" applyFont="1" applyBorder="1" applyAlignment="1">
      <alignment horizontal="center" vertical="center" wrapText="1"/>
    </xf>
    <xf numFmtId="49" fontId="14" fillId="0" borderId="83" xfId="0" applyNumberFormat="1" applyFont="1" applyBorder="1" applyAlignment="1">
      <alignment vertical="center" wrapText="1"/>
    </xf>
    <xf numFmtId="4" fontId="14" fillId="0" borderId="83" xfId="0" applyNumberFormat="1" applyFont="1" applyBorder="1" applyAlignment="1">
      <alignment horizontal="right" vertical="center" wrapText="1"/>
    </xf>
    <xf numFmtId="0" fontId="14" fillId="0" borderId="39" xfId="0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vertical="center" wrapText="1"/>
    </xf>
    <xf numFmtId="4" fontId="14" fillId="0" borderId="3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49" fontId="19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174" fontId="12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74" fontId="11" fillId="0" borderId="0" xfId="0" applyNumberFormat="1" applyFont="1" applyBorder="1" applyAlignment="1">
      <alignment vertical="center" wrapText="1"/>
    </xf>
    <xf numFmtId="4" fontId="14" fillId="0" borderId="0" xfId="0" applyNumberFormat="1" applyFont="1" applyBorder="1" applyAlignment="1">
      <alignment horizontal="right" vertical="center" wrapText="1"/>
    </xf>
    <xf numFmtId="174" fontId="14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right" vertical="top" wrapText="1"/>
    </xf>
    <xf numFmtId="174" fontId="11" fillId="0" borderId="0" xfId="0" applyNumberFormat="1" applyFont="1" applyBorder="1" applyAlignment="1">
      <alignment vertical="top" wrapText="1"/>
    </xf>
    <xf numFmtId="0" fontId="11" fillId="0" borderId="6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174" fontId="11" fillId="0" borderId="14" xfId="0" applyNumberFormat="1" applyFont="1" applyBorder="1" applyAlignment="1">
      <alignment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174" fontId="14" fillId="0" borderId="28" xfId="0" applyNumberFormat="1" applyFont="1" applyBorder="1" applyAlignment="1">
      <alignment vertical="center" wrapText="1"/>
    </xf>
    <xf numFmtId="0" fontId="11" fillId="0" borderId="63" xfId="0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0" fontId="11" fillId="0" borderId="59" xfId="0" applyFont="1" applyBorder="1" applyAlignment="1">
      <alignment vertical="top" wrapText="1"/>
    </xf>
    <xf numFmtId="4" fontId="11" fillId="0" borderId="59" xfId="0" applyNumberFormat="1" applyFont="1" applyBorder="1" applyAlignment="1">
      <alignment horizontal="right" vertical="top" wrapText="1"/>
    </xf>
    <xf numFmtId="174" fontId="11" fillId="0" borderId="14" xfId="0" applyNumberFormat="1" applyFont="1" applyBorder="1" applyAlignment="1">
      <alignment vertical="top" wrapText="1"/>
    </xf>
    <xf numFmtId="0" fontId="11" fillId="0" borderId="24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2" fillId="2" borderId="10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3" fontId="22" fillId="2" borderId="19" xfId="0" applyNumberFormat="1" applyFont="1" applyFill="1" applyBorder="1" applyAlignment="1">
      <alignment vertical="center" wrapText="1"/>
    </xf>
    <xf numFmtId="4" fontId="11" fillId="2" borderId="19" xfId="0" applyNumberFormat="1" applyFont="1" applyFill="1" applyBorder="1" applyAlignment="1">
      <alignment vertical="center"/>
    </xf>
    <xf numFmtId="4" fontId="11" fillId="2" borderId="13" xfId="0" applyNumberFormat="1" applyFont="1" applyFill="1" applyBorder="1" applyAlignment="1">
      <alignment vertical="center"/>
    </xf>
    <xf numFmtId="3" fontId="22" fillId="0" borderId="9" xfId="0" applyNumberFormat="1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/>
    </xf>
    <xf numFmtId="4" fontId="11" fillId="2" borderId="13" xfId="0" applyNumberFormat="1" applyFont="1" applyFill="1" applyBorder="1" applyAlignment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3" fontId="22" fillId="0" borderId="84" xfId="0" applyNumberFormat="1" applyFont="1" applyBorder="1" applyAlignment="1">
      <alignment vertical="center" wrapText="1"/>
    </xf>
    <xf numFmtId="4" fontId="11" fillId="0" borderId="84" xfId="0" applyNumberFormat="1" applyFont="1" applyBorder="1" applyAlignment="1">
      <alignment vertical="center"/>
    </xf>
    <xf numFmtId="4" fontId="11" fillId="0" borderId="85" xfId="0" applyNumberFormat="1" applyFont="1" applyBorder="1" applyAlignment="1">
      <alignment vertical="center" wrapText="1"/>
    </xf>
    <xf numFmtId="3" fontId="12" fillId="2" borderId="16" xfId="0" applyNumberFormat="1" applyFont="1" applyFill="1" applyBorder="1" applyAlignment="1">
      <alignment vertical="center" wrapText="1"/>
    </xf>
    <xf numFmtId="4" fontId="12" fillId="2" borderId="16" xfId="0" applyNumberFormat="1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4" fontId="12" fillId="0" borderId="24" xfId="0" applyNumberFormat="1" applyFont="1" applyBorder="1" applyAlignment="1">
      <alignment vertical="center"/>
    </xf>
    <xf numFmtId="4" fontId="12" fillId="0" borderId="28" xfId="0" applyNumberFormat="1" applyFont="1" applyBorder="1" applyAlignment="1">
      <alignment vertical="center"/>
    </xf>
    <xf numFmtId="4" fontId="12" fillId="2" borderId="20" xfId="0" applyNumberFormat="1" applyFont="1" applyFill="1" applyBorder="1" applyAlignment="1">
      <alignment vertical="center"/>
    </xf>
    <xf numFmtId="0" fontId="12" fillId="2" borderId="8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49" fontId="12" fillId="2" borderId="68" xfId="0" applyNumberFormat="1" applyFont="1" applyFill="1" applyBorder="1" applyAlignment="1">
      <alignment horizontal="center" vertical="center"/>
    </xf>
    <xf numFmtId="49" fontId="12" fillId="2" borderId="39" xfId="0" applyNumberFormat="1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12" fillId="7" borderId="45" xfId="0" applyFont="1" applyFill="1" applyBorder="1" applyAlignment="1">
      <alignment vertical="center"/>
    </xf>
    <xf numFmtId="0" fontId="12" fillId="7" borderId="46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7" borderId="60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61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61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62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3" borderId="41" xfId="22" applyFont="1" applyFill="1" applyBorder="1" applyAlignment="1">
      <alignment horizontal="center" vertical="center"/>
      <protection/>
    </xf>
    <xf numFmtId="0" fontId="12" fillId="4" borderId="63" xfId="22" applyFont="1" applyFill="1" applyBorder="1" applyAlignment="1">
      <alignment horizontal="center" vertical="center"/>
      <protection/>
    </xf>
    <xf numFmtId="0" fontId="12" fillId="4" borderId="87" xfId="22" applyFont="1" applyFill="1" applyBorder="1" applyAlignment="1">
      <alignment horizontal="center" vertical="center"/>
      <protection/>
    </xf>
    <xf numFmtId="0" fontId="13" fillId="0" borderId="0" xfId="22" applyFont="1" applyAlignment="1">
      <alignment horizontal="center" vertical="center" wrapText="1"/>
      <protection/>
    </xf>
    <xf numFmtId="0" fontId="12" fillId="7" borderId="86" xfId="22" applyFont="1" applyFill="1" applyBorder="1" applyAlignment="1">
      <alignment horizontal="center" vertical="center" wrapText="1"/>
      <protection/>
    </xf>
    <xf numFmtId="0" fontId="12" fillId="4" borderId="6" xfId="22" applyFont="1" applyFill="1" applyBorder="1" applyAlignment="1">
      <alignment horizontal="center" vertical="center"/>
      <protection/>
    </xf>
    <xf numFmtId="0" fontId="12" fillId="4" borderId="7" xfId="22" applyFont="1" applyFill="1" applyBorder="1" applyAlignment="1">
      <alignment horizontal="center" vertical="center"/>
      <protection/>
    </xf>
    <xf numFmtId="4" fontId="12" fillId="4" borderId="2" xfId="22" applyNumberFormat="1" applyFont="1" applyFill="1" applyBorder="1" applyAlignment="1">
      <alignment horizontal="center" vertical="center"/>
      <protection/>
    </xf>
    <xf numFmtId="4" fontId="12" fillId="4" borderId="41" xfId="22" applyNumberFormat="1" applyFont="1" applyFill="1" applyBorder="1" applyAlignment="1">
      <alignment horizontal="center" vertical="center"/>
      <protection/>
    </xf>
    <xf numFmtId="0" fontId="12" fillId="3" borderId="3" xfId="22" applyFont="1" applyFill="1" applyBorder="1" applyAlignment="1">
      <alignment horizontal="center" vertical="center"/>
      <protection/>
    </xf>
    <xf numFmtId="0" fontId="12" fillId="3" borderId="1" xfId="22" applyFont="1" applyFill="1" applyBorder="1" applyAlignment="1">
      <alignment horizontal="center" vertical="center"/>
      <protection/>
    </xf>
    <xf numFmtId="0" fontId="12" fillId="4" borderId="3" xfId="22" applyFont="1" applyFill="1" applyBorder="1" applyAlignment="1">
      <alignment horizontal="center" vertical="center"/>
      <protection/>
    </xf>
    <xf numFmtId="0" fontId="12" fillId="4" borderId="1" xfId="22" applyFont="1" applyFill="1" applyBorder="1" applyAlignment="1">
      <alignment horizontal="center" vertical="center"/>
      <protection/>
    </xf>
    <xf numFmtId="4" fontId="12" fillId="4" borderId="88" xfId="22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4" fontId="12" fillId="4" borderId="89" xfId="22" applyNumberFormat="1" applyFont="1" applyFill="1" applyBorder="1" applyAlignment="1">
      <alignment horizontal="center" vertical="center"/>
      <protection/>
    </xf>
    <xf numFmtId="4" fontId="12" fillId="3" borderId="41" xfId="22" applyNumberFormat="1" applyFont="1" applyFill="1" applyBorder="1" applyAlignment="1">
      <alignment horizontal="center" vertical="center"/>
      <protection/>
    </xf>
    <xf numFmtId="0" fontId="12" fillId="3" borderId="5" xfId="22" applyFont="1" applyFill="1" applyBorder="1" applyAlignment="1">
      <alignment horizontal="center" vertical="center"/>
      <protection/>
    </xf>
    <xf numFmtId="0" fontId="12" fillId="0" borderId="0" xfId="22" applyFont="1" applyAlignment="1">
      <alignment horizontal="center" vertical="center" wrapText="1"/>
      <protection/>
    </xf>
    <xf numFmtId="4" fontId="12" fillId="3" borderId="2" xfId="22" applyNumberFormat="1" applyFont="1" applyFill="1" applyBorder="1" applyAlignment="1">
      <alignment horizontal="center" vertical="center"/>
      <protection/>
    </xf>
    <xf numFmtId="4" fontId="12" fillId="3" borderId="88" xfId="22" applyNumberFormat="1" applyFont="1" applyFill="1" applyBorder="1" applyAlignment="1">
      <alignment horizontal="center" vertical="center"/>
      <protection/>
    </xf>
    <xf numFmtId="0" fontId="12" fillId="7" borderId="60" xfId="22" applyFont="1" applyFill="1" applyBorder="1" applyAlignment="1">
      <alignment horizontal="center" vertical="center" wrapText="1"/>
      <protection/>
    </xf>
    <xf numFmtId="0" fontId="12" fillId="7" borderId="8" xfId="22" applyFont="1" applyFill="1" applyBorder="1" applyAlignment="1">
      <alignment horizontal="center" vertical="center" wrapText="1"/>
      <protection/>
    </xf>
    <xf numFmtId="0" fontId="12" fillId="7" borderId="61" xfId="22" applyFont="1" applyFill="1" applyBorder="1" applyAlignment="1">
      <alignment horizontal="center" vertical="center" wrapText="1"/>
      <protection/>
    </xf>
    <xf numFmtId="0" fontId="12" fillId="7" borderId="9" xfId="22" applyFont="1" applyFill="1" applyBorder="1" applyAlignment="1">
      <alignment horizontal="center" vertical="center" wrapText="1"/>
      <protection/>
    </xf>
    <xf numFmtId="0" fontId="12" fillId="7" borderId="45" xfId="22" applyFont="1" applyFill="1" applyBorder="1" applyAlignment="1">
      <alignment horizontal="center" vertical="center" wrapText="1"/>
      <protection/>
    </xf>
    <xf numFmtId="0" fontId="12" fillId="7" borderId="46" xfId="22" applyFont="1" applyFill="1" applyBorder="1" applyAlignment="1">
      <alignment horizontal="center" vertical="center" wrapText="1"/>
      <protection/>
    </xf>
    <xf numFmtId="4" fontId="12" fillId="4" borderId="59" xfId="22" applyNumberFormat="1" applyFont="1" applyFill="1" applyBorder="1" applyAlignment="1">
      <alignment horizontal="center" vertical="center"/>
      <protection/>
    </xf>
    <xf numFmtId="4" fontId="12" fillId="4" borderId="87" xfId="22" applyNumberFormat="1" applyFont="1" applyFill="1" applyBorder="1" applyAlignment="1">
      <alignment horizontal="center" vertical="center"/>
      <protection/>
    </xf>
    <xf numFmtId="0" fontId="12" fillId="3" borderId="46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169" fontId="14" fillId="0" borderId="20" xfId="0" applyNumberFormat="1" applyFont="1" applyFill="1" applyBorder="1" applyAlignment="1">
      <alignment horizontal="right" vertical="top"/>
    </xf>
    <xf numFmtId="49" fontId="12" fillId="3" borderId="39" xfId="0" applyNumberFormat="1" applyFont="1" applyFill="1" applyBorder="1" applyAlignment="1">
      <alignment horizontal="center" vertical="center"/>
    </xf>
    <xf numFmtId="49" fontId="12" fillId="3" borderId="26" xfId="0" applyNumberFormat="1" applyFont="1" applyFill="1" applyBorder="1" applyAlignment="1">
      <alignment horizontal="center" vertical="center"/>
    </xf>
    <xf numFmtId="49" fontId="12" fillId="3" borderId="44" xfId="0" applyNumberFormat="1" applyFont="1" applyFill="1" applyBorder="1" applyAlignment="1">
      <alignment horizontal="center" vertical="center"/>
    </xf>
    <xf numFmtId="49" fontId="12" fillId="4" borderId="64" xfId="0" applyNumberFormat="1" applyFont="1" applyFill="1" applyBorder="1" applyAlignment="1">
      <alignment horizontal="center" vertical="center"/>
    </xf>
    <xf numFmtId="49" fontId="12" fillId="4" borderId="66" xfId="0" applyNumberFormat="1" applyFont="1" applyFill="1" applyBorder="1" applyAlignment="1">
      <alignment horizontal="center" vertical="center"/>
    </xf>
    <xf numFmtId="49" fontId="12" fillId="4" borderId="90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right" vertical="top"/>
    </xf>
    <xf numFmtId="49" fontId="12" fillId="3" borderId="3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9" fontId="19" fillId="3" borderId="91" xfId="0" applyNumberFormat="1" applyFont="1" applyFill="1" applyBorder="1" applyAlignment="1">
      <alignment horizontal="left" vertical="center"/>
    </xf>
    <xf numFmtId="49" fontId="19" fillId="3" borderId="92" xfId="0" applyNumberFormat="1" applyFont="1" applyFill="1" applyBorder="1" applyAlignment="1">
      <alignment horizontal="left" vertical="center"/>
    </xf>
    <xf numFmtId="49" fontId="19" fillId="3" borderId="3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12" fillId="0" borderId="0" xfId="0" applyFont="1" applyAlignment="1" applyProtection="1">
      <alignment horizontal="center"/>
      <protection hidden="1"/>
    </xf>
    <xf numFmtId="49" fontId="12" fillId="3" borderId="5" xfId="0" applyNumberFormat="1" applyFont="1" applyFill="1" applyBorder="1" applyAlignment="1">
      <alignment horizontal="center" vertical="center"/>
    </xf>
    <xf numFmtId="49" fontId="12" fillId="3" borderId="81" xfId="0" applyNumberFormat="1" applyFont="1" applyFill="1" applyBorder="1" applyAlignment="1">
      <alignment horizontal="center" vertical="center"/>
    </xf>
    <xf numFmtId="49" fontId="12" fillId="3" borderId="41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49" fontId="12" fillId="3" borderId="9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wrapText="1"/>
    </xf>
    <xf numFmtId="0" fontId="12" fillId="0" borderId="30" xfId="0" applyFont="1" applyBorder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9" fillId="4" borderId="93" xfId="0" applyFont="1" applyFill="1" applyBorder="1" applyAlignment="1">
      <alignment horizontal="left" vertical="center"/>
    </xf>
    <xf numFmtId="0" fontId="19" fillId="4" borderId="48" xfId="0" applyFont="1" applyFill="1" applyBorder="1" applyAlignment="1">
      <alignment horizontal="left" vertical="center"/>
    </xf>
    <xf numFmtId="0" fontId="19" fillId="4" borderId="94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2" fillId="4" borderId="30" xfId="0" applyFont="1" applyFill="1" applyBorder="1" applyAlignment="1">
      <alignment horizontal="left" vertical="center"/>
    </xf>
    <xf numFmtId="0" fontId="12" fillId="4" borderId="43" xfId="0" applyFont="1" applyFill="1" applyBorder="1" applyAlignment="1">
      <alignment horizontal="left" vertical="center"/>
    </xf>
    <xf numFmtId="0" fontId="19" fillId="4" borderId="39" xfId="0" applyFont="1" applyFill="1" applyBorder="1" applyAlignment="1">
      <alignment horizontal="left" vertical="center"/>
    </xf>
    <xf numFmtId="0" fontId="19" fillId="4" borderId="26" xfId="0" applyFont="1" applyFill="1" applyBorder="1" applyAlignment="1">
      <alignment horizontal="left" vertical="center"/>
    </xf>
    <xf numFmtId="0" fontId="19" fillId="4" borderId="44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2" fillId="0" borderId="3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49" fontId="12" fillId="4" borderId="23" xfId="0" applyNumberFormat="1" applyFont="1" applyFill="1" applyBorder="1" applyAlignment="1">
      <alignment horizontal="center" vertical="center"/>
    </xf>
    <xf numFmtId="49" fontId="12" fillId="4" borderId="2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5" fillId="2" borderId="47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49" fontId="12" fillId="2" borderId="49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47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49" fontId="11" fillId="0" borderId="84" xfId="0" applyNumberFormat="1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86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1" fillId="0" borderId="8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81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4" borderId="100" xfId="0" applyFont="1" applyFill="1" applyBorder="1" applyAlignment="1">
      <alignment horizontal="center" vertical="center" wrapText="1"/>
    </xf>
    <xf numFmtId="0" fontId="12" fillId="4" borderId="101" xfId="0" applyFont="1" applyFill="1" applyBorder="1" applyAlignment="1">
      <alignment horizontal="center" vertical="center" wrapText="1"/>
    </xf>
    <xf numFmtId="0" fontId="12" fillId="4" borderId="102" xfId="0" applyFont="1" applyFill="1" applyBorder="1" applyAlignment="1">
      <alignment horizontal="center" vertical="center" wrapText="1"/>
    </xf>
    <xf numFmtId="0" fontId="11" fillId="3" borderId="81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9" fontId="12" fillId="3" borderId="39" xfId="0" applyNumberFormat="1" applyFont="1" applyFill="1" applyBorder="1" applyAlignment="1">
      <alignment horizontal="center" vertical="center"/>
    </xf>
    <xf numFmtId="49" fontId="12" fillId="3" borderId="26" xfId="0" applyNumberFormat="1" applyFont="1" applyFill="1" applyBorder="1" applyAlignment="1">
      <alignment horizontal="center" vertical="center"/>
    </xf>
    <xf numFmtId="49" fontId="12" fillId="3" borderId="44" xfId="0" applyNumberFormat="1" applyFont="1" applyFill="1" applyBorder="1" applyAlignment="1">
      <alignment horizontal="center" vertical="center"/>
    </xf>
    <xf numFmtId="49" fontId="12" fillId="3" borderId="40" xfId="0" applyNumberFormat="1" applyFont="1" applyFill="1" applyBorder="1" applyAlignment="1">
      <alignment horizontal="center" vertical="center"/>
    </xf>
    <xf numFmtId="49" fontId="12" fillId="3" borderId="50" xfId="0" applyNumberFormat="1" applyFont="1" applyFill="1" applyBorder="1" applyAlignment="1">
      <alignment horizontal="center" vertical="center"/>
    </xf>
    <xf numFmtId="49" fontId="12" fillId="3" borderId="46" xfId="0" applyNumberFormat="1" applyFont="1" applyFill="1" applyBorder="1" applyAlignment="1">
      <alignment horizontal="center" vertical="center"/>
    </xf>
    <xf numFmtId="0" fontId="12" fillId="3" borderId="2" xfId="19" applyFont="1" applyFill="1" applyBorder="1" applyAlignment="1">
      <alignment horizontal="center" vertical="center"/>
      <protection/>
    </xf>
    <xf numFmtId="0" fontId="12" fillId="3" borderId="81" xfId="19" applyFont="1" applyFill="1" applyBorder="1" applyAlignment="1">
      <alignment horizontal="center" vertical="center"/>
      <protection/>
    </xf>
    <xf numFmtId="0" fontId="12" fillId="3" borderId="41" xfId="19" applyFont="1" applyFill="1" applyBorder="1" applyAlignment="1">
      <alignment horizontal="center" vertical="center"/>
      <protection/>
    </xf>
    <xf numFmtId="0" fontId="12" fillId="0" borderId="0" xfId="19" applyFont="1" applyAlignment="1">
      <alignment horizontal="center"/>
      <protection/>
    </xf>
    <xf numFmtId="0" fontId="12" fillId="4" borderId="57" xfId="0" applyFont="1" applyFill="1" applyBorder="1" applyAlignment="1">
      <alignment horizontal="center" vertical="center"/>
    </xf>
    <xf numFmtId="0" fontId="12" fillId="4" borderId="58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0" borderId="0" xfId="18" applyFont="1" applyAlignment="1">
      <alignment horizontal="center" vertical="center"/>
      <protection/>
    </xf>
    <xf numFmtId="0" fontId="12" fillId="4" borderId="57" xfId="18" applyFont="1" applyFill="1" applyBorder="1" applyAlignment="1">
      <alignment horizontal="center" vertical="center"/>
      <protection/>
    </xf>
    <xf numFmtId="0" fontId="12" fillId="4" borderId="58" xfId="18" applyFont="1" applyFill="1" applyBorder="1" applyAlignment="1">
      <alignment horizontal="center" vertical="center"/>
      <protection/>
    </xf>
    <xf numFmtId="0" fontId="12" fillId="4" borderId="6" xfId="18" applyFont="1" applyFill="1" applyBorder="1" applyAlignment="1">
      <alignment horizontal="center" vertical="center"/>
      <protection/>
    </xf>
    <xf numFmtId="0" fontId="12" fillId="4" borderId="7" xfId="18" applyFont="1" applyFill="1" applyBorder="1" applyAlignment="1">
      <alignment horizontal="center" vertical="center"/>
      <protection/>
    </xf>
    <xf numFmtId="0" fontId="12" fillId="4" borderId="32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2" fillId="4" borderId="66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0" borderId="0" xfId="21" applyFont="1" applyAlignment="1">
      <alignment horizontal="center" vertical="center" wrapText="1"/>
      <protection/>
    </xf>
    <xf numFmtId="0" fontId="12" fillId="0" borderId="0" xfId="20" applyFont="1" applyAlignment="1">
      <alignment horizontal="right" vertical="center"/>
      <protection/>
    </xf>
  </cellXfs>
  <cellStyles count="13">
    <cellStyle name="Normal" xfId="0"/>
    <cellStyle name="Comma" xfId="15"/>
    <cellStyle name="Comma [0]" xfId="16"/>
    <cellStyle name="Hyperlink" xfId="17"/>
    <cellStyle name="Normalny_fundusze" xfId="18"/>
    <cellStyle name="Normalny_niewygasy 2006" xfId="19"/>
    <cellStyle name="Normalny_tabele2007" xfId="20"/>
    <cellStyle name="Normalny_zaklady opieki zdrowotnej" xfId="21"/>
    <cellStyle name="Normalny_Zmiany w budżecie 2006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31"/>
  <sheetViews>
    <sheetView view="pageBreakPreview" zoomScaleSheetLayoutView="100" workbookViewId="0" topLeftCell="A4">
      <selection activeCell="H19" sqref="H19"/>
    </sheetView>
  </sheetViews>
  <sheetFormatPr defaultColWidth="9.00390625" defaultRowHeight="12.75"/>
  <cols>
    <col min="1" max="1" width="14.375" style="49" customWidth="1"/>
    <col min="2" max="2" width="17.00390625" style="49" customWidth="1"/>
    <col min="3" max="3" width="13.75390625" style="48" customWidth="1"/>
    <col min="4" max="4" width="13.875" style="48" customWidth="1"/>
    <col min="5" max="5" width="14.25390625" style="48" customWidth="1"/>
    <col min="6" max="6" width="13.625" style="48" customWidth="1"/>
    <col min="7" max="7" width="17.25390625" style="48" customWidth="1"/>
    <col min="8" max="8" width="16.375" style="48" customWidth="1"/>
    <col min="9" max="16384" width="9.125" style="48" customWidth="1"/>
  </cols>
  <sheetData>
    <row r="1" spans="1:6" ht="26.25" customHeight="1">
      <c r="A1" s="48"/>
      <c r="B1" s="48"/>
      <c r="F1" s="1014" t="s">
        <v>760</v>
      </c>
    </row>
    <row r="2" spans="1:6" ht="26.25" customHeight="1">
      <c r="A2" s="47"/>
      <c r="B2" s="47"/>
      <c r="C2" s="47"/>
      <c r="D2" s="47"/>
      <c r="E2" s="47"/>
      <c r="F2" s="47"/>
    </row>
    <row r="3" spans="1:6" ht="36" customHeight="1">
      <c r="A3" s="1523" t="s">
        <v>513</v>
      </c>
      <c r="B3" s="1523"/>
      <c r="C3" s="1523"/>
      <c r="D3" s="1523"/>
      <c r="E3" s="1523"/>
      <c r="F3" s="1523"/>
    </row>
    <row r="4" spans="6:8" ht="18" customHeight="1" thickBot="1">
      <c r="F4" s="50" t="s">
        <v>67</v>
      </c>
      <c r="G4" s="1507" t="s">
        <v>514</v>
      </c>
      <c r="H4" s="1507"/>
    </row>
    <row r="5" spans="1:8" s="51" customFormat="1" ht="18" customHeight="1">
      <c r="A5" s="1526" t="s">
        <v>630</v>
      </c>
      <c r="B5" s="1528" t="s">
        <v>53</v>
      </c>
      <c r="C5" s="1530" t="s">
        <v>532</v>
      </c>
      <c r="D5" s="1531"/>
      <c r="E5" s="1530" t="s">
        <v>533</v>
      </c>
      <c r="F5" s="1508"/>
      <c r="G5" s="1507"/>
      <c r="H5" s="1507"/>
    </row>
    <row r="6" spans="1:6" s="52" customFormat="1" ht="18" customHeight="1">
      <c r="A6" s="1527"/>
      <c r="B6" s="1529"/>
      <c r="C6" s="1011" t="s">
        <v>631</v>
      </c>
      <c r="D6" s="1011" t="s">
        <v>632</v>
      </c>
      <c r="E6" s="1011" t="s">
        <v>631</v>
      </c>
      <c r="F6" s="1012" t="s">
        <v>632</v>
      </c>
    </row>
    <row r="7" spans="1:6" s="776" customFormat="1" ht="13.5" customHeight="1">
      <c r="A7" s="1090">
        <v>1</v>
      </c>
      <c r="B7" s="1091">
        <v>2</v>
      </c>
      <c r="C7" s="1092">
        <v>3</v>
      </c>
      <c r="D7" s="1092">
        <v>4</v>
      </c>
      <c r="E7" s="1092">
        <v>5</v>
      </c>
      <c r="F7" s="1093">
        <v>6</v>
      </c>
    </row>
    <row r="8" spans="1:6" s="52" customFormat="1" ht="18" customHeight="1">
      <c r="A8" s="1522" t="s">
        <v>633</v>
      </c>
      <c r="B8" s="1504"/>
      <c r="C8" s="1524">
        <v>215027682</v>
      </c>
      <c r="D8" s="1521"/>
      <c r="E8" s="1524">
        <v>202542127</v>
      </c>
      <c r="F8" s="1525"/>
    </row>
    <row r="9" spans="1:7" s="62" customFormat="1" ht="18" customHeight="1">
      <c r="A9" s="58" t="s">
        <v>480</v>
      </c>
      <c r="B9" s="59" t="s">
        <v>65</v>
      </c>
      <c r="C9" s="60">
        <v>0</v>
      </c>
      <c r="D9" s="60">
        <v>0</v>
      </c>
      <c r="E9" s="60">
        <v>-243623</v>
      </c>
      <c r="F9" s="61">
        <v>243623</v>
      </c>
      <c r="G9" s="62" t="s">
        <v>512</v>
      </c>
    </row>
    <row r="10" spans="1:6" ht="18" customHeight="1">
      <c r="A10" s="53" t="s">
        <v>481</v>
      </c>
      <c r="B10" s="54" t="s">
        <v>482</v>
      </c>
      <c r="C10" s="55">
        <v>0</v>
      </c>
      <c r="D10" s="55">
        <v>420356</v>
      </c>
      <c r="E10" s="55">
        <v>-167000</v>
      </c>
      <c r="F10" s="56">
        <v>587356</v>
      </c>
    </row>
    <row r="11" spans="1:7" s="62" customFormat="1" ht="18" customHeight="1">
      <c r="A11" s="58" t="s">
        <v>481</v>
      </c>
      <c r="B11" s="59" t="s">
        <v>483</v>
      </c>
      <c r="C11" s="60">
        <v>0</v>
      </c>
      <c r="D11" s="60">
        <v>0</v>
      </c>
      <c r="E11" s="60">
        <v>-1200389</v>
      </c>
      <c r="F11" s="61">
        <v>1200389</v>
      </c>
      <c r="G11" s="62" t="s">
        <v>512</v>
      </c>
    </row>
    <row r="12" spans="1:7" s="62" customFormat="1" ht="18" customHeight="1">
      <c r="A12" s="58" t="s">
        <v>484</v>
      </c>
      <c r="B12" s="59" t="s">
        <v>485</v>
      </c>
      <c r="C12" s="60">
        <v>0</v>
      </c>
      <c r="D12" s="60">
        <v>0</v>
      </c>
      <c r="E12" s="60">
        <v>-7136</v>
      </c>
      <c r="F12" s="61">
        <v>7136</v>
      </c>
      <c r="G12" s="62" t="s">
        <v>512</v>
      </c>
    </row>
    <row r="13" spans="1:7" s="62" customFormat="1" ht="18" customHeight="1">
      <c r="A13" s="58" t="s">
        <v>486</v>
      </c>
      <c r="B13" s="59" t="s">
        <v>487</v>
      </c>
      <c r="C13" s="60">
        <v>0</v>
      </c>
      <c r="D13" s="60">
        <v>0</v>
      </c>
      <c r="E13" s="60">
        <v>-15600</v>
      </c>
      <c r="F13" s="61">
        <v>15600</v>
      </c>
      <c r="G13" s="62" t="s">
        <v>512</v>
      </c>
    </row>
    <row r="14" spans="1:6" ht="18" customHeight="1">
      <c r="A14" s="53" t="s">
        <v>488</v>
      </c>
      <c r="B14" s="54" t="s">
        <v>489</v>
      </c>
      <c r="C14" s="55">
        <v>0</v>
      </c>
      <c r="D14" s="55">
        <v>0</v>
      </c>
      <c r="E14" s="55">
        <v>-1152000</v>
      </c>
      <c r="F14" s="56">
        <v>3844661</v>
      </c>
    </row>
    <row r="15" spans="1:6" ht="18" customHeight="1">
      <c r="A15" s="53" t="s">
        <v>494</v>
      </c>
      <c r="B15" s="54" t="s">
        <v>495</v>
      </c>
      <c r="C15" s="55">
        <v>0</v>
      </c>
      <c r="D15" s="55">
        <v>2000844</v>
      </c>
      <c r="E15" s="55">
        <v>0</v>
      </c>
      <c r="F15" s="56">
        <v>2000844</v>
      </c>
    </row>
    <row r="16" spans="1:7" s="62" customFormat="1" ht="18" customHeight="1">
      <c r="A16" s="58" t="s">
        <v>494</v>
      </c>
      <c r="B16" s="59" t="s">
        <v>496</v>
      </c>
      <c r="C16" s="60">
        <v>0</v>
      </c>
      <c r="D16" s="60">
        <v>0</v>
      </c>
      <c r="E16" s="60">
        <v>-6163744</v>
      </c>
      <c r="F16" s="61">
        <v>6163744</v>
      </c>
      <c r="G16" s="62" t="s">
        <v>512</v>
      </c>
    </row>
    <row r="17" spans="1:7" s="62" customFormat="1" ht="18" customHeight="1">
      <c r="A17" s="58" t="s">
        <v>497</v>
      </c>
      <c r="B17" s="59" t="s">
        <v>498</v>
      </c>
      <c r="C17" s="60">
        <v>0</v>
      </c>
      <c r="D17" s="60">
        <v>0</v>
      </c>
      <c r="E17" s="60">
        <v>-235684</v>
      </c>
      <c r="F17" s="61">
        <v>235684</v>
      </c>
      <c r="G17" s="62" t="s">
        <v>512</v>
      </c>
    </row>
    <row r="18" spans="1:7" s="62" customFormat="1" ht="18" customHeight="1">
      <c r="A18" s="63" t="s">
        <v>499</v>
      </c>
      <c r="B18" s="59" t="s">
        <v>500</v>
      </c>
      <c r="C18" s="60">
        <v>0</v>
      </c>
      <c r="D18" s="60">
        <v>0</v>
      </c>
      <c r="E18" s="60">
        <v>-3000000</v>
      </c>
      <c r="F18" s="61">
        <v>3000000</v>
      </c>
      <c r="G18" s="62" t="s">
        <v>512</v>
      </c>
    </row>
    <row r="19" spans="1:6" ht="18" customHeight="1">
      <c r="A19" s="57" t="s">
        <v>501</v>
      </c>
      <c r="B19" s="54" t="s">
        <v>502</v>
      </c>
      <c r="C19" s="55">
        <v>-7921710</v>
      </c>
      <c r="D19" s="55">
        <v>2960436</v>
      </c>
      <c r="E19" s="55">
        <v>-5200</v>
      </c>
      <c r="F19" s="56">
        <v>18501509</v>
      </c>
    </row>
    <row r="20" spans="1:7" s="62" customFormat="1" ht="18" customHeight="1">
      <c r="A20" s="63" t="s">
        <v>503</v>
      </c>
      <c r="B20" s="59" t="s">
        <v>504</v>
      </c>
      <c r="C20" s="60">
        <v>0</v>
      </c>
      <c r="D20" s="60">
        <v>0</v>
      </c>
      <c r="E20" s="60">
        <v>-281250</v>
      </c>
      <c r="F20" s="61">
        <v>281250</v>
      </c>
      <c r="G20" s="62" t="s">
        <v>512</v>
      </c>
    </row>
    <row r="21" spans="1:6" ht="18" customHeight="1">
      <c r="A21" s="57" t="s">
        <v>503</v>
      </c>
      <c r="B21" s="54" t="s">
        <v>505</v>
      </c>
      <c r="C21" s="55">
        <v>0</v>
      </c>
      <c r="D21" s="55">
        <v>644042</v>
      </c>
      <c r="E21" s="55">
        <v>0</v>
      </c>
      <c r="F21" s="56">
        <v>644042</v>
      </c>
    </row>
    <row r="22" spans="1:7" s="62" customFormat="1" ht="18" customHeight="1">
      <c r="A22" s="63" t="s">
        <v>506</v>
      </c>
      <c r="B22" s="59" t="s">
        <v>507</v>
      </c>
      <c r="C22" s="60">
        <v>0</v>
      </c>
      <c r="D22" s="60">
        <v>0</v>
      </c>
      <c r="E22" s="60">
        <v>-1263091</v>
      </c>
      <c r="F22" s="61">
        <v>1263091</v>
      </c>
      <c r="G22" s="62" t="s">
        <v>512</v>
      </c>
    </row>
    <row r="23" spans="1:6" ht="18" customHeight="1">
      <c r="A23" s="57" t="s">
        <v>506</v>
      </c>
      <c r="B23" s="54" t="s">
        <v>508</v>
      </c>
      <c r="C23" s="55">
        <v>0</v>
      </c>
      <c r="D23" s="55">
        <v>254805.66</v>
      </c>
      <c r="E23" s="55">
        <v>0</v>
      </c>
      <c r="F23" s="56">
        <v>254805.66</v>
      </c>
    </row>
    <row r="24" spans="1:7" s="62" customFormat="1" ht="18" customHeight="1">
      <c r="A24" s="63" t="s">
        <v>509</v>
      </c>
      <c r="B24" s="59" t="s">
        <v>510</v>
      </c>
      <c r="C24" s="60">
        <v>0</v>
      </c>
      <c r="D24" s="60">
        <v>0</v>
      </c>
      <c r="E24" s="60">
        <v>-1665039</v>
      </c>
      <c r="F24" s="61">
        <v>1665039</v>
      </c>
      <c r="G24" s="62" t="s">
        <v>512</v>
      </c>
    </row>
    <row r="25" spans="1:6" ht="18" customHeight="1">
      <c r="A25" s="57" t="s">
        <v>511</v>
      </c>
      <c r="B25" s="54" t="s">
        <v>755</v>
      </c>
      <c r="C25" s="55">
        <v>0</v>
      </c>
      <c r="D25" s="55">
        <v>5242548</v>
      </c>
      <c r="E25" s="55">
        <v>-2485039</v>
      </c>
      <c r="F25" s="56">
        <v>7727587</v>
      </c>
    </row>
    <row r="26" spans="1:7" ht="18" customHeight="1">
      <c r="A26" s="63" t="s">
        <v>511</v>
      </c>
      <c r="B26" s="59" t="s">
        <v>756</v>
      </c>
      <c r="C26" s="60">
        <v>0</v>
      </c>
      <c r="D26" s="60">
        <v>0</v>
      </c>
      <c r="E26" s="60">
        <v>-1051989.33</v>
      </c>
      <c r="F26" s="61">
        <v>1051989.33</v>
      </c>
      <c r="G26" s="62" t="s">
        <v>512</v>
      </c>
    </row>
    <row r="27" spans="1:6" ht="18" customHeight="1">
      <c r="A27" s="57" t="s">
        <v>757</v>
      </c>
      <c r="B27" s="54" t="s">
        <v>758</v>
      </c>
      <c r="C27" s="55">
        <v>0</v>
      </c>
      <c r="D27" s="55">
        <v>56770</v>
      </c>
      <c r="E27" s="55">
        <v>0</v>
      </c>
      <c r="F27" s="56">
        <v>56770</v>
      </c>
    </row>
    <row r="28" spans="1:6" s="1010" customFormat="1" ht="18" customHeight="1">
      <c r="A28" s="1006" t="s">
        <v>757</v>
      </c>
      <c r="B28" s="1007" t="s">
        <v>759</v>
      </c>
      <c r="C28" s="1008">
        <v>0</v>
      </c>
      <c r="D28" s="1008">
        <v>0</v>
      </c>
      <c r="E28" s="1008">
        <v>-9780</v>
      </c>
      <c r="F28" s="1009">
        <v>9780</v>
      </c>
    </row>
    <row r="29" spans="1:6" s="52" customFormat="1" ht="18" customHeight="1">
      <c r="A29" s="1522" t="s">
        <v>334</v>
      </c>
      <c r="B29" s="1504"/>
      <c r="C29" s="1004">
        <f>SUM(C9:C28)</f>
        <v>-7921710</v>
      </c>
      <c r="D29" s="1004">
        <f>SUM(D9:D28)</f>
        <v>11579801.66</v>
      </c>
      <c r="E29" s="1004">
        <f>SUM(E9:E28)</f>
        <v>-18946564.33</v>
      </c>
      <c r="F29" s="1005">
        <f>SUM(F9:F28)</f>
        <v>48754899.989999995</v>
      </c>
    </row>
    <row r="30" spans="1:6" s="52" customFormat="1" ht="18" customHeight="1">
      <c r="A30" s="1522" t="s">
        <v>634</v>
      </c>
      <c r="B30" s="1504"/>
      <c r="C30" s="1524">
        <f>SUM(C29:D29)</f>
        <v>3658091.66</v>
      </c>
      <c r="D30" s="1521"/>
      <c r="E30" s="1524">
        <f>SUM(E29:F29)</f>
        <v>29808335.659999996</v>
      </c>
      <c r="F30" s="1525"/>
    </row>
    <row r="31" spans="1:6" s="52" customFormat="1" ht="18" customHeight="1" thickBot="1">
      <c r="A31" s="1505" t="s">
        <v>635</v>
      </c>
      <c r="B31" s="1506"/>
      <c r="C31" s="1532">
        <f>SUM(C8,C30)</f>
        <v>218685773.66</v>
      </c>
      <c r="D31" s="1533"/>
      <c r="E31" s="1532">
        <f>SUM(E8,E30)</f>
        <v>232350462.66</v>
      </c>
      <c r="F31" s="1520"/>
    </row>
    <row r="32" ht="44.25" customHeight="1"/>
  </sheetData>
  <sheetProtection password="CF53" sheet="1" objects="1" scenarios="1" selectLockedCells="1" selectUnlockedCells="1"/>
  <mergeCells count="17">
    <mergeCell ref="G4:G5"/>
    <mergeCell ref="H4:H5"/>
    <mergeCell ref="E5:F5"/>
    <mergeCell ref="C30:D30"/>
    <mergeCell ref="E30:F30"/>
    <mergeCell ref="C31:D31"/>
    <mergeCell ref="E31:F31"/>
    <mergeCell ref="C8:D8"/>
    <mergeCell ref="A8:B8"/>
    <mergeCell ref="A31:B31"/>
    <mergeCell ref="A29:B29"/>
    <mergeCell ref="A30:B30"/>
    <mergeCell ref="A3:F3"/>
    <mergeCell ref="E8:F8"/>
    <mergeCell ref="A5:A6"/>
    <mergeCell ref="B5:B6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I100"/>
  <sheetViews>
    <sheetView view="pageBreakPreview" zoomScaleSheetLayoutView="100" workbookViewId="0" topLeftCell="A11">
      <selection activeCell="C17" sqref="C17"/>
    </sheetView>
  </sheetViews>
  <sheetFormatPr defaultColWidth="9.00390625" defaultRowHeight="12.75"/>
  <cols>
    <col min="1" max="1" width="3.375" style="64" customWidth="1"/>
    <col min="2" max="2" width="7.375" style="64" customWidth="1"/>
    <col min="3" max="3" width="41.625" style="65" customWidth="1"/>
    <col min="4" max="4" width="12.25390625" style="65" customWidth="1"/>
    <col min="5" max="5" width="12.625" style="65" customWidth="1"/>
    <col min="6" max="6" width="6.125" style="65" customWidth="1"/>
    <col min="7" max="7" width="13.00390625" style="531" customWidth="1"/>
    <col min="8" max="8" width="16.625" style="804" customWidth="1"/>
    <col min="9" max="9" width="14.125" style="65" customWidth="1"/>
    <col min="10" max="16384" width="9.125" style="65" customWidth="1"/>
  </cols>
  <sheetData>
    <row r="1" spans="5:6" ht="13.5">
      <c r="E1" s="1580" t="s">
        <v>765</v>
      </c>
      <c r="F1" s="1580"/>
    </row>
    <row r="2" spans="5:6" ht="13.5">
      <c r="E2" s="36"/>
      <c r="F2" s="36"/>
    </row>
    <row r="3" spans="1:6" ht="13.5">
      <c r="A3" s="1483" t="s">
        <v>1112</v>
      </c>
      <c r="B3" s="1483"/>
      <c r="C3" s="1483"/>
      <c r="D3" s="1483"/>
      <c r="E3" s="1483"/>
      <c r="F3" s="1483"/>
    </row>
    <row r="4" spans="1:6" ht="11.25" customHeight="1">
      <c r="A4" s="31"/>
      <c r="B4" s="31"/>
      <c r="C4" s="31"/>
      <c r="D4" s="31"/>
      <c r="E4" s="31"/>
      <c r="F4" s="31"/>
    </row>
    <row r="5" spans="1:6" ht="27.75" customHeight="1" thickBot="1">
      <c r="A5" s="1558" t="s">
        <v>449</v>
      </c>
      <c r="B5" s="1559"/>
      <c r="C5" s="1559"/>
      <c r="D5" s="1559"/>
      <c r="E5" s="1559"/>
      <c r="F5" s="805" t="s">
        <v>67</v>
      </c>
    </row>
    <row r="6" spans="1:8" s="511" customFormat="1" ht="17.25" customHeight="1">
      <c r="A6" s="1136" t="s">
        <v>338</v>
      </c>
      <c r="B6" s="1137" t="s">
        <v>68</v>
      </c>
      <c r="C6" s="1138" t="s">
        <v>1056</v>
      </c>
      <c r="D6" s="1190" t="s">
        <v>70</v>
      </c>
      <c r="E6" s="1271" t="s">
        <v>71</v>
      </c>
      <c r="F6" s="1191" t="s">
        <v>653</v>
      </c>
      <c r="G6" s="486"/>
      <c r="H6" s="844"/>
    </row>
    <row r="7" spans="1:8" s="898" customFormat="1" ht="11.25" customHeight="1">
      <c r="A7" s="1272">
        <v>1</v>
      </c>
      <c r="B7" s="1273">
        <v>2</v>
      </c>
      <c r="C7" s="1273">
        <v>3</v>
      </c>
      <c r="D7" s="1273">
        <v>4</v>
      </c>
      <c r="E7" s="1274">
        <v>5</v>
      </c>
      <c r="F7" s="1275">
        <v>6</v>
      </c>
      <c r="G7" s="420"/>
      <c r="H7" s="1100"/>
    </row>
    <row r="8" spans="1:6" ht="18" customHeight="1">
      <c r="A8" s="1560" t="s">
        <v>1047</v>
      </c>
      <c r="B8" s="1561"/>
      <c r="C8" s="1562"/>
      <c r="D8" s="495">
        <f>SUM(D9,D10)</f>
        <v>1000000</v>
      </c>
      <c r="E8" s="495">
        <f>SUM(E9,E10)</f>
        <v>690000</v>
      </c>
      <c r="F8" s="806">
        <f>E8/D8*100</f>
        <v>69</v>
      </c>
    </row>
    <row r="9" spans="1:7" ht="40.5" customHeight="1">
      <c r="A9" s="74" t="s">
        <v>341</v>
      </c>
      <c r="B9" s="76">
        <v>70001</v>
      </c>
      <c r="C9" s="75" t="s">
        <v>1057</v>
      </c>
      <c r="D9" s="493">
        <f>SUM(9W!D63)</f>
        <v>550000</v>
      </c>
      <c r="E9" s="493">
        <f>SUM(9W!E63)</f>
        <v>420000</v>
      </c>
      <c r="F9" s="807">
        <f>E9/D9*100</f>
        <v>76.36363636363637</v>
      </c>
      <c r="G9" s="531" t="s">
        <v>457</v>
      </c>
    </row>
    <row r="10" spans="1:7" ht="67.5" customHeight="1" thickBot="1">
      <c r="A10" s="517" t="s">
        <v>342</v>
      </c>
      <c r="B10" s="808">
        <v>92605</v>
      </c>
      <c r="C10" s="809" t="s">
        <v>1111</v>
      </c>
      <c r="D10" s="519">
        <f>SUM(9W!D399)-D63</f>
        <v>450000</v>
      </c>
      <c r="E10" s="519">
        <f>SUM(9W!E399)-E63</f>
        <v>270000</v>
      </c>
      <c r="F10" s="810">
        <f>E10/D10*100</f>
        <v>60</v>
      </c>
      <c r="G10" s="531" t="s">
        <v>457</v>
      </c>
    </row>
    <row r="11" spans="1:6" ht="17.25" customHeight="1" thickBot="1" thickTop="1">
      <c r="A11" s="1563" t="s">
        <v>1050</v>
      </c>
      <c r="B11" s="1564"/>
      <c r="C11" s="1565"/>
      <c r="D11" s="839">
        <f>SUM(D8)</f>
        <v>1000000</v>
      </c>
      <c r="E11" s="839">
        <f>SUM(E8)</f>
        <v>690000</v>
      </c>
      <c r="F11" s="840">
        <f>E11/D11*100</f>
        <v>69</v>
      </c>
    </row>
    <row r="12" ht="32.25" customHeight="1">
      <c r="F12" s="485"/>
    </row>
    <row r="13" spans="1:8" s="531" customFormat="1" ht="43.5" customHeight="1" thickBot="1">
      <c r="A13" s="1557" t="s">
        <v>294</v>
      </c>
      <c r="B13" s="1557"/>
      <c r="C13" s="1557"/>
      <c r="D13" s="1557"/>
      <c r="E13" s="1557"/>
      <c r="F13" s="1557"/>
      <c r="H13" s="804"/>
    </row>
    <row r="14" spans="1:8" s="511" customFormat="1" ht="19.5" customHeight="1">
      <c r="A14" s="871" t="s">
        <v>338</v>
      </c>
      <c r="B14" s="872" t="s">
        <v>68</v>
      </c>
      <c r="C14" s="872" t="s">
        <v>1058</v>
      </c>
      <c r="D14" s="1190" t="s">
        <v>70</v>
      </c>
      <c r="E14" s="1271" t="s">
        <v>71</v>
      </c>
      <c r="F14" s="1191" t="s">
        <v>653</v>
      </c>
      <c r="G14" s="486"/>
      <c r="H14" s="844"/>
    </row>
    <row r="15" spans="1:8" s="1102" customFormat="1" ht="10.5" customHeight="1">
      <c r="A15" s="1272">
        <v>1</v>
      </c>
      <c r="B15" s="1273">
        <v>2</v>
      </c>
      <c r="C15" s="1273">
        <v>3</v>
      </c>
      <c r="D15" s="1273">
        <v>4</v>
      </c>
      <c r="E15" s="1274">
        <v>5</v>
      </c>
      <c r="F15" s="1275">
        <v>6</v>
      </c>
      <c r="G15" s="774"/>
      <c r="H15" s="1101"/>
    </row>
    <row r="16" spans="1:6" ht="18.75" customHeight="1">
      <c r="A16" s="1560" t="s">
        <v>1047</v>
      </c>
      <c r="B16" s="1561"/>
      <c r="C16" s="1562"/>
      <c r="D16" s="495">
        <f>SUM(D17,D18,D19,D20,D21,D22,D23,D24,D25,D26,D27)</f>
        <v>8630855</v>
      </c>
      <c r="E16" s="495">
        <f>SUM(E17,E18,E19,E20,E21,E22,E23,E24,E25,E26,E27)</f>
        <v>4437051.5</v>
      </c>
      <c r="F16" s="806">
        <f>E16/D16*100</f>
        <v>51.40917672698707</v>
      </c>
    </row>
    <row r="17" spans="1:7" ht="30" customHeight="1">
      <c r="A17" s="74" t="s">
        <v>341</v>
      </c>
      <c r="B17" s="76">
        <v>80101</v>
      </c>
      <c r="C17" s="75" t="s">
        <v>1194</v>
      </c>
      <c r="D17" s="493">
        <v>262848</v>
      </c>
      <c r="E17" s="816">
        <v>111683.28</v>
      </c>
      <c r="F17" s="807">
        <f aca="true" t="shared" si="0" ref="F17:F45">E17/D17*100</f>
        <v>42.489682249817385</v>
      </c>
      <c r="G17" s="804" t="s">
        <v>458</v>
      </c>
    </row>
    <row r="18" spans="1:7" ht="24" customHeight="1">
      <c r="A18" s="74" t="s">
        <v>342</v>
      </c>
      <c r="B18" s="76">
        <v>80101</v>
      </c>
      <c r="C18" s="811" t="s">
        <v>728</v>
      </c>
      <c r="D18" s="493">
        <v>34571</v>
      </c>
      <c r="E18" s="816">
        <v>8910.9</v>
      </c>
      <c r="F18" s="807">
        <f t="shared" si="0"/>
        <v>25.775650111365017</v>
      </c>
      <c r="G18" s="804" t="s">
        <v>458</v>
      </c>
    </row>
    <row r="19" spans="1:7" ht="24" customHeight="1">
      <c r="A19" s="74" t="s">
        <v>419</v>
      </c>
      <c r="B19" s="76">
        <v>80104</v>
      </c>
      <c r="C19" s="811" t="s">
        <v>10</v>
      </c>
      <c r="D19" s="493">
        <f>SUM(9W!D176)</f>
        <v>5095323</v>
      </c>
      <c r="E19" s="493">
        <f>SUM(9W!E176)</f>
        <v>2589202</v>
      </c>
      <c r="F19" s="807">
        <f t="shared" si="0"/>
        <v>50.81526725587368</v>
      </c>
      <c r="G19" s="812" t="s">
        <v>297</v>
      </c>
    </row>
    <row r="20" spans="1:8" ht="30" customHeight="1">
      <c r="A20" s="74" t="s">
        <v>426</v>
      </c>
      <c r="B20" s="76">
        <v>80110</v>
      </c>
      <c r="C20" s="75" t="s">
        <v>1059</v>
      </c>
      <c r="D20" s="493">
        <v>182247</v>
      </c>
      <c r="E20" s="816">
        <v>80628.12</v>
      </c>
      <c r="F20" s="807">
        <f t="shared" si="0"/>
        <v>44.241123310671775</v>
      </c>
      <c r="G20" s="531" t="s">
        <v>458</v>
      </c>
      <c r="H20" s="804" t="s">
        <v>296</v>
      </c>
    </row>
    <row r="21" spans="1:8" ht="24.75" customHeight="1">
      <c r="A21" s="74" t="s">
        <v>427</v>
      </c>
      <c r="B21" s="76">
        <v>80110</v>
      </c>
      <c r="C21" s="811" t="s">
        <v>1060</v>
      </c>
      <c r="D21" s="493">
        <v>118460</v>
      </c>
      <c r="E21" s="816">
        <v>52516.4</v>
      </c>
      <c r="F21" s="807">
        <f t="shared" si="0"/>
        <v>44.33260172210029</v>
      </c>
      <c r="G21" s="531" t="s">
        <v>458</v>
      </c>
      <c r="H21" s="804" t="s">
        <v>296</v>
      </c>
    </row>
    <row r="22" spans="1:8" ht="24.75" customHeight="1">
      <c r="A22" s="74" t="s">
        <v>428</v>
      </c>
      <c r="B22" s="76">
        <v>80110</v>
      </c>
      <c r="C22" s="811" t="s">
        <v>729</v>
      </c>
      <c r="D22" s="493">
        <v>27337</v>
      </c>
      <c r="E22" s="816">
        <v>9267.6</v>
      </c>
      <c r="F22" s="807">
        <f t="shared" si="0"/>
        <v>33.90130592237627</v>
      </c>
      <c r="G22" s="531" t="s">
        <v>458</v>
      </c>
      <c r="H22" s="804" t="s">
        <v>296</v>
      </c>
    </row>
    <row r="23" spans="1:8" ht="24.75" customHeight="1">
      <c r="A23" s="74" t="s">
        <v>526</v>
      </c>
      <c r="B23" s="76">
        <v>80110</v>
      </c>
      <c r="C23" s="811" t="s">
        <v>1061</v>
      </c>
      <c r="D23" s="493">
        <v>170969</v>
      </c>
      <c r="E23" s="816">
        <v>95643.2</v>
      </c>
      <c r="F23" s="807">
        <f t="shared" si="0"/>
        <v>55.94183740912095</v>
      </c>
      <c r="G23" s="531" t="s">
        <v>452</v>
      </c>
      <c r="H23" s="804" t="s">
        <v>296</v>
      </c>
    </row>
    <row r="24" spans="1:8" ht="24.75" customHeight="1">
      <c r="A24" s="74" t="s">
        <v>527</v>
      </c>
      <c r="B24" s="71">
        <v>85154</v>
      </c>
      <c r="C24" s="70" t="s">
        <v>305</v>
      </c>
      <c r="D24" s="817">
        <v>5200</v>
      </c>
      <c r="E24" s="817">
        <v>1300</v>
      </c>
      <c r="F24" s="807">
        <f>E24/D24*100</f>
        <v>25</v>
      </c>
      <c r="G24" s="531" t="s">
        <v>460</v>
      </c>
      <c r="H24" s="804" t="s">
        <v>296</v>
      </c>
    </row>
    <row r="25" spans="1:8" ht="24" customHeight="1">
      <c r="A25" s="74" t="s">
        <v>429</v>
      </c>
      <c r="B25" s="76">
        <v>92109</v>
      </c>
      <c r="C25" s="811" t="s">
        <v>251</v>
      </c>
      <c r="D25" s="493">
        <v>1277900</v>
      </c>
      <c r="E25" s="493">
        <v>657900</v>
      </c>
      <c r="F25" s="807">
        <f t="shared" si="0"/>
        <v>51.482901635495736</v>
      </c>
      <c r="G25" s="531" t="s">
        <v>459</v>
      </c>
      <c r="H25" s="804" t="s">
        <v>298</v>
      </c>
    </row>
    <row r="26" spans="1:7" ht="24.75" customHeight="1">
      <c r="A26" s="74" t="s">
        <v>431</v>
      </c>
      <c r="B26" s="76">
        <v>92116</v>
      </c>
      <c r="C26" s="811" t="s">
        <v>11</v>
      </c>
      <c r="D26" s="493">
        <f>SUM(9W!D370)</f>
        <v>1075000</v>
      </c>
      <c r="E26" s="493">
        <f>SUM(9W!E370)</f>
        <v>630000</v>
      </c>
      <c r="F26" s="807">
        <f t="shared" si="0"/>
        <v>58.6046511627907</v>
      </c>
      <c r="G26" s="531" t="s">
        <v>459</v>
      </c>
    </row>
    <row r="27" spans="1:7" ht="24.75" customHeight="1">
      <c r="A27" s="74" t="s">
        <v>528</v>
      </c>
      <c r="B27" s="76">
        <v>92118</v>
      </c>
      <c r="C27" s="811" t="s">
        <v>12</v>
      </c>
      <c r="D27" s="493">
        <f>SUM(9W!D374)</f>
        <v>381000</v>
      </c>
      <c r="E27" s="493">
        <f>SUM(9W!E374)</f>
        <v>200000</v>
      </c>
      <c r="F27" s="807">
        <f t="shared" si="0"/>
        <v>52.493438320209975</v>
      </c>
      <c r="G27" s="531" t="s">
        <v>459</v>
      </c>
    </row>
    <row r="28" spans="1:6" ht="18" customHeight="1">
      <c r="A28" s="1581" t="s">
        <v>1048</v>
      </c>
      <c r="B28" s="1582"/>
      <c r="C28" s="1583"/>
      <c r="D28" s="820">
        <f>SUM(D29,D30,D33,D34,D35,D36,D37,D38,D39,D40,D41,D42,D43,D44)</f>
        <v>5108532</v>
      </c>
      <c r="E28" s="820">
        <f>SUM(E29,E30,E33,E34,E35,E36,E37,E38,E39,E40,E41,E42,E43,E44)</f>
        <v>2464813.74</v>
      </c>
      <c r="F28" s="821">
        <f t="shared" si="0"/>
        <v>48.248963498711575</v>
      </c>
    </row>
    <row r="29" spans="1:9" ht="30" customHeight="1">
      <c r="A29" s="74" t="s">
        <v>341</v>
      </c>
      <c r="B29" s="76">
        <v>80120</v>
      </c>
      <c r="C29" s="75" t="s">
        <v>1115</v>
      </c>
      <c r="D29" s="493">
        <v>208719</v>
      </c>
      <c r="E29" s="816">
        <v>78725.85</v>
      </c>
      <c r="F29" s="807">
        <f t="shared" si="0"/>
        <v>37.718583358486775</v>
      </c>
      <c r="G29" s="531" t="s">
        <v>458</v>
      </c>
      <c r="H29" s="804" t="s">
        <v>296</v>
      </c>
      <c r="I29" s="532">
        <f>SUM(E29,E30,E33,E34,E35,E36,E37)</f>
        <v>450284.31</v>
      </c>
    </row>
    <row r="30" spans="1:8" ht="28.5" customHeight="1" thickBot="1">
      <c r="A30" s="67" t="s">
        <v>342</v>
      </c>
      <c r="B30" s="68">
        <v>80120</v>
      </c>
      <c r="C30" s="813" t="s">
        <v>1113</v>
      </c>
      <c r="D30" s="814">
        <v>250463</v>
      </c>
      <c r="E30" s="826">
        <v>126282.69</v>
      </c>
      <c r="F30" s="815">
        <f t="shared" si="0"/>
        <v>50.41969871797431</v>
      </c>
      <c r="G30" s="531" t="s">
        <v>458</v>
      </c>
      <c r="H30" s="804" t="s">
        <v>296</v>
      </c>
    </row>
    <row r="31" spans="1:8" s="485" customFormat="1" ht="13.5" customHeight="1">
      <c r="A31" s="484"/>
      <c r="B31" s="484"/>
      <c r="D31" s="536"/>
      <c r="E31" s="536"/>
      <c r="F31" s="823"/>
      <c r="G31" s="824"/>
      <c r="H31" s="825"/>
    </row>
    <row r="32" spans="1:8" s="1102" customFormat="1" ht="10.5" customHeight="1">
      <c r="A32" s="1272">
        <v>1</v>
      </c>
      <c r="B32" s="1273">
        <v>2</v>
      </c>
      <c r="C32" s="1273">
        <v>3</v>
      </c>
      <c r="D32" s="1273">
        <v>4</v>
      </c>
      <c r="E32" s="1274">
        <v>5</v>
      </c>
      <c r="F32" s="1275">
        <v>6</v>
      </c>
      <c r="G32" s="774"/>
      <c r="H32" s="1101"/>
    </row>
    <row r="33" spans="1:8" ht="30" customHeight="1">
      <c r="A33" s="74" t="s">
        <v>419</v>
      </c>
      <c r="B33" s="76">
        <v>80120</v>
      </c>
      <c r="C33" s="75" t="s">
        <v>730</v>
      </c>
      <c r="D33" s="493">
        <v>90643</v>
      </c>
      <c r="E33" s="816">
        <v>42415.56</v>
      </c>
      <c r="F33" s="807">
        <f t="shared" si="0"/>
        <v>46.79408227883013</v>
      </c>
      <c r="G33" s="531" t="s">
        <v>458</v>
      </c>
      <c r="H33" s="804" t="s">
        <v>296</v>
      </c>
    </row>
    <row r="34" spans="1:8" ht="30" customHeight="1">
      <c r="A34" s="69" t="s">
        <v>426</v>
      </c>
      <c r="B34" s="71">
        <v>80120</v>
      </c>
      <c r="C34" s="70" t="s">
        <v>1062</v>
      </c>
      <c r="D34" s="817">
        <v>202756</v>
      </c>
      <c r="E34" s="818">
        <v>105074.91</v>
      </c>
      <c r="F34" s="819">
        <f t="shared" si="0"/>
        <v>51.823329519225084</v>
      </c>
      <c r="G34" s="531" t="s">
        <v>458</v>
      </c>
      <c r="H34" s="804" t="s">
        <v>296</v>
      </c>
    </row>
    <row r="35" spans="1:8" ht="30" customHeight="1">
      <c r="A35" s="74" t="s">
        <v>427</v>
      </c>
      <c r="B35" s="76">
        <v>80120</v>
      </c>
      <c r="C35" s="75" t="s">
        <v>1114</v>
      </c>
      <c r="D35" s="493">
        <v>116460</v>
      </c>
      <c r="E35" s="816">
        <v>49949.9</v>
      </c>
      <c r="F35" s="807">
        <f t="shared" si="0"/>
        <v>42.89017688476731</v>
      </c>
      <c r="G35" s="531" t="s">
        <v>458</v>
      </c>
      <c r="H35" s="804" t="s">
        <v>296</v>
      </c>
    </row>
    <row r="36" spans="1:8" ht="30" customHeight="1">
      <c r="A36" s="74" t="s">
        <v>428</v>
      </c>
      <c r="B36" s="76">
        <v>80120</v>
      </c>
      <c r="C36" s="75" t="s">
        <v>731</v>
      </c>
      <c r="D36" s="493">
        <v>50466</v>
      </c>
      <c r="E36" s="816">
        <v>22834.24</v>
      </c>
      <c r="F36" s="807">
        <f t="shared" si="0"/>
        <v>45.24678001030397</v>
      </c>
      <c r="G36" s="531" t="s">
        <v>458</v>
      </c>
      <c r="H36" s="804" t="s">
        <v>296</v>
      </c>
    </row>
    <row r="37" spans="1:8" ht="30" customHeight="1">
      <c r="A37" s="74" t="s">
        <v>526</v>
      </c>
      <c r="B37" s="76">
        <v>80120</v>
      </c>
      <c r="C37" s="75" t="s">
        <v>732</v>
      </c>
      <c r="D37" s="493">
        <v>48137</v>
      </c>
      <c r="E37" s="816">
        <v>25001.16</v>
      </c>
      <c r="F37" s="807">
        <f t="shared" si="0"/>
        <v>51.93751168539793</v>
      </c>
      <c r="G37" s="531" t="s">
        <v>458</v>
      </c>
      <c r="H37" s="804" t="s">
        <v>296</v>
      </c>
    </row>
    <row r="38" spans="1:8" ht="30" customHeight="1">
      <c r="A38" s="74" t="s">
        <v>527</v>
      </c>
      <c r="B38" s="76">
        <v>80130</v>
      </c>
      <c r="C38" s="75" t="s">
        <v>1110</v>
      </c>
      <c r="D38" s="493">
        <v>36501</v>
      </c>
      <c r="E38" s="816">
        <v>6353.52</v>
      </c>
      <c r="F38" s="807">
        <f>E38/D38*100</f>
        <v>17.406427221172024</v>
      </c>
      <c r="G38" s="531" t="s">
        <v>458</v>
      </c>
      <c r="H38" s="804" t="s">
        <v>296</v>
      </c>
    </row>
    <row r="39" spans="1:9" ht="30" customHeight="1">
      <c r="A39" s="74" t="s">
        <v>429</v>
      </c>
      <c r="B39" s="76">
        <v>80130</v>
      </c>
      <c r="C39" s="75" t="s">
        <v>1096</v>
      </c>
      <c r="D39" s="493">
        <v>580002</v>
      </c>
      <c r="E39" s="816">
        <v>266411.61</v>
      </c>
      <c r="F39" s="807">
        <f t="shared" si="0"/>
        <v>45.93287781766269</v>
      </c>
      <c r="G39" s="531" t="s">
        <v>452</v>
      </c>
      <c r="H39" s="804" t="s">
        <v>296</v>
      </c>
      <c r="I39" s="532">
        <f>SUM(E39,E40)</f>
        <v>432552.91</v>
      </c>
    </row>
    <row r="40" spans="1:8" ht="30" customHeight="1">
      <c r="A40" s="74" t="s">
        <v>431</v>
      </c>
      <c r="B40" s="76">
        <v>80130</v>
      </c>
      <c r="C40" s="75" t="s">
        <v>1109</v>
      </c>
      <c r="D40" s="493">
        <v>349088</v>
      </c>
      <c r="E40" s="816">
        <v>166141.3</v>
      </c>
      <c r="F40" s="807">
        <f t="shared" si="0"/>
        <v>47.592956503804196</v>
      </c>
      <c r="G40" s="531" t="s">
        <v>452</v>
      </c>
      <c r="H40" s="804" t="s">
        <v>296</v>
      </c>
    </row>
    <row r="41" spans="1:8" ht="30" customHeight="1">
      <c r="A41" s="69" t="s">
        <v>528</v>
      </c>
      <c r="B41" s="71">
        <v>85111</v>
      </c>
      <c r="C41" s="70" t="s">
        <v>306</v>
      </c>
      <c r="D41" s="817">
        <f>SUM(9W!D534)</f>
        <v>2360000</v>
      </c>
      <c r="E41" s="817">
        <f>SUM(9W!E534)</f>
        <v>1163831</v>
      </c>
      <c r="F41" s="819">
        <f t="shared" si="0"/>
        <v>49.31487288135593</v>
      </c>
      <c r="G41" s="531" t="s">
        <v>460</v>
      </c>
      <c r="H41" s="65"/>
    </row>
    <row r="42" spans="1:7" ht="30" customHeight="1">
      <c r="A42" s="74" t="s">
        <v>432</v>
      </c>
      <c r="B42" s="76">
        <v>85117</v>
      </c>
      <c r="C42" s="75" t="s">
        <v>1078</v>
      </c>
      <c r="D42" s="493">
        <f>SUM(9W!D541)</f>
        <v>114400</v>
      </c>
      <c r="E42" s="493">
        <f>SUM(9W!E541)</f>
        <v>50000</v>
      </c>
      <c r="F42" s="807">
        <f t="shared" si="0"/>
        <v>43.70629370629371</v>
      </c>
      <c r="G42" s="531" t="s">
        <v>460</v>
      </c>
    </row>
    <row r="43" spans="1:7" ht="30" customHeight="1">
      <c r="A43" s="74" t="s">
        <v>433</v>
      </c>
      <c r="B43" s="827">
        <v>85311</v>
      </c>
      <c r="C43" s="828" t="s">
        <v>456</v>
      </c>
      <c r="D43" s="829">
        <f>SUM(9W!D582)</f>
        <v>33535</v>
      </c>
      <c r="E43" s="829">
        <f>SUM(9W!E582)</f>
        <v>0</v>
      </c>
      <c r="F43" s="819">
        <f>E43/D43*100</f>
        <v>0</v>
      </c>
      <c r="G43" s="531" t="s">
        <v>451</v>
      </c>
    </row>
    <row r="44" spans="1:7" ht="39.75" customHeight="1" thickBot="1">
      <c r="A44" s="517" t="s">
        <v>529</v>
      </c>
      <c r="B44" s="808">
        <v>85419</v>
      </c>
      <c r="C44" s="809" t="s">
        <v>871</v>
      </c>
      <c r="D44" s="519">
        <f>SUM(9W!D636)</f>
        <v>667362</v>
      </c>
      <c r="E44" s="519">
        <f>SUM(9W!E636)</f>
        <v>361792</v>
      </c>
      <c r="F44" s="810">
        <f t="shared" si="0"/>
        <v>54.21225661634915</v>
      </c>
      <c r="G44" s="531" t="s">
        <v>458</v>
      </c>
    </row>
    <row r="45" spans="1:6" ht="18.75" customHeight="1" thickBot="1" thickTop="1">
      <c r="A45" s="1563" t="s">
        <v>1049</v>
      </c>
      <c r="B45" s="1564"/>
      <c r="C45" s="1565"/>
      <c r="D45" s="839">
        <f>SUM(D16,D28)</f>
        <v>13739387</v>
      </c>
      <c r="E45" s="839">
        <f>SUM(E16,E28)</f>
        <v>6901865.24</v>
      </c>
      <c r="F45" s="840">
        <f t="shared" si="0"/>
        <v>50.23415702607402</v>
      </c>
    </row>
    <row r="46" ht="30" customHeight="1"/>
    <row r="47" spans="1:6" ht="39" customHeight="1" thickBot="1">
      <c r="A47" s="1557" t="s">
        <v>295</v>
      </c>
      <c r="B47" s="1557"/>
      <c r="C47" s="1557"/>
      <c r="D47" s="1557"/>
      <c r="E47" s="1557"/>
      <c r="F47" s="1557"/>
    </row>
    <row r="48" spans="1:8" s="511" customFormat="1" ht="20.25" customHeight="1">
      <c r="A48" s="871" t="s">
        <v>338</v>
      </c>
      <c r="B48" s="872" t="s">
        <v>68</v>
      </c>
      <c r="C48" s="872" t="s">
        <v>1063</v>
      </c>
      <c r="D48" s="1190" t="s">
        <v>70</v>
      </c>
      <c r="E48" s="1271" t="s">
        <v>71</v>
      </c>
      <c r="F48" s="1191" t="s">
        <v>653</v>
      </c>
      <c r="G48" s="486"/>
      <c r="H48" s="844"/>
    </row>
    <row r="49" spans="1:8" s="1102" customFormat="1" ht="9.75" customHeight="1">
      <c r="A49" s="1272">
        <v>1</v>
      </c>
      <c r="B49" s="1273">
        <v>2</v>
      </c>
      <c r="C49" s="1273">
        <v>3</v>
      </c>
      <c r="D49" s="1273">
        <v>4</v>
      </c>
      <c r="E49" s="1274">
        <v>5</v>
      </c>
      <c r="F49" s="1275">
        <v>6</v>
      </c>
      <c r="G49" s="774"/>
      <c r="H49" s="1101"/>
    </row>
    <row r="50" spans="1:6" ht="15.75" customHeight="1">
      <c r="A50" s="1560" t="s">
        <v>1047</v>
      </c>
      <c r="B50" s="1561"/>
      <c r="C50" s="1562"/>
      <c r="D50" s="495">
        <f>SUM(D51,D52,D53,D54,D55,D56,D59,D60,D61,D62,D63)</f>
        <v>1864216</v>
      </c>
      <c r="E50" s="495">
        <f>SUM(E51,E52,E53,E54,E55,E56,E59,E60,E61,E62,E63)</f>
        <v>918194</v>
      </c>
      <c r="F50" s="806">
        <f>E50/D50*100</f>
        <v>49.253627262076925</v>
      </c>
    </row>
    <row r="51" spans="1:7" ht="24" customHeight="1">
      <c r="A51" s="74" t="s">
        <v>341</v>
      </c>
      <c r="B51" s="76">
        <v>75095</v>
      </c>
      <c r="C51" s="811" t="s">
        <v>569</v>
      </c>
      <c r="D51" s="493">
        <f>SUM(9W!D107)</f>
        <v>6255</v>
      </c>
      <c r="E51" s="493">
        <f>SUM(9W!E107)</f>
        <v>3120</v>
      </c>
      <c r="F51" s="807">
        <f aca="true" t="shared" si="1" ref="F51:F68">E51/D51*100</f>
        <v>49.88009592326139</v>
      </c>
      <c r="G51" s="531" t="s">
        <v>446</v>
      </c>
    </row>
    <row r="52" spans="1:7" ht="24" customHeight="1">
      <c r="A52" s="74" t="s">
        <v>342</v>
      </c>
      <c r="B52" s="76">
        <v>80113</v>
      </c>
      <c r="C52" s="811" t="s">
        <v>328</v>
      </c>
      <c r="D52" s="493">
        <f>SUM(9W!D191)</f>
        <v>10000</v>
      </c>
      <c r="E52" s="493">
        <f>SUM(9W!E191)</f>
        <v>6000</v>
      </c>
      <c r="F52" s="807">
        <f t="shared" si="1"/>
        <v>60</v>
      </c>
      <c r="G52" s="531" t="s">
        <v>446</v>
      </c>
    </row>
    <row r="53" spans="1:7" ht="24" customHeight="1">
      <c r="A53" s="74" t="s">
        <v>419</v>
      </c>
      <c r="B53" s="76">
        <v>80195</v>
      </c>
      <c r="C53" s="811" t="s">
        <v>252</v>
      </c>
      <c r="D53" s="493">
        <f>SUM(9W!D206)</f>
        <v>20000</v>
      </c>
      <c r="E53" s="493">
        <f>SUM(9W!E206)</f>
        <v>0</v>
      </c>
      <c r="F53" s="807">
        <f t="shared" si="1"/>
        <v>0</v>
      </c>
      <c r="G53" s="531" t="s">
        <v>446</v>
      </c>
    </row>
    <row r="54" spans="1:7" ht="42" customHeight="1">
      <c r="A54" s="74" t="s">
        <v>426</v>
      </c>
      <c r="B54" s="76">
        <v>85152</v>
      </c>
      <c r="C54" s="75" t="s">
        <v>1076</v>
      </c>
      <c r="D54" s="493">
        <f>SUM(9W!D224)</f>
        <v>9000</v>
      </c>
      <c r="E54" s="493">
        <f>SUM(9W!E224)</f>
        <v>9000</v>
      </c>
      <c r="F54" s="807">
        <f t="shared" si="1"/>
        <v>100</v>
      </c>
      <c r="G54" s="531" t="s">
        <v>446</v>
      </c>
    </row>
    <row r="55" spans="1:7" ht="30" customHeight="1">
      <c r="A55" s="74" t="s">
        <v>427</v>
      </c>
      <c r="B55" s="71">
        <v>85153</v>
      </c>
      <c r="C55" s="70" t="s">
        <v>1075</v>
      </c>
      <c r="D55" s="817">
        <f>SUM(9W!D230)</f>
        <v>18450</v>
      </c>
      <c r="E55" s="817">
        <f>SUM(9W!E230)</f>
        <v>9102</v>
      </c>
      <c r="F55" s="819">
        <f t="shared" si="1"/>
        <v>49.333333333333336</v>
      </c>
      <c r="G55" s="531" t="s">
        <v>446</v>
      </c>
    </row>
    <row r="56" spans="1:7" ht="24.75" customHeight="1" thickBot="1">
      <c r="A56" s="833" t="s">
        <v>428</v>
      </c>
      <c r="B56" s="68">
        <v>85154</v>
      </c>
      <c r="C56" s="813" t="s">
        <v>1065</v>
      </c>
      <c r="D56" s="814">
        <v>86138</v>
      </c>
      <c r="E56" s="814">
        <v>26200</v>
      </c>
      <c r="F56" s="815">
        <f t="shared" si="1"/>
        <v>30.416308713924167</v>
      </c>
      <c r="G56" s="531" t="s">
        <v>448</v>
      </c>
    </row>
    <row r="57" spans="1:8" s="485" customFormat="1" ht="43.5" customHeight="1" thickBot="1">
      <c r="A57" s="484"/>
      <c r="B57" s="484"/>
      <c r="D57" s="536"/>
      <c r="E57" s="536"/>
      <c r="F57" s="823"/>
      <c r="G57" s="824"/>
      <c r="H57" s="825"/>
    </row>
    <row r="58" spans="1:8" s="1102" customFormat="1" ht="9.75" customHeight="1">
      <c r="A58" s="1276">
        <v>1</v>
      </c>
      <c r="B58" s="1277">
        <v>2</v>
      </c>
      <c r="C58" s="1277">
        <v>3</v>
      </c>
      <c r="D58" s="1277">
        <v>4</v>
      </c>
      <c r="E58" s="1278">
        <v>5</v>
      </c>
      <c r="F58" s="1279">
        <v>6</v>
      </c>
      <c r="G58" s="774"/>
      <c r="H58" s="1101"/>
    </row>
    <row r="59" spans="1:7" ht="24" customHeight="1">
      <c r="A59" s="69" t="s">
        <v>526</v>
      </c>
      <c r="B59" s="76">
        <v>85195</v>
      </c>
      <c r="C59" s="75" t="s">
        <v>733</v>
      </c>
      <c r="D59" s="493">
        <f>SUM(9W!D244)</f>
        <v>20000</v>
      </c>
      <c r="E59" s="493">
        <f>SUM(9W!E244)</f>
        <v>0</v>
      </c>
      <c r="F59" s="807">
        <f t="shared" si="1"/>
        <v>0</v>
      </c>
      <c r="G59" s="531" t="s">
        <v>447</v>
      </c>
    </row>
    <row r="60" spans="1:7" ht="24" customHeight="1">
      <c r="A60" s="69" t="s">
        <v>527</v>
      </c>
      <c r="B60" s="508">
        <v>85203</v>
      </c>
      <c r="C60" s="830" t="s">
        <v>987</v>
      </c>
      <c r="D60" s="509">
        <f>SUM(9W!D258)</f>
        <v>142000</v>
      </c>
      <c r="E60" s="509">
        <f>SUM(9W!E258)</f>
        <v>63900</v>
      </c>
      <c r="F60" s="807">
        <f t="shared" si="1"/>
        <v>45</v>
      </c>
      <c r="G60" s="531" t="s">
        <v>446</v>
      </c>
    </row>
    <row r="61" spans="1:7" ht="24" customHeight="1">
      <c r="A61" s="69" t="s">
        <v>429</v>
      </c>
      <c r="B61" s="71">
        <v>85395</v>
      </c>
      <c r="C61" s="822" t="s">
        <v>1066</v>
      </c>
      <c r="D61" s="817">
        <f>SUM(9W!D311)</f>
        <v>500000</v>
      </c>
      <c r="E61" s="817">
        <f>SUM(9W!E311)</f>
        <v>249992</v>
      </c>
      <c r="F61" s="819">
        <f t="shared" si="1"/>
        <v>49.9984</v>
      </c>
      <c r="G61" s="531" t="s">
        <v>448</v>
      </c>
    </row>
    <row r="62" spans="1:7" ht="24" customHeight="1">
      <c r="A62" s="69" t="s">
        <v>431</v>
      </c>
      <c r="B62" s="76">
        <v>92195</v>
      </c>
      <c r="C62" s="75" t="s">
        <v>820</v>
      </c>
      <c r="D62" s="493">
        <f>SUM(9W!D387)</f>
        <v>57373</v>
      </c>
      <c r="E62" s="493">
        <f>SUM(9W!E387)</f>
        <v>13880</v>
      </c>
      <c r="F62" s="807">
        <f t="shared" si="1"/>
        <v>24.19256444669095</v>
      </c>
      <c r="G62" s="531" t="s">
        <v>446</v>
      </c>
    </row>
    <row r="63" spans="1:8" ht="24" customHeight="1">
      <c r="A63" s="69" t="s">
        <v>528</v>
      </c>
      <c r="B63" s="76">
        <v>92605</v>
      </c>
      <c r="C63" s="811" t="s">
        <v>248</v>
      </c>
      <c r="D63" s="493">
        <v>995000</v>
      </c>
      <c r="E63" s="493">
        <v>537000</v>
      </c>
      <c r="F63" s="807">
        <f t="shared" si="1"/>
        <v>53.96984924623116</v>
      </c>
      <c r="G63" s="531" t="s">
        <v>446</v>
      </c>
      <c r="H63" s="804" t="s">
        <v>296</v>
      </c>
    </row>
    <row r="64" spans="1:6" ht="17.25" customHeight="1">
      <c r="A64" s="1560" t="s">
        <v>1048</v>
      </c>
      <c r="B64" s="1561"/>
      <c r="C64" s="1562"/>
      <c r="D64" s="495">
        <f>SUM(D65,D66,D67)</f>
        <v>891755</v>
      </c>
      <c r="E64" s="495">
        <f>SUM(E65,E66,E67)</f>
        <v>434176.74</v>
      </c>
      <c r="F64" s="806">
        <f t="shared" si="1"/>
        <v>48.68789521785692</v>
      </c>
    </row>
    <row r="65" spans="1:7" ht="30" customHeight="1">
      <c r="A65" s="74" t="s">
        <v>341</v>
      </c>
      <c r="B65" s="76">
        <v>85201</v>
      </c>
      <c r="C65" s="75" t="s">
        <v>1077</v>
      </c>
      <c r="D65" s="493">
        <f>SUM(9W!D551)</f>
        <v>793186</v>
      </c>
      <c r="E65" s="493">
        <f>SUM(9W!E551)</f>
        <v>392841.87</v>
      </c>
      <c r="F65" s="807">
        <f t="shared" si="1"/>
        <v>49.527080659517445</v>
      </c>
      <c r="G65" s="531" t="s">
        <v>450</v>
      </c>
    </row>
    <row r="66" spans="1:7" ht="24" customHeight="1">
      <c r="A66" s="74" t="s">
        <v>342</v>
      </c>
      <c r="B66" s="508">
        <v>85204</v>
      </c>
      <c r="C66" s="830" t="s">
        <v>988</v>
      </c>
      <c r="D66" s="509">
        <f>SUM(9W!D567)</f>
        <v>67569</v>
      </c>
      <c r="E66" s="509">
        <f>SUM(9W!E567)</f>
        <v>25836.87</v>
      </c>
      <c r="F66" s="807">
        <f>E66/D66*100</f>
        <v>38.237756959552456</v>
      </c>
      <c r="G66" s="531" t="s">
        <v>450</v>
      </c>
    </row>
    <row r="67" spans="1:7" ht="24.75" customHeight="1" thickBot="1">
      <c r="A67" s="517" t="s">
        <v>419</v>
      </c>
      <c r="B67" s="831">
        <v>85321</v>
      </c>
      <c r="C67" s="832" t="s">
        <v>823</v>
      </c>
      <c r="D67" s="526">
        <f>SUM(9W!D586)</f>
        <v>31000</v>
      </c>
      <c r="E67" s="526">
        <f>SUM(9W!E586)</f>
        <v>15498</v>
      </c>
      <c r="F67" s="810">
        <f>E67/D67*100</f>
        <v>49.99354838709677</v>
      </c>
      <c r="G67" s="531" t="s">
        <v>450</v>
      </c>
    </row>
    <row r="68" spans="1:6" ht="18" customHeight="1" thickBot="1" thickTop="1">
      <c r="A68" s="1563" t="s">
        <v>1049</v>
      </c>
      <c r="B68" s="1564"/>
      <c r="C68" s="1565"/>
      <c r="D68" s="839">
        <f>SUM(D50,D64)</f>
        <v>2755971</v>
      </c>
      <c r="E68" s="839">
        <f>SUM(E50,E64)</f>
        <v>1352370.74</v>
      </c>
      <c r="F68" s="840">
        <f t="shared" si="1"/>
        <v>49.070572223002344</v>
      </c>
    </row>
    <row r="69" ht="33" customHeight="1"/>
    <row r="70" spans="1:6" ht="15" customHeight="1" thickBot="1">
      <c r="A70" s="1575" t="s">
        <v>302</v>
      </c>
      <c r="B70" s="1575"/>
      <c r="C70" s="1575"/>
      <c r="D70" s="1575"/>
      <c r="E70" s="1575"/>
      <c r="F70" s="1575"/>
    </row>
    <row r="71" spans="1:6" ht="12" customHeight="1">
      <c r="A71" s="871" t="s">
        <v>338</v>
      </c>
      <c r="B71" s="872" t="s">
        <v>68</v>
      </c>
      <c r="C71" s="1138" t="s">
        <v>250</v>
      </c>
      <c r="D71" s="1190" t="s">
        <v>70</v>
      </c>
      <c r="E71" s="1271" t="s">
        <v>71</v>
      </c>
      <c r="F71" s="1191" t="s">
        <v>72</v>
      </c>
    </row>
    <row r="72" spans="1:6" ht="12" customHeight="1">
      <c r="A72" s="1272">
        <v>1</v>
      </c>
      <c r="B72" s="1273">
        <v>2</v>
      </c>
      <c r="C72" s="1273">
        <v>3</v>
      </c>
      <c r="D72" s="1273">
        <v>4</v>
      </c>
      <c r="E72" s="1274">
        <v>5</v>
      </c>
      <c r="F72" s="1275">
        <v>6</v>
      </c>
    </row>
    <row r="73" spans="1:6" ht="18" customHeight="1">
      <c r="A73" s="1560" t="s">
        <v>1048</v>
      </c>
      <c r="B73" s="1561"/>
      <c r="C73" s="1562"/>
      <c r="D73" s="495">
        <f>SUM(D74)</f>
        <v>132640</v>
      </c>
      <c r="E73" s="495">
        <f>SUM(E74)</f>
        <v>132640</v>
      </c>
      <c r="F73" s="806">
        <f>E73/D73*100</f>
        <v>100</v>
      </c>
    </row>
    <row r="74" spans="1:7" ht="24" customHeight="1">
      <c r="A74" s="74" t="s">
        <v>341</v>
      </c>
      <c r="B74" s="76">
        <v>75405</v>
      </c>
      <c r="C74" s="75" t="s">
        <v>303</v>
      </c>
      <c r="D74" s="493">
        <f>SUM(9W!D461)</f>
        <v>132640</v>
      </c>
      <c r="E74" s="493">
        <f>SUM(9W!E461)</f>
        <v>132640</v>
      </c>
      <c r="F74" s="807">
        <f>E74/D74*100</f>
        <v>100</v>
      </c>
      <c r="G74" s="531" t="s">
        <v>304</v>
      </c>
    </row>
    <row r="75" spans="1:6" ht="17.25" customHeight="1" thickBot="1">
      <c r="A75" s="1563" t="s">
        <v>1050</v>
      </c>
      <c r="B75" s="1564"/>
      <c r="C75" s="1565"/>
      <c r="D75" s="839">
        <f>SUM(D73)</f>
        <v>132640</v>
      </c>
      <c r="E75" s="839">
        <f>SUM(E73)</f>
        <v>132640</v>
      </c>
      <c r="F75" s="840">
        <f>E75/D75*100</f>
        <v>100</v>
      </c>
    </row>
    <row r="76" ht="23.25" customHeight="1"/>
    <row r="77" spans="1:7" ht="27.75" customHeight="1" thickBot="1">
      <c r="A77" s="1557" t="s">
        <v>301</v>
      </c>
      <c r="B77" s="1557"/>
      <c r="C77" s="1557"/>
      <c r="D77" s="1557"/>
      <c r="E77" s="1557"/>
      <c r="F77" s="1557"/>
      <c r="G77" s="824"/>
    </row>
    <row r="78" spans="1:6" ht="20.25" customHeight="1">
      <c r="A78" s="871" t="s">
        <v>338</v>
      </c>
      <c r="B78" s="872" t="s">
        <v>68</v>
      </c>
      <c r="C78" s="1138" t="s">
        <v>250</v>
      </c>
      <c r="D78" s="1190" t="s">
        <v>70</v>
      </c>
      <c r="E78" s="1271" t="s">
        <v>71</v>
      </c>
      <c r="F78" s="1191" t="s">
        <v>72</v>
      </c>
    </row>
    <row r="79" spans="1:8" s="1102" customFormat="1" ht="10.5" customHeight="1">
      <c r="A79" s="1272">
        <v>1</v>
      </c>
      <c r="B79" s="1273">
        <v>2</v>
      </c>
      <c r="C79" s="1273">
        <v>3</v>
      </c>
      <c r="D79" s="1273">
        <v>4</v>
      </c>
      <c r="E79" s="1274">
        <v>5</v>
      </c>
      <c r="F79" s="1275">
        <v>6</v>
      </c>
      <c r="G79" s="774"/>
      <c r="H79" s="1101"/>
    </row>
    <row r="80" spans="1:6" ht="18.75" customHeight="1">
      <c r="A80" s="1560" t="s">
        <v>1047</v>
      </c>
      <c r="B80" s="1561"/>
      <c r="C80" s="1562"/>
      <c r="D80" s="495">
        <f>SUM(D81,D82,D83,D84,D85,D86)</f>
        <v>2120256</v>
      </c>
      <c r="E80" s="495">
        <f>SUM(E81,E82,E83,E84,E85,E86)</f>
        <v>1476303.0899999999</v>
      </c>
      <c r="F80" s="806">
        <f>E80/D80*100</f>
        <v>69.62853023408493</v>
      </c>
    </row>
    <row r="81" spans="1:7" ht="24" customHeight="1">
      <c r="A81" s="74" t="s">
        <v>341</v>
      </c>
      <c r="B81" s="76">
        <v>70001</v>
      </c>
      <c r="C81" s="75" t="s">
        <v>416</v>
      </c>
      <c r="D81" s="493">
        <f>SUM(9W!D66)</f>
        <v>700000</v>
      </c>
      <c r="E81" s="493">
        <f>SUM(9W!E66)</f>
        <v>100000</v>
      </c>
      <c r="F81" s="807">
        <f aca="true" t="shared" si="2" ref="F81:F89">E81/D81*100</f>
        <v>14.285714285714285</v>
      </c>
      <c r="G81" s="531" t="s">
        <v>461</v>
      </c>
    </row>
    <row r="82" spans="1:7" ht="24" customHeight="1">
      <c r="A82" s="74" t="s">
        <v>342</v>
      </c>
      <c r="B82" s="76">
        <v>80104</v>
      </c>
      <c r="C82" s="75" t="s">
        <v>10</v>
      </c>
      <c r="D82" s="493">
        <f>SUM(9W!D179)</f>
        <v>83000</v>
      </c>
      <c r="E82" s="493">
        <f>SUM(9W!E179)</f>
        <v>83000</v>
      </c>
      <c r="F82" s="807">
        <f t="shared" si="2"/>
        <v>100</v>
      </c>
      <c r="G82" s="531" t="s">
        <v>461</v>
      </c>
    </row>
    <row r="83" spans="1:7" ht="24" customHeight="1">
      <c r="A83" s="74" t="s">
        <v>419</v>
      </c>
      <c r="B83" s="76">
        <v>92109</v>
      </c>
      <c r="C83" s="811" t="s">
        <v>251</v>
      </c>
      <c r="D83" s="493">
        <f>SUM(9W!D366)</f>
        <v>600000</v>
      </c>
      <c r="E83" s="493">
        <f>SUM(9W!E366)</f>
        <v>600000</v>
      </c>
      <c r="F83" s="807">
        <f t="shared" si="2"/>
        <v>100</v>
      </c>
      <c r="G83" s="531" t="s">
        <v>462</v>
      </c>
    </row>
    <row r="84" spans="1:7" ht="24" customHeight="1">
      <c r="A84" s="74" t="s">
        <v>426</v>
      </c>
      <c r="B84" s="76">
        <v>92118</v>
      </c>
      <c r="C84" s="811" t="s">
        <v>12</v>
      </c>
      <c r="D84" s="493">
        <f>SUM(9W!D377)</f>
        <v>25000</v>
      </c>
      <c r="E84" s="493">
        <f>SUM(9W!E377)</f>
        <v>25000</v>
      </c>
      <c r="F84" s="807">
        <f t="shared" si="2"/>
        <v>100</v>
      </c>
      <c r="G84" s="531" t="s">
        <v>462</v>
      </c>
    </row>
    <row r="85" spans="1:7" ht="24" customHeight="1">
      <c r="A85" s="74" t="s">
        <v>427</v>
      </c>
      <c r="B85" s="76">
        <v>92195</v>
      </c>
      <c r="C85" s="811" t="s">
        <v>824</v>
      </c>
      <c r="D85" s="493">
        <f>SUM(9W!D390)</f>
        <v>117500</v>
      </c>
      <c r="E85" s="493">
        <f>SUM(9W!E390)</f>
        <v>73547.09</v>
      </c>
      <c r="F85" s="807">
        <f t="shared" si="2"/>
        <v>62.59326808510638</v>
      </c>
      <c r="G85" s="531" t="s">
        <v>463</v>
      </c>
    </row>
    <row r="86" spans="1:7" ht="24" customHeight="1">
      <c r="A86" s="74" t="s">
        <v>428</v>
      </c>
      <c r="B86" s="76">
        <v>92605</v>
      </c>
      <c r="C86" s="811" t="s">
        <v>821</v>
      </c>
      <c r="D86" s="493">
        <f>SUM(9W!D402)</f>
        <v>594756</v>
      </c>
      <c r="E86" s="493">
        <f>SUM(9W!E402)</f>
        <v>594756</v>
      </c>
      <c r="F86" s="807">
        <f t="shared" si="2"/>
        <v>100</v>
      </c>
      <c r="G86" s="531" t="s">
        <v>461</v>
      </c>
    </row>
    <row r="87" spans="1:8" s="531" customFormat="1" ht="20.25" customHeight="1">
      <c r="A87" s="1560" t="s">
        <v>1048</v>
      </c>
      <c r="B87" s="1561"/>
      <c r="C87" s="1562"/>
      <c r="D87" s="834">
        <f>SUM(D88)</f>
        <v>4050</v>
      </c>
      <c r="E87" s="834">
        <f>SUM(E88)</f>
        <v>3520</v>
      </c>
      <c r="F87" s="806">
        <f>E87/D87*100</f>
        <v>86.91358024691358</v>
      </c>
      <c r="H87" s="804"/>
    </row>
    <row r="88" spans="1:7" ht="29.25" customHeight="1" thickBot="1">
      <c r="A88" s="517" t="s">
        <v>341</v>
      </c>
      <c r="B88" s="808">
        <v>85117</v>
      </c>
      <c r="C88" s="809" t="s">
        <v>1078</v>
      </c>
      <c r="D88" s="519">
        <f>SUM(9W!D544)</f>
        <v>4050</v>
      </c>
      <c r="E88" s="519">
        <f>SUM(9W!E544)</f>
        <v>3520</v>
      </c>
      <c r="F88" s="810">
        <f>E88/D88*100</f>
        <v>86.91358024691358</v>
      </c>
      <c r="G88" s="531" t="s">
        <v>462</v>
      </c>
    </row>
    <row r="89" spans="1:8" s="531" customFormat="1" ht="18" customHeight="1" thickBot="1" thickTop="1">
      <c r="A89" s="1563" t="s">
        <v>1049</v>
      </c>
      <c r="B89" s="1564"/>
      <c r="C89" s="1565"/>
      <c r="D89" s="839">
        <f>SUM(D80,D87)</f>
        <v>2124306</v>
      </c>
      <c r="E89" s="839">
        <f>SUM(E80,E87)</f>
        <v>1479823.0899999999</v>
      </c>
      <c r="F89" s="840">
        <f t="shared" si="2"/>
        <v>69.66148426827397</v>
      </c>
      <c r="H89" s="804"/>
    </row>
    <row r="90" spans="1:8" s="486" customFormat="1" ht="18" customHeight="1" thickBot="1">
      <c r="A90" s="841"/>
      <c r="B90" s="841"/>
      <c r="C90" s="841"/>
      <c r="D90" s="842"/>
      <c r="E90" s="842"/>
      <c r="F90" s="843"/>
      <c r="H90" s="844"/>
    </row>
    <row r="91" spans="1:8" s="1102" customFormat="1" ht="18" customHeight="1">
      <c r="A91" s="1576" t="s">
        <v>1207</v>
      </c>
      <c r="B91" s="1577"/>
      <c r="C91" s="1578"/>
      <c r="D91" s="1277" t="s">
        <v>672</v>
      </c>
      <c r="E91" s="1278" t="s">
        <v>673</v>
      </c>
      <c r="F91" s="1279" t="s">
        <v>72</v>
      </c>
      <c r="G91" s="774"/>
      <c r="H91" s="1101"/>
    </row>
    <row r="92" spans="1:6" s="804" customFormat="1" ht="22.5" customHeight="1">
      <c r="A92" s="1572" t="s">
        <v>1208</v>
      </c>
      <c r="B92" s="1573"/>
      <c r="C92" s="1574"/>
      <c r="D92" s="845">
        <f>SUM(D11,D45,D68,D75)</f>
        <v>17627998</v>
      </c>
      <c r="E92" s="845">
        <f>SUM(E11,E45,E68,E75)</f>
        <v>9076875.98</v>
      </c>
      <c r="F92" s="846">
        <f>E92/D92*100</f>
        <v>51.49124693569854</v>
      </c>
    </row>
    <row r="93" spans="1:6" s="804" customFormat="1" ht="22.5" customHeight="1" thickBot="1">
      <c r="A93" s="1566" t="s">
        <v>465</v>
      </c>
      <c r="B93" s="1567"/>
      <c r="C93" s="1568"/>
      <c r="D93" s="835">
        <f>SUM(D89)</f>
        <v>2124306</v>
      </c>
      <c r="E93" s="835">
        <f>SUM(E89)</f>
        <v>1479823.0899999999</v>
      </c>
      <c r="F93" s="836">
        <f>E93/D93*100</f>
        <v>69.66148426827397</v>
      </c>
    </row>
    <row r="94" spans="1:6" s="531" customFormat="1" ht="22.5" customHeight="1" thickBot="1" thickTop="1">
      <c r="A94" s="1569" t="s">
        <v>1074</v>
      </c>
      <c r="B94" s="1570"/>
      <c r="C94" s="1571"/>
      <c r="D94" s="837">
        <f>SUM(D92,D93)</f>
        <v>19752304</v>
      </c>
      <c r="E94" s="837">
        <f>SUM(E92,E93)</f>
        <v>10556699.07</v>
      </c>
      <c r="F94" s="838">
        <f>E94/D94*100</f>
        <v>53.44540601440724</v>
      </c>
    </row>
    <row r="95" spans="1:6" s="486" customFormat="1" ht="60" customHeight="1">
      <c r="A95" s="1579" t="s">
        <v>299</v>
      </c>
      <c r="B95" s="1579"/>
      <c r="C95" s="1579"/>
      <c r="D95" s="1579"/>
      <c r="E95" s="1579"/>
      <c r="F95" s="1579"/>
    </row>
    <row r="96" spans="3:5" ht="13.5">
      <c r="C96" s="66" t="s">
        <v>300</v>
      </c>
      <c r="D96" s="532">
        <v>17627998</v>
      </c>
      <c r="E96" s="532">
        <v>9076875.82</v>
      </c>
    </row>
    <row r="97" spans="3:5" ht="13.5">
      <c r="C97" s="66" t="s">
        <v>453</v>
      </c>
      <c r="D97" s="532">
        <v>2124306</v>
      </c>
      <c r="E97" s="532">
        <v>1479823.09</v>
      </c>
    </row>
    <row r="98" spans="4:5" ht="13.5">
      <c r="D98" s="532"/>
      <c r="E98" s="532"/>
    </row>
    <row r="99" spans="3:5" ht="13.5">
      <c r="C99" s="66" t="s">
        <v>454</v>
      </c>
      <c r="D99" s="532">
        <f>D96-D92</f>
        <v>0</v>
      </c>
      <c r="E99" s="532">
        <f>E96-E92</f>
        <v>-0.1600000001490116</v>
      </c>
    </row>
    <row r="100" spans="3:5" ht="13.5">
      <c r="C100" s="66" t="s">
        <v>455</v>
      </c>
      <c r="D100" s="532">
        <f>D97-D93</f>
        <v>0</v>
      </c>
      <c r="E100" s="532">
        <f>E97-E93</f>
        <v>0</v>
      </c>
    </row>
  </sheetData>
  <sheetProtection password="CF53" sheet="1" objects="1" scenarios="1" selectLockedCells="1" selectUnlockedCells="1"/>
  <mergeCells count="25">
    <mergeCell ref="A95:F95"/>
    <mergeCell ref="A68:C68"/>
    <mergeCell ref="E1:F1"/>
    <mergeCell ref="A45:C45"/>
    <mergeCell ref="A16:C16"/>
    <mergeCell ref="A28:C28"/>
    <mergeCell ref="A8:C8"/>
    <mergeCell ref="A11:C11"/>
    <mergeCell ref="A3:F3"/>
    <mergeCell ref="A87:C87"/>
    <mergeCell ref="A93:C93"/>
    <mergeCell ref="A94:C94"/>
    <mergeCell ref="A50:C50"/>
    <mergeCell ref="A64:C64"/>
    <mergeCell ref="A92:C92"/>
    <mergeCell ref="A77:F77"/>
    <mergeCell ref="A80:C80"/>
    <mergeCell ref="A89:C89"/>
    <mergeCell ref="A70:F70"/>
    <mergeCell ref="A91:C91"/>
    <mergeCell ref="A13:F13"/>
    <mergeCell ref="A5:E5"/>
    <mergeCell ref="A73:C73"/>
    <mergeCell ref="A75:C75"/>
    <mergeCell ref="A47:F47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G13"/>
  <sheetViews>
    <sheetView view="pageBreakPreview" zoomScaleSheetLayoutView="100" workbookViewId="0" topLeftCell="A1">
      <selection activeCell="D10" sqref="D10"/>
    </sheetView>
  </sheetViews>
  <sheetFormatPr defaultColWidth="9.00390625" defaultRowHeight="12.75"/>
  <cols>
    <col min="1" max="1" width="5.375" style="65" customWidth="1"/>
    <col min="2" max="2" width="9.125" style="65" customWidth="1"/>
    <col min="3" max="3" width="10.125" style="65" customWidth="1"/>
    <col min="4" max="4" width="29.875" style="65" customWidth="1"/>
    <col min="5" max="5" width="14.00390625" style="65" customWidth="1"/>
    <col min="6" max="6" width="10.625" style="65" customWidth="1"/>
    <col min="7" max="7" width="7.375" style="65" customWidth="1"/>
    <col min="8" max="16384" width="9.125" style="65" customWidth="1"/>
  </cols>
  <sheetData>
    <row r="1" spans="5:7" ht="12.75">
      <c r="E1" s="531"/>
      <c r="F1" s="1580" t="s">
        <v>766</v>
      </c>
      <c r="G1" s="1580"/>
    </row>
    <row r="2" ht="24" customHeight="1"/>
    <row r="3" spans="1:7" ht="12.75">
      <c r="A3" s="1483" t="s">
        <v>825</v>
      </c>
      <c r="B3" s="1483"/>
      <c r="C3" s="1483"/>
      <c r="D3" s="1483"/>
      <c r="E3" s="1483"/>
      <c r="F3" s="1483"/>
      <c r="G3" s="1483"/>
    </row>
    <row r="4" spans="1:5" ht="15" customHeight="1">
      <c r="A4" s="31"/>
      <c r="B4" s="31"/>
      <c r="C4" s="31"/>
      <c r="D4" s="31"/>
      <c r="E4" s="31"/>
    </row>
    <row r="5" spans="5:7" ht="13.5" thickBot="1">
      <c r="E5" s="66"/>
      <c r="F5" s="66"/>
      <c r="G5" s="66" t="s">
        <v>67</v>
      </c>
    </row>
    <row r="6" spans="1:7" s="486" customFormat="1" ht="24" customHeight="1">
      <c r="A6" s="871" t="s">
        <v>338</v>
      </c>
      <c r="B6" s="872" t="s">
        <v>249</v>
      </c>
      <c r="C6" s="872" t="s">
        <v>68</v>
      </c>
      <c r="D6" s="872" t="s">
        <v>1051</v>
      </c>
      <c r="E6" s="872" t="s">
        <v>70</v>
      </c>
      <c r="F6" s="1280" t="s">
        <v>71</v>
      </c>
      <c r="G6" s="1281" t="s">
        <v>72</v>
      </c>
    </row>
    <row r="7" spans="1:7" s="31" customFormat="1" ht="9.75" customHeight="1">
      <c r="A7" s="488">
        <v>1</v>
      </c>
      <c r="B7" s="489">
        <v>2</v>
      </c>
      <c r="C7" s="489">
        <v>3</v>
      </c>
      <c r="D7" s="489">
        <v>4</v>
      </c>
      <c r="E7" s="489">
        <v>5</v>
      </c>
      <c r="F7" s="489">
        <v>6</v>
      </c>
      <c r="G7" s="1282">
        <v>7</v>
      </c>
    </row>
    <row r="8" spans="1:7" ht="30" customHeight="1">
      <c r="A8" s="74" t="s">
        <v>341</v>
      </c>
      <c r="B8" s="76">
        <v>750</v>
      </c>
      <c r="C8" s="76">
        <v>75095</v>
      </c>
      <c r="D8" s="811" t="s">
        <v>1052</v>
      </c>
      <c r="E8" s="493">
        <v>10000</v>
      </c>
      <c r="F8" s="493">
        <v>0</v>
      </c>
      <c r="G8" s="78">
        <f>F8/E8*100</f>
        <v>0</v>
      </c>
    </row>
    <row r="9" spans="1:7" ht="30" customHeight="1">
      <c r="A9" s="74" t="s">
        <v>342</v>
      </c>
      <c r="B9" s="76">
        <v>750</v>
      </c>
      <c r="C9" s="76">
        <v>75095</v>
      </c>
      <c r="D9" s="811" t="s">
        <v>1053</v>
      </c>
      <c r="E9" s="493">
        <v>10000</v>
      </c>
      <c r="F9" s="493">
        <v>5242</v>
      </c>
      <c r="G9" s="78">
        <f>F9/E9*100</f>
        <v>52.42</v>
      </c>
    </row>
    <row r="10" spans="1:7" ht="30" customHeight="1" thickBot="1">
      <c r="A10" s="517" t="s">
        <v>419</v>
      </c>
      <c r="B10" s="808">
        <v>750</v>
      </c>
      <c r="C10" s="808">
        <v>75095</v>
      </c>
      <c r="D10" s="873" t="s">
        <v>1054</v>
      </c>
      <c r="E10" s="519">
        <v>10000</v>
      </c>
      <c r="F10" s="519">
        <v>4573.91</v>
      </c>
      <c r="G10" s="874">
        <f>F10/E10*100</f>
        <v>45.7391</v>
      </c>
    </row>
    <row r="11" spans="1:7" ht="24" customHeight="1" thickBot="1" thickTop="1">
      <c r="A11" s="1584" t="s">
        <v>1055</v>
      </c>
      <c r="B11" s="1585"/>
      <c r="C11" s="1585"/>
      <c r="D11" s="1585"/>
      <c r="E11" s="839">
        <f>E10+E9+E8</f>
        <v>30000</v>
      </c>
      <c r="F11" s="839">
        <f>F10+F9+F8</f>
        <v>9815.91</v>
      </c>
      <c r="G11" s="913">
        <f>F11/E11*100</f>
        <v>32.7197</v>
      </c>
    </row>
    <row r="13" ht="12.75">
      <c r="A13" s="92"/>
    </row>
  </sheetData>
  <sheetProtection password="CF53" sheet="1" objects="1" scenarios="1" selectLockedCells="1" selectUnlockedCells="1"/>
  <mergeCells count="3">
    <mergeCell ref="A11:D11"/>
    <mergeCell ref="F1:G1"/>
    <mergeCell ref="A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4">
    <tabColor indexed="13"/>
  </sheetPr>
  <dimension ref="A1:K186"/>
  <sheetViews>
    <sheetView view="pageBreakPreview" zoomScaleSheetLayoutView="100" workbookViewId="0" topLeftCell="A1">
      <selection activeCell="H12" sqref="H12"/>
    </sheetView>
  </sheetViews>
  <sheetFormatPr defaultColWidth="9.00390625" defaultRowHeight="12.75"/>
  <cols>
    <col min="1" max="1" width="4.75390625" style="5" customWidth="1"/>
    <col min="2" max="2" width="7.125" style="5" customWidth="1"/>
    <col min="3" max="3" width="25.75390625" style="1" customWidth="1"/>
    <col min="4" max="4" width="12.125" style="1" customWidth="1"/>
    <col min="5" max="5" width="11.625" style="1" customWidth="1"/>
    <col min="6" max="6" width="5.125" style="1" customWidth="1"/>
    <col min="7" max="7" width="12.125" style="6" customWidth="1"/>
    <col min="8" max="8" width="11.125" style="1" customWidth="1"/>
    <col min="9" max="9" width="4.875" style="441" customWidth="1"/>
    <col min="10" max="10" width="10.25390625" style="6" customWidth="1"/>
    <col min="11" max="11" width="15.875" style="1" customWidth="1"/>
    <col min="12" max="16384" width="9.125" style="1" customWidth="1"/>
  </cols>
  <sheetData>
    <row r="1" spans="1:10" s="440" customFormat="1" ht="15.75" customHeight="1">
      <c r="A1" s="439"/>
      <c r="B1" s="439"/>
      <c r="G1" s="441"/>
      <c r="H1" s="1586" t="s">
        <v>767</v>
      </c>
      <c r="I1" s="1586"/>
      <c r="J1" s="441"/>
    </row>
    <row r="2" spans="1:10" s="440" customFormat="1" ht="22.5" customHeight="1">
      <c r="A2" s="439"/>
      <c r="B2" s="439"/>
      <c r="G2" s="441"/>
      <c r="H2" s="442"/>
      <c r="I2" s="442"/>
      <c r="J2" s="441"/>
    </row>
    <row r="3" spans="1:10" s="440" customFormat="1" ht="18.75" customHeight="1">
      <c r="A3" s="1599" t="s">
        <v>197</v>
      </c>
      <c r="B3" s="1599"/>
      <c r="C3" s="1599"/>
      <c r="D3" s="1599"/>
      <c r="E3" s="1599"/>
      <c r="F3" s="1599"/>
      <c r="G3" s="1599"/>
      <c r="H3" s="1599"/>
      <c r="I3" s="1599"/>
      <c r="J3" s="441"/>
    </row>
    <row r="4" spans="1:10" s="440" customFormat="1" ht="15.75" customHeight="1" thickBot="1">
      <c r="A4" s="439"/>
      <c r="B4" s="439"/>
      <c r="G4" s="441"/>
      <c r="H4" s="1589" t="s">
        <v>67</v>
      </c>
      <c r="I4" s="1589"/>
      <c r="J4" s="441"/>
    </row>
    <row r="5" spans="1:10" s="203" customFormat="1" ht="20.25" customHeight="1">
      <c r="A5" s="1593" t="s">
        <v>249</v>
      </c>
      <c r="B5" s="1595" t="s">
        <v>68</v>
      </c>
      <c r="C5" s="1597" t="s">
        <v>250</v>
      </c>
      <c r="D5" s="1590" t="s">
        <v>1247</v>
      </c>
      <c r="E5" s="1591"/>
      <c r="F5" s="1591"/>
      <c r="G5" s="1590" t="s">
        <v>1248</v>
      </c>
      <c r="H5" s="1591"/>
      <c r="I5" s="1592"/>
      <c r="J5" s="442"/>
    </row>
    <row r="6" spans="1:10" s="233" customFormat="1" ht="18.75" customHeight="1">
      <c r="A6" s="1594"/>
      <c r="B6" s="1596"/>
      <c r="C6" s="1598"/>
      <c r="D6" s="1116" t="s">
        <v>70</v>
      </c>
      <c r="E6" s="1116" t="s">
        <v>71</v>
      </c>
      <c r="F6" s="1116" t="s">
        <v>72</v>
      </c>
      <c r="G6" s="1116" t="s">
        <v>331</v>
      </c>
      <c r="H6" s="1116" t="s">
        <v>332</v>
      </c>
      <c r="I6" s="1212" t="s">
        <v>72</v>
      </c>
      <c r="J6" s="442"/>
    </row>
    <row r="7" spans="1:11" s="862" customFormat="1" ht="13.5" thickBot="1">
      <c r="A7" s="1119">
        <v>1</v>
      </c>
      <c r="B7" s="1120">
        <v>2</v>
      </c>
      <c r="C7" s="1122">
        <v>3</v>
      </c>
      <c r="D7" s="1122">
        <v>4</v>
      </c>
      <c r="E7" s="1122">
        <v>5</v>
      </c>
      <c r="F7" s="1122">
        <v>6</v>
      </c>
      <c r="G7" s="1122">
        <v>7</v>
      </c>
      <c r="H7" s="1122">
        <v>8</v>
      </c>
      <c r="I7" s="1123">
        <v>9</v>
      </c>
      <c r="J7" s="848" t="s">
        <v>545</v>
      </c>
      <c r="K7" s="849" t="s">
        <v>5</v>
      </c>
    </row>
    <row r="8" spans="1:10" s="454" customFormat="1" ht="22.5" customHeight="1">
      <c r="A8" s="1103" t="s">
        <v>73</v>
      </c>
      <c r="B8" s="1104"/>
      <c r="C8" s="1105" t="s">
        <v>807</v>
      </c>
      <c r="D8" s="1106">
        <f>SUM(D9)</f>
        <v>15163.66</v>
      </c>
      <c r="E8" s="1106">
        <f>SUM(E9)</f>
        <v>15163.66</v>
      </c>
      <c r="F8" s="1107">
        <f aca="true" t="shared" si="0" ref="F8:F48">E8/D8*100</f>
        <v>100</v>
      </c>
      <c r="G8" s="1108">
        <f>SUM(G9)</f>
        <v>15163.66</v>
      </c>
      <c r="H8" s="1108">
        <f>SUM(H9)</f>
        <v>15043.33</v>
      </c>
      <c r="I8" s="1109">
        <f>H8/G8*100</f>
        <v>99.20645807146823</v>
      </c>
      <c r="J8" s="453"/>
    </row>
    <row r="9" spans="1:10" s="7" customFormat="1" ht="19.5" customHeight="1">
      <c r="A9" s="425"/>
      <c r="B9" s="426" t="s">
        <v>813</v>
      </c>
      <c r="C9" s="427" t="s">
        <v>74</v>
      </c>
      <c r="D9" s="428">
        <f>SUM(6D!E10)</f>
        <v>15163.66</v>
      </c>
      <c r="E9" s="428">
        <f>SUM(6D!F10)</f>
        <v>15163.66</v>
      </c>
      <c r="F9" s="429">
        <f t="shared" si="0"/>
        <v>100</v>
      </c>
      <c r="G9" s="447">
        <f aca="true" t="shared" si="1" ref="G9:G48">D9</f>
        <v>15163.66</v>
      </c>
      <c r="H9" s="428">
        <v>15043.33</v>
      </c>
      <c r="I9" s="1110">
        <f>H9/G9*100</f>
        <v>99.20645807146823</v>
      </c>
      <c r="J9" s="8">
        <f>E9-H9</f>
        <v>120.32999999999993</v>
      </c>
    </row>
    <row r="10" spans="1:10" s="461" customFormat="1" ht="20.25" customHeight="1">
      <c r="A10" s="1111" t="s">
        <v>78</v>
      </c>
      <c r="B10" s="1112"/>
      <c r="C10" s="1113" t="s">
        <v>79</v>
      </c>
      <c r="D10" s="1114">
        <f>SUM(D11)</f>
        <v>2878500</v>
      </c>
      <c r="E10" s="1114">
        <f>SUM(E11)</f>
        <v>335486.58</v>
      </c>
      <c r="F10" s="1107">
        <f t="shared" si="0"/>
        <v>11.654909848879626</v>
      </c>
      <c r="G10" s="1115">
        <f>SUM(G11)</f>
        <v>2878500</v>
      </c>
      <c r="H10" s="1115">
        <f>SUM(H11)</f>
        <v>335486.58</v>
      </c>
      <c r="I10" s="1109">
        <f>H10/G10*100</f>
        <v>11.654909848879626</v>
      </c>
      <c r="J10" s="460"/>
    </row>
    <row r="11" spans="1:10" s="7" customFormat="1" ht="57.75" customHeight="1">
      <c r="A11" s="425"/>
      <c r="B11" s="426" t="s">
        <v>80</v>
      </c>
      <c r="C11" s="427" t="s">
        <v>139</v>
      </c>
      <c r="D11" s="428">
        <f>SUM(6D!E237,6D!E239)</f>
        <v>2878500</v>
      </c>
      <c r="E11" s="428">
        <f>SUM(6D!F237,6D!F239)</f>
        <v>335486.58</v>
      </c>
      <c r="F11" s="429">
        <f t="shared" si="0"/>
        <v>11.654909848879626</v>
      </c>
      <c r="G11" s="445">
        <f t="shared" si="1"/>
        <v>2878500</v>
      </c>
      <c r="H11" s="852">
        <f>335486.58</f>
        <v>335486.58</v>
      </c>
      <c r="I11" s="853">
        <f>H11/G11*100</f>
        <v>11.654909848879626</v>
      </c>
      <c r="J11" s="847">
        <f>E11-H11</f>
        <v>0</v>
      </c>
    </row>
    <row r="12" spans="1:10" s="461" customFormat="1" ht="30.75" customHeight="1">
      <c r="A12" s="455" t="s">
        <v>85</v>
      </c>
      <c r="B12" s="456"/>
      <c r="C12" s="457" t="s">
        <v>86</v>
      </c>
      <c r="D12" s="458">
        <f>SUM(D13)</f>
        <v>167000</v>
      </c>
      <c r="E12" s="458">
        <f>SUM(E13)</f>
        <v>63498</v>
      </c>
      <c r="F12" s="472">
        <f t="shared" si="0"/>
        <v>38.02275449101796</v>
      </c>
      <c r="G12" s="459">
        <f>SUM(G13)</f>
        <v>167000</v>
      </c>
      <c r="H12" s="459">
        <f>SUM(H13)</f>
        <v>29346.02</v>
      </c>
      <c r="I12" s="851">
        <f>H12/G12*100</f>
        <v>17.572467065868263</v>
      </c>
      <c r="J12" s="8"/>
    </row>
    <row r="13" spans="1:10" ht="33" customHeight="1">
      <c r="A13" s="430"/>
      <c r="B13" s="431" t="s">
        <v>87</v>
      </c>
      <c r="C13" s="450" t="s">
        <v>88</v>
      </c>
      <c r="D13" s="433">
        <f>SUM(6D!E242,6D!E49)</f>
        <v>167000</v>
      </c>
      <c r="E13" s="433">
        <f>SUM(6D!F242,6D!F49)</f>
        <v>63498</v>
      </c>
      <c r="F13" s="429">
        <f t="shared" si="0"/>
        <v>38.02275449101796</v>
      </c>
      <c r="G13" s="445">
        <f t="shared" si="1"/>
        <v>167000</v>
      </c>
      <c r="H13" s="852">
        <v>29346.02</v>
      </c>
      <c r="I13" s="854">
        <f aca="true" t="shared" si="2" ref="I13:I42">H13/G13*100</f>
        <v>17.572467065868263</v>
      </c>
      <c r="J13" s="8">
        <f aca="true" t="shared" si="3" ref="J13:J35">E13-H13</f>
        <v>34151.979999999996</v>
      </c>
    </row>
    <row r="14" spans="1:10" s="4" customFormat="1" ht="21" customHeight="1">
      <c r="A14" s="462" t="s">
        <v>89</v>
      </c>
      <c r="B14" s="463"/>
      <c r="C14" s="464" t="s">
        <v>90</v>
      </c>
      <c r="D14" s="465">
        <f>SUM(D15,D16,D17)</f>
        <v>391000</v>
      </c>
      <c r="E14" s="465">
        <f>SUM(E15,E16,E17)</f>
        <v>205702</v>
      </c>
      <c r="F14" s="472">
        <f t="shared" si="0"/>
        <v>52.60920716112531</v>
      </c>
      <c r="G14" s="459">
        <f>SUM(G15,G16,G17)</f>
        <v>391000</v>
      </c>
      <c r="H14" s="459">
        <f>SUM(H15,H16,H17)</f>
        <v>137947.73</v>
      </c>
      <c r="I14" s="850">
        <f t="shared" si="2"/>
        <v>35.28074936061381</v>
      </c>
      <c r="J14" s="460"/>
    </row>
    <row r="15" spans="1:10" ht="31.5" customHeight="1">
      <c r="A15" s="430"/>
      <c r="B15" s="431" t="s">
        <v>91</v>
      </c>
      <c r="C15" s="450" t="s">
        <v>381</v>
      </c>
      <c r="D15" s="433">
        <f>SUM(6D!E245)</f>
        <v>51000</v>
      </c>
      <c r="E15" s="433">
        <f>SUM(6D!F245)</f>
        <v>27388</v>
      </c>
      <c r="F15" s="429">
        <f t="shared" si="0"/>
        <v>53.70196078431373</v>
      </c>
      <c r="G15" s="445">
        <f t="shared" si="1"/>
        <v>51000</v>
      </c>
      <c r="H15" s="852">
        <v>0</v>
      </c>
      <c r="I15" s="854">
        <f t="shared" si="2"/>
        <v>0</v>
      </c>
      <c r="J15" s="8">
        <f t="shared" si="3"/>
        <v>27388</v>
      </c>
    </row>
    <row r="16" spans="1:10" ht="30" customHeight="1">
      <c r="A16" s="430"/>
      <c r="B16" s="431" t="s">
        <v>92</v>
      </c>
      <c r="C16" s="450" t="s">
        <v>93</v>
      </c>
      <c r="D16" s="433">
        <f>SUM(6D!E248)</f>
        <v>14000</v>
      </c>
      <c r="E16" s="433">
        <f>SUM(6D!F248)</f>
        <v>7516</v>
      </c>
      <c r="F16" s="429">
        <f t="shared" si="0"/>
        <v>53.68571428571428</v>
      </c>
      <c r="G16" s="445">
        <f t="shared" si="1"/>
        <v>14000</v>
      </c>
      <c r="H16" s="852">
        <v>0</v>
      </c>
      <c r="I16" s="854">
        <f t="shared" si="2"/>
        <v>0</v>
      </c>
      <c r="J16" s="8">
        <f t="shared" si="3"/>
        <v>7516</v>
      </c>
    </row>
    <row r="17" spans="1:10" ht="19.5" customHeight="1">
      <c r="A17" s="430"/>
      <c r="B17" s="431" t="s">
        <v>94</v>
      </c>
      <c r="C17" s="432" t="s">
        <v>98</v>
      </c>
      <c r="D17" s="433">
        <f>SUM(6D!E250)</f>
        <v>326000</v>
      </c>
      <c r="E17" s="433">
        <f>SUM(6D!F250)</f>
        <v>170798</v>
      </c>
      <c r="F17" s="429">
        <f t="shared" si="0"/>
        <v>52.392024539877305</v>
      </c>
      <c r="G17" s="445">
        <f t="shared" si="1"/>
        <v>326000</v>
      </c>
      <c r="H17" s="852">
        <v>137947.73</v>
      </c>
      <c r="I17" s="854">
        <f t="shared" si="2"/>
        <v>42.315254601227</v>
      </c>
      <c r="J17" s="8">
        <f t="shared" si="3"/>
        <v>32850.26999999999</v>
      </c>
    </row>
    <row r="18" spans="1:10" s="4" customFormat="1" ht="24.75" customHeight="1">
      <c r="A18" s="462" t="s">
        <v>101</v>
      </c>
      <c r="B18" s="463"/>
      <c r="C18" s="464" t="s">
        <v>102</v>
      </c>
      <c r="D18" s="465">
        <f>SUM(D19,D20)</f>
        <v>460000</v>
      </c>
      <c r="E18" s="465">
        <f>SUM(E19,E20)</f>
        <v>257231</v>
      </c>
      <c r="F18" s="472">
        <f t="shared" si="0"/>
        <v>55.919782608695655</v>
      </c>
      <c r="G18" s="459">
        <f>SUM(G19,G20)</f>
        <v>460000</v>
      </c>
      <c r="H18" s="459">
        <f>SUM(H19,H20)</f>
        <v>251759.69</v>
      </c>
      <c r="I18" s="850">
        <f t="shared" si="2"/>
        <v>54.73036739130435</v>
      </c>
      <c r="J18" s="460"/>
    </row>
    <row r="19" spans="1:10" ht="21" customHeight="1">
      <c r="A19" s="430"/>
      <c r="B19" s="431" t="s">
        <v>103</v>
      </c>
      <c r="C19" s="432" t="s">
        <v>109</v>
      </c>
      <c r="D19" s="433">
        <f>SUM(6D!E61,6D!E255)</f>
        <v>440000</v>
      </c>
      <c r="E19" s="433">
        <f>SUM(6D!F61,6D!F255)</f>
        <v>237231</v>
      </c>
      <c r="F19" s="429">
        <f t="shared" si="0"/>
        <v>53.91613636363637</v>
      </c>
      <c r="G19" s="445">
        <f t="shared" si="1"/>
        <v>440000</v>
      </c>
      <c r="H19" s="852">
        <f>194135+43096</f>
        <v>237231</v>
      </c>
      <c r="I19" s="854">
        <f t="shared" si="2"/>
        <v>53.91613636363637</v>
      </c>
      <c r="J19" s="8">
        <f t="shared" si="3"/>
        <v>0</v>
      </c>
    </row>
    <row r="20" spans="1:10" ht="21" customHeight="1">
      <c r="A20" s="430"/>
      <c r="B20" s="431" t="s">
        <v>113</v>
      </c>
      <c r="C20" s="432" t="s">
        <v>114</v>
      </c>
      <c r="D20" s="433">
        <f>SUM(6D!E262,6D!E263)</f>
        <v>20000</v>
      </c>
      <c r="E20" s="433">
        <f>SUM(6D!F262,6D!F263)</f>
        <v>20000</v>
      </c>
      <c r="F20" s="429">
        <f t="shared" si="0"/>
        <v>100</v>
      </c>
      <c r="G20" s="445">
        <f t="shared" si="1"/>
        <v>20000</v>
      </c>
      <c r="H20" s="852">
        <f>11983.69+2545</f>
        <v>14528.69</v>
      </c>
      <c r="I20" s="854">
        <f t="shared" si="2"/>
        <v>72.64345</v>
      </c>
      <c r="J20" s="8">
        <f t="shared" si="3"/>
        <v>5471.3099999999995</v>
      </c>
    </row>
    <row r="21" spans="1:10" s="4" customFormat="1" ht="70.5" customHeight="1">
      <c r="A21" s="462" t="s">
        <v>333</v>
      </c>
      <c r="B21" s="463"/>
      <c r="C21" s="464" t="s">
        <v>116</v>
      </c>
      <c r="D21" s="465">
        <f>SUM(D22)</f>
        <v>6168</v>
      </c>
      <c r="E21" s="465">
        <f>SUM(E22)</f>
        <v>3084</v>
      </c>
      <c r="F21" s="472">
        <f t="shared" si="0"/>
        <v>50</v>
      </c>
      <c r="G21" s="459">
        <f>SUM(G22)</f>
        <v>6168</v>
      </c>
      <c r="H21" s="459">
        <f>SUM(H22)</f>
        <v>601</v>
      </c>
      <c r="I21" s="850">
        <f t="shared" si="2"/>
        <v>9.74383916990921</v>
      </c>
      <c r="J21" s="460"/>
    </row>
    <row r="22" spans="1:10" ht="44.25" customHeight="1">
      <c r="A22" s="434"/>
      <c r="B22" s="435" t="s">
        <v>269</v>
      </c>
      <c r="C22" s="450" t="s">
        <v>270</v>
      </c>
      <c r="D22" s="433">
        <f>SUM(6D!E74)</f>
        <v>6168</v>
      </c>
      <c r="E22" s="433">
        <f>SUM(6D!F74)</f>
        <v>3084</v>
      </c>
      <c r="F22" s="429">
        <f t="shared" si="0"/>
        <v>50</v>
      </c>
      <c r="G22" s="445">
        <f t="shared" si="1"/>
        <v>6168</v>
      </c>
      <c r="H22" s="852">
        <v>601</v>
      </c>
      <c r="I22" s="854">
        <f t="shared" si="2"/>
        <v>9.74383916990921</v>
      </c>
      <c r="J22" s="8">
        <f t="shared" si="3"/>
        <v>2483</v>
      </c>
    </row>
    <row r="23" spans="1:10" s="4" customFormat="1" ht="45.75" customHeight="1">
      <c r="A23" s="466" t="s">
        <v>117</v>
      </c>
      <c r="B23" s="467"/>
      <c r="C23" s="464" t="s">
        <v>207</v>
      </c>
      <c r="D23" s="465">
        <f>SUM(D24,D25)</f>
        <v>3572822</v>
      </c>
      <c r="E23" s="465">
        <f>SUM(E24,E25)</f>
        <v>2190867</v>
      </c>
      <c r="F23" s="472">
        <f t="shared" si="0"/>
        <v>61.32035125175561</v>
      </c>
      <c r="G23" s="459">
        <f>SUM(G24,G25)</f>
        <v>3572822</v>
      </c>
      <c r="H23" s="459">
        <f>SUM(H24,H25)</f>
        <v>1814067.3699999999</v>
      </c>
      <c r="I23" s="850">
        <f t="shared" si="2"/>
        <v>50.774076346372695</v>
      </c>
      <c r="J23" s="460"/>
    </row>
    <row r="24" spans="1:10" ht="30" customHeight="1">
      <c r="A24" s="434"/>
      <c r="B24" s="435" t="s">
        <v>118</v>
      </c>
      <c r="C24" s="450" t="s">
        <v>385</v>
      </c>
      <c r="D24" s="433">
        <f>SUM(6D!E266,6D!E267)</f>
        <v>3565822</v>
      </c>
      <c r="E24" s="433">
        <f>SUM(6D!F266,6D!F267)</f>
        <v>2183867</v>
      </c>
      <c r="F24" s="429">
        <f t="shared" si="0"/>
        <v>61.244419940198924</v>
      </c>
      <c r="G24" s="445">
        <f t="shared" si="1"/>
        <v>3565822</v>
      </c>
      <c r="H24" s="852">
        <v>1812774.14</v>
      </c>
      <c r="I24" s="854">
        <f t="shared" si="2"/>
        <v>50.83748263373774</v>
      </c>
      <c r="J24" s="8">
        <f t="shared" si="3"/>
        <v>371092.8600000001</v>
      </c>
    </row>
    <row r="25" spans="1:10" ht="20.25" customHeight="1" thickBot="1">
      <c r="A25" s="480"/>
      <c r="B25" s="481" t="s">
        <v>119</v>
      </c>
      <c r="C25" s="482" t="s">
        <v>120</v>
      </c>
      <c r="D25" s="436">
        <f>SUM(6D!E79)</f>
        <v>7000</v>
      </c>
      <c r="E25" s="436">
        <f>SUM(6D!F79)</f>
        <v>7000</v>
      </c>
      <c r="F25" s="483">
        <f t="shared" si="0"/>
        <v>100</v>
      </c>
      <c r="G25" s="446">
        <f t="shared" si="1"/>
        <v>7000</v>
      </c>
      <c r="H25" s="855">
        <v>1293.23</v>
      </c>
      <c r="I25" s="856">
        <f t="shared" si="2"/>
        <v>18.474714285714285</v>
      </c>
      <c r="J25" s="8">
        <f t="shared" si="3"/>
        <v>5706.77</v>
      </c>
    </row>
    <row r="26" spans="1:10" s="10" customFormat="1" ht="33" customHeight="1" thickBot="1">
      <c r="A26" s="475"/>
      <c r="B26" s="475"/>
      <c r="C26" s="476"/>
      <c r="D26" s="477"/>
      <c r="E26" s="477"/>
      <c r="F26" s="478"/>
      <c r="G26" s="479"/>
      <c r="H26" s="857"/>
      <c r="I26" s="858"/>
      <c r="J26" s="9"/>
    </row>
    <row r="27" spans="1:11" s="444" customFormat="1" ht="13.5" thickBot="1">
      <c r="A27" s="1124">
        <v>1</v>
      </c>
      <c r="B27" s="1125">
        <v>2</v>
      </c>
      <c r="C27" s="1127">
        <v>3</v>
      </c>
      <c r="D27" s="1127">
        <v>4</v>
      </c>
      <c r="E27" s="1127">
        <v>5</v>
      </c>
      <c r="F27" s="1127">
        <v>6</v>
      </c>
      <c r="G27" s="1127">
        <v>7</v>
      </c>
      <c r="H27" s="1127">
        <v>8</v>
      </c>
      <c r="I27" s="1128">
        <v>9</v>
      </c>
      <c r="J27" s="441" t="s">
        <v>545</v>
      </c>
      <c r="K27" s="443" t="s">
        <v>5</v>
      </c>
    </row>
    <row r="28" spans="1:10" s="4" customFormat="1" ht="20.25" customHeight="1">
      <c r="A28" s="462" t="s">
        <v>122</v>
      </c>
      <c r="B28" s="463"/>
      <c r="C28" s="468" t="s">
        <v>1095</v>
      </c>
      <c r="D28" s="465">
        <f>SUM(D29)</f>
        <v>1696000</v>
      </c>
      <c r="E28" s="465">
        <f>SUM(E29)</f>
        <v>0</v>
      </c>
      <c r="F28" s="472">
        <f t="shared" si="0"/>
        <v>0</v>
      </c>
      <c r="G28" s="459">
        <f>SUM(G29)</f>
        <v>1696000</v>
      </c>
      <c r="H28" s="459">
        <f>SUM(H29)</f>
        <v>0</v>
      </c>
      <c r="I28" s="850" t="s">
        <v>312</v>
      </c>
      <c r="J28" s="460"/>
    </row>
    <row r="29" spans="1:10" ht="21.75" customHeight="1">
      <c r="A29" s="430"/>
      <c r="B29" s="431" t="s">
        <v>321</v>
      </c>
      <c r="C29" s="452" t="s">
        <v>322</v>
      </c>
      <c r="D29" s="433">
        <f>SUM(6D!E132)</f>
        <v>1696000</v>
      </c>
      <c r="E29" s="433">
        <f>SUM(6D!F132)</f>
        <v>0</v>
      </c>
      <c r="F29" s="429">
        <f t="shared" si="0"/>
        <v>0</v>
      </c>
      <c r="G29" s="445">
        <f t="shared" si="1"/>
        <v>1696000</v>
      </c>
      <c r="H29" s="852">
        <v>0</v>
      </c>
      <c r="I29" s="854" t="s">
        <v>312</v>
      </c>
      <c r="J29" s="8">
        <f t="shared" si="3"/>
        <v>0</v>
      </c>
    </row>
    <row r="30" spans="1:10" s="4" customFormat="1" ht="21.75" customHeight="1">
      <c r="A30" s="462" t="s">
        <v>124</v>
      </c>
      <c r="B30" s="463"/>
      <c r="C30" s="469" t="s">
        <v>125</v>
      </c>
      <c r="D30" s="465">
        <f>SUM(D31,D32)</f>
        <v>192302</v>
      </c>
      <c r="E30" s="465">
        <f>SUM(E31,E32)</f>
        <v>155186</v>
      </c>
      <c r="F30" s="472">
        <f t="shared" si="0"/>
        <v>80.69910869361733</v>
      </c>
      <c r="G30" s="459">
        <f>SUM(G31,G32)</f>
        <v>192302</v>
      </c>
      <c r="H30" s="459">
        <f>SUM(H31,H32)</f>
        <v>154816</v>
      </c>
      <c r="I30" s="850">
        <f t="shared" si="2"/>
        <v>80.50670299840876</v>
      </c>
      <c r="J30" s="460"/>
    </row>
    <row r="31" spans="1:10" ht="20.25" customHeight="1">
      <c r="A31" s="430"/>
      <c r="B31" s="431" t="s">
        <v>126</v>
      </c>
      <c r="C31" s="432" t="s">
        <v>127</v>
      </c>
      <c r="D31" s="433">
        <f>SUM(6D!E135)</f>
        <v>46060</v>
      </c>
      <c r="E31" s="433">
        <f>SUM(6D!F135)</f>
        <v>34544</v>
      </c>
      <c r="F31" s="429">
        <f t="shared" si="0"/>
        <v>74.99782891880157</v>
      </c>
      <c r="G31" s="445">
        <f t="shared" si="1"/>
        <v>46060</v>
      </c>
      <c r="H31" s="852">
        <v>34544</v>
      </c>
      <c r="I31" s="854">
        <f t="shared" si="2"/>
        <v>74.99782891880157</v>
      </c>
      <c r="J31" s="8">
        <f t="shared" si="3"/>
        <v>0</v>
      </c>
    </row>
    <row r="32" spans="1:10" ht="20.25" customHeight="1">
      <c r="A32" s="430"/>
      <c r="B32" s="431" t="s">
        <v>910</v>
      </c>
      <c r="C32" s="432" t="s">
        <v>74</v>
      </c>
      <c r="D32" s="433">
        <f>SUM(6D!E143,6D!E144,6D!E145,6D!E146,6D!E288,6D!E289)</f>
        <v>146242</v>
      </c>
      <c r="E32" s="433">
        <f>SUM(6D!F143,6D!F144,6D!F145,6D!F146,6D!F288,6D!F289)</f>
        <v>120642</v>
      </c>
      <c r="F32" s="429">
        <f t="shared" si="0"/>
        <v>82.49476894462603</v>
      </c>
      <c r="G32" s="445">
        <f t="shared" si="1"/>
        <v>146242</v>
      </c>
      <c r="H32" s="852">
        <v>120272</v>
      </c>
      <c r="I32" s="854">
        <f t="shared" si="2"/>
        <v>82.24176365202884</v>
      </c>
      <c r="J32" s="8">
        <f t="shared" si="3"/>
        <v>370</v>
      </c>
    </row>
    <row r="33" spans="1:10" s="4" customFormat="1" ht="20.25" customHeight="1">
      <c r="A33" s="462" t="s">
        <v>133</v>
      </c>
      <c r="B33" s="463"/>
      <c r="C33" s="468" t="s">
        <v>134</v>
      </c>
      <c r="D33" s="465">
        <f>SUM(D34,D35)</f>
        <v>695000</v>
      </c>
      <c r="E33" s="465">
        <f>SUM(E34,E35)</f>
        <v>323359</v>
      </c>
      <c r="F33" s="472">
        <f t="shared" si="0"/>
        <v>46.52647482014389</v>
      </c>
      <c r="G33" s="459">
        <f>SUM(G34,G35)</f>
        <v>695000</v>
      </c>
      <c r="H33" s="459">
        <f>SUM(H34,H35)</f>
        <v>312672.58</v>
      </c>
      <c r="I33" s="850">
        <f t="shared" si="2"/>
        <v>44.98886043165468</v>
      </c>
      <c r="J33" s="460"/>
    </row>
    <row r="34" spans="1:10" ht="57" customHeight="1">
      <c r="A34" s="434"/>
      <c r="B34" s="435" t="s">
        <v>324</v>
      </c>
      <c r="C34" s="450" t="s">
        <v>804</v>
      </c>
      <c r="D34" s="433">
        <f>SUM(6D!E292)</f>
        <v>692000</v>
      </c>
      <c r="E34" s="433">
        <f>SUM(6D!F292)</f>
        <v>320359</v>
      </c>
      <c r="F34" s="429">
        <f t="shared" si="0"/>
        <v>46.29465317919075</v>
      </c>
      <c r="G34" s="445">
        <f t="shared" si="1"/>
        <v>692000</v>
      </c>
      <c r="H34" s="852">
        <v>312672.58</v>
      </c>
      <c r="I34" s="854">
        <f t="shared" si="2"/>
        <v>45.183898843930635</v>
      </c>
      <c r="J34" s="8">
        <f t="shared" si="3"/>
        <v>7686.419999999984</v>
      </c>
    </row>
    <row r="35" spans="1:10" ht="21" customHeight="1">
      <c r="A35" s="434"/>
      <c r="B35" s="435" t="s">
        <v>921</v>
      </c>
      <c r="C35" s="450" t="s">
        <v>74</v>
      </c>
      <c r="D35" s="433">
        <f>SUM(6D!E155,6D!E158)</f>
        <v>3000</v>
      </c>
      <c r="E35" s="433">
        <f>SUM(6D!F155,6D!F158)</f>
        <v>3000</v>
      </c>
      <c r="F35" s="429">
        <f t="shared" si="0"/>
        <v>100</v>
      </c>
      <c r="G35" s="445">
        <f t="shared" si="1"/>
        <v>3000</v>
      </c>
      <c r="H35" s="542">
        <v>0</v>
      </c>
      <c r="I35" s="854">
        <f t="shared" si="2"/>
        <v>0</v>
      </c>
      <c r="J35" s="8">
        <f t="shared" si="3"/>
        <v>3000</v>
      </c>
    </row>
    <row r="36" spans="1:10" s="4" customFormat="1" ht="21" customHeight="1">
      <c r="A36" s="470" t="s">
        <v>610</v>
      </c>
      <c r="B36" s="471"/>
      <c r="C36" s="457" t="s">
        <v>621</v>
      </c>
      <c r="D36" s="458">
        <f>SUM(D37,D38,D39,D40,D41,D42,D43,D44)</f>
        <v>8605170</v>
      </c>
      <c r="E36" s="458">
        <f>SUM(E37,E38,E39,E40,E41,E42,E43,E44)</f>
        <v>4368148</v>
      </c>
      <c r="F36" s="472">
        <f t="shared" si="0"/>
        <v>50.76190243772057</v>
      </c>
      <c r="G36" s="473">
        <f>SUM(G37,G38,G39,G40,G41,G42,G43,G44)</f>
        <v>8605170</v>
      </c>
      <c r="H36" s="473">
        <f>SUM(H37,H38,H39,H40,H41,H42,H43,H44)</f>
        <v>4122722.26</v>
      </c>
      <c r="I36" s="851">
        <f t="shared" si="2"/>
        <v>47.90982932353457</v>
      </c>
      <c r="J36" s="460"/>
    </row>
    <row r="37" spans="1:10" ht="19.5" customHeight="1">
      <c r="A37" s="437"/>
      <c r="B37" s="438" t="s">
        <v>622</v>
      </c>
      <c r="C37" s="427" t="s">
        <v>374</v>
      </c>
      <c r="D37" s="428">
        <f>SUM(6D!E164,6D!E297)</f>
        <v>453070</v>
      </c>
      <c r="E37" s="428">
        <f>SUM(6D!F164,6D!F297)</f>
        <v>219968</v>
      </c>
      <c r="F37" s="429">
        <f t="shared" si="0"/>
        <v>48.55055510186064</v>
      </c>
      <c r="G37" s="447">
        <f t="shared" si="1"/>
        <v>453070</v>
      </c>
      <c r="H37" s="852">
        <f>63900+112684.42</f>
        <v>176584.41999999998</v>
      </c>
      <c r="I37" s="853">
        <f t="shared" si="2"/>
        <v>38.97508552762266</v>
      </c>
      <c r="J37" s="8">
        <f>E37-H37</f>
        <v>43383.580000000016</v>
      </c>
    </row>
    <row r="38" spans="1:10" ht="66.75" customHeight="1">
      <c r="A38" s="434"/>
      <c r="B38" s="435" t="s">
        <v>612</v>
      </c>
      <c r="C38" s="450" t="s">
        <v>849</v>
      </c>
      <c r="D38" s="433">
        <f>SUM(6D!E166)</f>
        <v>5732000</v>
      </c>
      <c r="E38" s="433">
        <f>SUM(6D!F166)</f>
        <v>2865996</v>
      </c>
      <c r="F38" s="429">
        <f t="shared" si="0"/>
        <v>49.99993021632938</v>
      </c>
      <c r="G38" s="445">
        <f t="shared" si="1"/>
        <v>5732000</v>
      </c>
      <c r="H38" s="852">
        <v>2717578.49</v>
      </c>
      <c r="I38" s="854">
        <f t="shared" si="2"/>
        <v>47.41065055826937</v>
      </c>
      <c r="J38" s="8">
        <f>E38-H38</f>
        <v>148417.50999999978</v>
      </c>
    </row>
    <row r="39" spans="1:10" ht="91.5" customHeight="1">
      <c r="A39" s="437"/>
      <c r="B39" s="438" t="s">
        <v>613</v>
      </c>
      <c r="C39" s="427" t="s">
        <v>710</v>
      </c>
      <c r="D39" s="428">
        <f>SUM(6D!E168)</f>
        <v>80000</v>
      </c>
      <c r="E39" s="428">
        <f>SUM(6D!F168)</f>
        <v>39996</v>
      </c>
      <c r="F39" s="429">
        <f t="shared" si="0"/>
        <v>49.995</v>
      </c>
      <c r="G39" s="445">
        <f t="shared" si="1"/>
        <v>80000</v>
      </c>
      <c r="H39" s="852">
        <v>30892.48</v>
      </c>
      <c r="I39" s="853">
        <f t="shared" si="2"/>
        <v>38.6156</v>
      </c>
      <c r="J39" s="8">
        <f aca="true" t="shared" si="4" ref="J39:J49">E39-H39</f>
        <v>9103.52</v>
      </c>
    </row>
    <row r="40" spans="1:10" ht="41.25" customHeight="1">
      <c r="A40" s="434"/>
      <c r="B40" s="435" t="s">
        <v>614</v>
      </c>
      <c r="C40" s="450" t="s">
        <v>795</v>
      </c>
      <c r="D40" s="433">
        <f>SUM(6D!E171,6D!E172)</f>
        <v>1344000</v>
      </c>
      <c r="E40" s="433">
        <f>SUM(6D!F171,6D!F172)</f>
        <v>671994</v>
      </c>
      <c r="F40" s="429">
        <f t="shared" si="0"/>
        <v>49.99955357142857</v>
      </c>
      <c r="G40" s="445">
        <f t="shared" si="1"/>
        <v>1344000</v>
      </c>
      <c r="H40" s="852">
        <f>375140.82+266496</f>
        <v>641636.8200000001</v>
      </c>
      <c r="I40" s="854">
        <f t="shared" si="2"/>
        <v>47.74083482142857</v>
      </c>
      <c r="J40" s="8">
        <f t="shared" si="4"/>
        <v>30357.179999999935</v>
      </c>
    </row>
    <row r="41" spans="1:10" ht="26.25" customHeight="1">
      <c r="A41" s="434"/>
      <c r="B41" s="435" t="s">
        <v>928</v>
      </c>
      <c r="C41" s="451" t="s">
        <v>929</v>
      </c>
      <c r="D41" s="433">
        <f>SUM(6D!E304)</f>
        <v>2700</v>
      </c>
      <c r="E41" s="433">
        <f>SUM(6D!F304)</f>
        <v>2700</v>
      </c>
      <c r="F41" s="429">
        <f t="shared" si="0"/>
        <v>100</v>
      </c>
      <c r="G41" s="445">
        <f t="shared" si="1"/>
        <v>2700</v>
      </c>
      <c r="H41" s="852">
        <v>2700</v>
      </c>
      <c r="I41" s="854">
        <f t="shared" si="2"/>
        <v>100</v>
      </c>
      <c r="J41" s="8">
        <f t="shared" si="4"/>
        <v>0</v>
      </c>
    </row>
    <row r="42" spans="1:10" ht="21" customHeight="1">
      <c r="A42" s="430"/>
      <c r="B42" s="431" t="s">
        <v>616</v>
      </c>
      <c r="C42" s="432" t="s">
        <v>145</v>
      </c>
      <c r="D42" s="433">
        <f>SUM(6D!E176)</f>
        <v>563000</v>
      </c>
      <c r="E42" s="433">
        <f>SUM(6D!F176)</f>
        <v>291500</v>
      </c>
      <c r="F42" s="429">
        <f t="shared" si="0"/>
        <v>51.776198934280636</v>
      </c>
      <c r="G42" s="445">
        <f t="shared" si="1"/>
        <v>563000</v>
      </c>
      <c r="H42" s="852">
        <v>291500</v>
      </c>
      <c r="I42" s="854">
        <f t="shared" si="2"/>
        <v>51.776198934280636</v>
      </c>
      <c r="J42" s="8">
        <f t="shared" si="4"/>
        <v>0</v>
      </c>
    </row>
    <row r="43" spans="1:10" ht="39.75" customHeight="1">
      <c r="A43" s="434"/>
      <c r="B43" s="435" t="s">
        <v>618</v>
      </c>
      <c r="C43" s="450" t="s">
        <v>148</v>
      </c>
      <c r="D43" s="433">
        <f>SUM(6D!E182)</f>
        <v>72000</v>
      </c>
      <c r="E43" s="433">
        <f>SUM(6D!F182)</f>
        <v>31998</v>
      </c>
      <c r="F43" s="429">
        <f t="shared" si="0"/>
        <v>44.44166666666667</v>
      </c>
      <c r="G43" s="445">
        <f t="shared" si="1"/>
        <v>72000</v>
      </c>
      <c r="H43" s="852">
        <v>31998</v>
      </c>
      <c r="I43" s="854">
        <f aca="true" t="shared" si="5" ref="I43:I49">H43/G43*100</f>
        <v>44.44166666666667</v>
      </c>
      <c r="J43" s="8">
        <f t="shared" si="4"/>
        <v>0</v>
      </c>
    </row>
    <row r="44" spans="1:10" ht="21.75" customHeight="1">
      <c r="A44" s="434"/>
      <c r="B44" s="435" t="s">
        <v>620</v>
      </c>
      <c r="C44" s="450" t="s">
        <v>74</v>
      </c>
      <c r="D44" s="433">
        <f>SUM(6D!E185,6D!E186)</f>
        <v>358400</v>
      </c>
      <c r="E44" s="433">
        <f>SUM(6D!F185,6D!F186)</f>
        <v>243996</v>
      </c>
      <c r="F44" s="429">
        <f t="shared" si="0"/>
        <v>68.07924107142857</v>
      </c>
      <c r="G44" s="445">
        <f t="shared" si="1"/>
        <v>358400</v>
      </c>
      <c r="H44" s="852">
        <v>229832.05</v>
      </c>
      <c r="I44" s="854">
        <f t="shared" si="5"/>
        <v>64.12724609375</v>
      </c>
      <c r="J44" s="8">
        <f t="shared" si="4"/>
        <v>14163.950000000012</v>
      </c>
    </row>
    <row r="45" spans="1:10" s="4" customFormat="1" ht="39.75" customHeight="1">
      <c r="A45" s="466" t="s">
        <v>137</v>
      </c>
      <c r="B45" s="467"/>
      <c r="C45" s="464" t="s">
        <v>930</v>
      </c>
      <c r="D45" s="465">
        <f>SUM(D46)</f>
        <v>31000</v>
      </c>
      <c r="E45" s="465">
        <f>SUM(E46)</f>
        <v>15498</v>
      </c>
      <c r="F45" s="472">
        <f t="shared" si="0"/>
        <v>49.99354838709677</v>
      </c>
      <c r="G45" s="459">
        <f>SUM(G46)</f>
        <v>31000</v>
      </c>
      <c r="H45" s="459">
        <f>SUM(H46)</f>
        <v>15498</v>
      </c>
      <c r="I45" s="850">
        <f t="shared" si="5"/>
        <v>49.99354838709677</v>
      </c>
      <c r="J45" s="460"/>
    </row>
    <row r="46" spans="1:10" ht="29.25" customHeight="1">
      <c r="A46" s="434"/>
      <c r="B46" s="435" t="s">
        <v>147</v>
      </c>
      <c r="C46" s="450" t="s">
        <v>417</v>
      </c>
      <c r="D46" s="433">
        <f>SUM(6D!E309)</f>
        <v>31000</v>
      </c>
      <c r="E46" s="433">
        <f>SUM(6D!F309)</f>
        <v>15498</v>
      </c>
      <c r="F46" s="429">
        <f t="shared" si="0"/>
        <v>49.99354838709677</v>
      </c>
      <c r="G46" s="445">
        <f t="shared" si="1"/>
        <v>31000</v>
      </c>
      <c r="H46" s="852">
        <v>15498</v>
      </c>
      <c r="I46" s="854">
        <f t="shared" si="5"/>
        <v>49.99354838709677</v>
      </c>
      <c r="J46" s="8">
        <f t="shared" si="4"/>
        <v>0</v>
      </c>
    </row>
    <row r="47" spans="1:10" s="4" customFormat="1" ht="29.25" customHeight="1">
      <c r="A47" s="466" t="s">
        <v>149</v>
      </c>
      <c r="B47" s="467"/>
      <c r="C47" s="464" t="s">
        <v>153</v>
      </c>
      <c r="D47" s="465">
        <f>SUM(D48)</f>
        <v>109160</v>
      </c>
      <c r="E47" s="465">
        <f>SUM(E48)</f>
        <v>109160</v>
      </c>
      <c r="F47" s="472">
        <f t="shared" si="0"/>
        <v>100</v>
      </c>
      <c r="G47" s="459">
        <f>SUM(G48)</f>
        <v>109160</v>
      </c>
      <c r="H47" s="459">
        <f>SUM(H48)</f>
        <v>96760</v>
      </c>
      <c r="I47" s="850">
        <f t="shared" si="5"/>
        <v>88.64052766581165</v>
      </c>
      <c r="J47" s="460"/>
    </row>
    <row r="48" spans="1:10" ht="20.25" customHeight="1">
      <c r="A48" s="434"/>
      <c r="B48" s="435" t="s">
        <v>209</v>
      </c>
      <c r="C48" s="450" t="s">
        <v>210</v>
      </c>
      <c r="D48" s="433">
        <f>SUM(6D!E195,6D!E323)</f>
        <v>109160</v>
      </c>
      <c r="E48" s="433">
        <f>SUM(6D!F195,6D!F323)</f>
        <v>109160</v>
      </c>
      <c r="F48" s="429">
        <f t="shared" si="0"/>
        <v>100</v>
      </c>
      <c r="G48" s="445">
        <f t="shared" si="1"/>
        <v>109160</v>
      </c>
      <c r="H48" s="852">
        <v>96760</v>
      </c>
      <c r="I48" s="854">
        <f t="shared" si="5"/>
        <v>88.64052766581165</v>
      </c>
      <c r="J48" s="8">
        <f t="shared" si="4"/>
        <v>12400</v>
      </c>
    </row>
    <row r="49" spans="1:10" s="4" customFormat="1" ht="21.75" customHeight="1" thickBot="1">
      <c r="A49" s="1587" t="s">
        <v>334</v>
      </c>
      <c r="B49" s="1588"/>
      <c r="C49" s="1588"/>
      <c r="D49" s="916">
        <f>SUM(D8,D10,D12,D14,D18,D21,D23,D28,D30,D33,D36,D45,D47)</f>
        <v>18819285.66</v>
      </c>
      <c r="E49" s="916">
        <f>SUM(E8,E10,E12,E14,E18,E21,E23,E28,E30,E33,E36,E45,E47)</f>
        <v>8042383.24</v>
      </c>
      <c r="F49" s="1283">
        <f>E49/D49*100</f>
        <v>42.73479549276367</v>
      </c>
      <c r="G49" s="916">
        <f>SUM(G8,G10,G12,G14,G18,G21,G23,G28,G30,G33,G36,G45,G47)</f>
        <v>18819285.66</v>
      </c>
      <c r="H49" s="916">
        <f>SUM(H8,H10,H12,H14,H18,H21,H23,H28,H30,H33,H36,H45,H47)</f>
        <v>7286720.56</v>
      </c>
      <c r="I49" s="1284">
        <f t="shared" si="5"/>
        <v>38.71943224437988</v>
      </c>
      <c r="J49" s="474">
        <f t="shared" si="4"/>
        <v>755662.6800000006</v>
      </c>
    </row>
    <row r="50" spans="1:10" s="440" customFormat="1" ht="12.75">
      <c r="A50" s="439"/>
      <c r="B50" s="439"/>
      <c r="C50" s="440" t="s">
        <v>1094</v>
      </c>
      <c r="D50" s="448">
        <v>18819285.66</v>
      </c>
      <c r="E50" s="448">
        <v>8042383.24</v>
      </c>
      <c r="F50" s="449"/>
      <c r="G50" s="1292"/>
      <c r="H50" s="448"/>
      <c r="I50" s="1293"/>
      <c r="J50" s="441"/>
    </row>
    <row r="51" spans="1:10" s="440" customFormat="1" ht="12.75">
      <c r="A51" s="439"/>
      <c r="B51" s="439"/>
      <c r="C51" s="440" t="s">
        <v>38</v>
      </c>
      <c r="D51" s="448">
        <f>D49-D50</f>
        <v>0</v>
      </c>
      <c r="E51" s="448">
        <f>E49-E50</f>
        <v>0</v>
      </c>
      <c r="F51" s="448"/>
      <c r="G51" s="448">
        <f>G49-G50</f>
        <v>18819285.66</v>
      </c>
      <c r="H51" s="448">
        <f>H49-H50</f>
        <v>7286720.56</v>
      </c>
      <c r="I51" s="1294"/>
      <c r="J51" s="441"/>
    </row>
    <row r="52" spans="4:9" ht="12.75">
      <c r="D52" s="12"/>
      <c r="E52" s="12"/>
      <c r="F52" s="11"/>
      <c r="G52" s="8"/>
      <c r="H52" s="860"/>
      <c r="I52" s="859"/>
    </row>
    <row r="53" spans="4:9" ht="12.75">
      <c r="D53" s="12"/>
      <c r="E53" s="12"/>
      <c r="F53" s="11"/>
      <c r="G53" s="8"/>
      <c r="H53" s="860"/>
      <c r="I53" s="859"/>
    </row>
    <row r="54" spans="4:9" ht="12.75">
      <c r="D54" s="12"/>
      <c r="E54" s="12"/>
      <c r="F54" s="11"/>
      <c r="G54" s="8"/>
      <c r="H54" s="860"/>
      <c r="I54" s="859"/>
    </row>
    <row r="55" spans="4:9" ht="12.75">
      <c r="D55" s="12"/>
      <c r="E55" s="12"/>
      <c r="F55" s="11"/>
      <c r="G55" s="8"/>
      <c r="H55" s="860"/>
      <c r="I55" s="859"/>
    </row>
    <row r="56" spans="4:9" ht="12.75">
      <c r="D56" s="12"/>
      <c r="E56" s="12"/>
      <c r="F56" s="11"/>
      <c r="G56" s="8"/>
      <c r="H56" s="860"/>
      <c r="I56" s="859"/>
    </row>
    <row r="57" spans="4:9" ht="12.75">
      <c r="D57" s="12"/>
      <c r="E57" s="12"/>
      <c r="F57" s="11"/>
      <c r="G57" s="8"/>
      <c r="H57" s="860"/>
      <c r="I57" s="859"/>
    </row>
    <row r="58" spans="4:9" ht="12.75">
      <c r="D58" s="12"/>
      <c r="E58" s="12"/>
      <c r="F58" s="11"/>
      <c r="G58" s="8"/>
      <c r="H58" s="860"/>
      <c r="I58" s="859"/>
    </row>
    <row r="59" spans="4:9" ht="12.75">
      <c r="D59" s="12"/>
      <c r="E59" s="12"/>
      <c r="F59" s="11"/>
      <c r="G59" s="8"/>
      <c r="H59" s="860"/>
      <c r="I59" s="859"/>
    </row>
    <row r="60" spans="4:9" ht="12.75">
      <c r="D60" s="12"/>
      <c r="E60" s="12"/>
      <c r="F60" s="11"/>
      <c r="G60" s="8"/>
      <c r="H60" s="860"/>
      <c r="I60" s="859"/>
    </row>
    <row r="61" spans="4:9" ht="12.75">
      <c r="D61" s="12"/>
      <c r="E61" s="12"/>
      <c r="F61" s="11"/>
      <c r="G61" s="8"/>
      <c r="H61" s="860"/>
      <c r="I61" s="859"/>
    </row>
    <row r="62" spans="4:9" ht="12.75">
      <c r="D62" s="12"/>
      <c r="E62" s="12"/>
      <c r="F62" s="11"/>
      <c r="G62" s="8"/>
      <c r="H62" s="860"/>
      <c r="I62" s="859"/>
    </row>
    <row r="63" spans="4:9" ht="12.75">
      <c r="D63" s="12"/>
      <c r="E63" s="12"/>
      <c r="F63" s="11"/>
      <c r="G63" s="8"/>
      <c r="H63" s="860"/>
      <c r="I63" s="859"/>
    </row>
    <row r="64" spans="4:9" ht="12.75">
      <c r="D64" s="12"/>
      <c r="E64" s="12"/>
      <c r="F64" s="11"/>
      <c r="G64" s="8"/>
      <c r="H64" s="860"/>
      <c r="I64" s="859"/>
    </row>
    <row r="65" spans="4:9" ht="12.75">
      <c r="D65" s="12"/>
      <c r="E65" s="12"/>
      <c r="F65" s="11"/>
      <c r="G65" s="8"/>
      <c r="H65" s="860"/>
      <c r="I65" s="859"/>
    </row>
    <row r="66" spans="4:9" ht="12.75">
      <c r="D66" s="12"/>
      <c r="E66" s="12"/>
      <c r="F66" s="11"/>
      <c r="G66" s="8"/>
      <c r="H66" s="860"/>
      <c r="I66" s="859"/>
    </row>
    <row r="67" spans="4:9" ht="12.75">
      <c r="D67" s="12"/>
      <c r="E67" s="12"/>
      <c r="F67" s="11"/>
      <c r="G67" s="8"/>
      <c r="H67" s="860"/>
      <c r="I67" s="859"/>
    </row>
    <row r="68" spans="4:9" ht="12.75">
      <c r="D68" s="12"/>
      <c r="E68" s="12"/>
      <c r="F68" s="11"/>
      <c r="G68" s="8"/>
      <c r="H68" s="860"/>
      <c r="I68" s="859"/>
    </row>
    <row r="69" spans="4:9" ht="12.75">
      <c r="D69" s="12"/>
      <c r="E69" s="12"/>
      <c r="F69" s="11"/>
      <c r="G69" s="8"/>
      <c r="H69" s="860"/>
      <c r="I69" s="859"/>
    </row>
    <row r="70" spans="4:9" ht="12.75">
      <c r="D70" s="12"/>
      <c r="E70" s="12"/>
      <c r="F70" s="11"/>
      <c r="G70" s="8"/>
      <c r="H70" s="860"/>
      <c r="I70" s="859"/>
    </row>
    <row r="71" spans="4:9" ht="12.75">
      <c r="D71" s="12"/>
      <c r="E71" s="12"/>
      <c r="F71" s="11"/>
      <c r="G71" s="8"/>
      <c r="H71" s="860"/>
      <c r="I71" s="859"/>
    </row>
    <row r="72" spans="4:9" ht="12.75">
      <c r="D72" s="12"/>
      <c r="E72" s="12"/>
      <c r="F72" s="11"/>
      <c r="G72" s="8"/>
      <c r="H72" s="860"/>
      <c r="I72" s="859"/>
    </row>
    <row r="73" spans="8:9" ht="12.75">
      <c r="H73" s="511"/>
      <c r="I73" s="859"/>
    </row>
    <row r="74" spans="8:9" ht="12.75">
      <c r="H74" s="511"/>
      <c r="I74" s="859"/>
    </row>
    <row r="75" spans="8:9" ht="12.75">
      <c r="H75" s="511"/>
      <c r="I75" s="859"/>
    </row>
    <row r="76" spans="8:9" ht="12.75">
      <c r="H76" s="511"/>
      <c r="I76" s="859"/>
    </row>
    <row r="77" spans="8:9" ht="12.75">
      <c r="H77" s="511"/>
      <c r="I77" s="859"/>
    </row>
    <row r="78" spans="8:9" ht="12.75">
      <c r="H78" s="511"/>
      <c r="I78" s="859"/>
    </row>
    <row r="79" spans="8:9" ht="12.75">
      <c r="H79" s="511"/>
      <c r="I79" s="859"/>
    </row>
    <row r="80" spans="8:9" ht="12.75">
      <c r="H80" s="511"/>
      <c r="I80" s="859"/>
    </row>
    <row r="81" spans="8:9" ht="12.75">
      <c r="H81" s="511"/>
      <c r="I81" s="859"/>
    </row>
    <row r="82" spans="8:9" ht="12.75">
      <c r="H82" s="511"/>
      <c r="I82" s="859"/>
    </row>
    <row r="83" spans="8:9" ht="12.75">
      <c r="H83" s="511"/>
      <c r="I83" s="859"/>
    </row>
    <row r="84" spans="8:9" ht="12.75">
      <c r="H84" s="511"/>
      <c r="I84" s="859"/>
    </row>
    <row r="85" spans="8:9" ht="12.75">
      <c r="H85" s="511"/>
      <c r="I85" s="859"/>
    </row>
    <row r="86" spans="8:9" ht="12.75">
      <c r="H86" s="511"/>
      <c r="I86" s="859"/>
    </row>
    <row r="87" spans="8:9" ht="12.75">
      <c r="H87" s="511"/>
      <c r="I87" s="859"/>
    </row>
    <row r="88" spans="8:9" ht="12.75">
      <c r="H88" s="511"/>
      <c r="I88" s="859"/>
    </row>
    <row r="89" spans="8:9" ht="12.75">
      <c r="H89" s="511"/>
      <c r="I89" s="859"/>
    </row>
    <row r="90" spans="8:9" ht="12.75">
      <c r="H90" s="511"/>
      <c r="I90" s="859"/>
    </row>
    <row r="91" spans="8:9" ht="12.75">
      <c r="H91" s="511"/>
      <c r="I91" s="859"/>
    </row>
    <row r="92" spans="8:9" ht="12.75">
      <c r="H92" s="511"/>
      <c r="I92" s="859"/>
    </row>
    <row r="93" spans="8:9" ht="12.75">
      <c r="H93" s="511"/>
      <c r="I93" s="859"/>
    </row>
    <row r="94" spans="8:9" ht="12.75">
      <c r="H94" s="511"/>
      <c r="I94" s="859"/>
    </row>
    <row r="95" spans="8:9" ht="12.75">
      <c r="H95" s="511"/>
      <c r="I95" s="859"/>
    </row>
    <row r="96" spans="8:9" ht="12.75">
      <c r="H96" s="511"/>
      <c r="I96" s="859"/>
    </row>
    <row r="97" spans="8:9" ht="12.75">
      <c r="H97" s="511"/>
      <c r="I97" s="859"/>
    </row>
    <row r="98" spans="8:9" ht="12.75">
      <c r="H98" s="511"/>
      <c r="I98" s="859"/>
    </row>
    <row r="99" spans="8:9" ht="12.75">
      <c r="H99" s="511"/>
      <c r="I99" s="859"/>
    </row>
    <row r="100" spans="8:9" ht="12.75">
      <c r="H100" s="511"/>
      <c r="I100" s="859"/>
    </row>
    <row r="101" spans="8:9" ht="12.75">
      <c r="H101" s="511"/>
      <c r="I101" s="859"/>
    </row>
    <row r="102" spans="8:9" ht="12.75">
      <c r="H102" s="511"/>
      <c r="I102" s="859"/>
    </row>
    <row r="103" spans="8:9" ht="12.75">
      <c r="H103" s="511"/>
      <c r="I103" s="859"/>
    </row>
    <row r="104" spans="8:9" ht="12.75">
      <c r="H104" s="511"/>
      <c r="I104" s="859"/>
    </row>
    <row r="105" spans="8:9" ht="12.75">
      <c r="H105" s="511"/>
      <c r="I105" s="859"/>
    </row>
    <row r="106" spans="8:9" ht="12.75">
      <c r="H106" s="511"/>
      <c r="I106" s="859"/>
    </row>
    <row r="107" spans="8:9" ht="12.75">
      <c r="H107" s="511"/>
      <c r="I107" s="859"/>
    </row>
    <row r="108" spans="8:9" ht="12.75">
      <c r="H108" s="511"/>
      <c r="I108" s="859"/>
    </row>
    <row r="109" spans="8:9" ht="12.75">
      <c r="H109" s="511"/>
      <c r="I109" s="859"/>
    </row>
    <row r="110" spans="8:9" ht="12.75">
      <c r="H110" s="511"/>
      <c r="I110" s="859"/>
    </row>
    <row r="111" spans="8:9" ht="12.75">
      <c r="H111" s="511"/>
      <c r="I111" s="859"/>
    </row>
    <row r="112" spans="8:9" ht="12.75">
      <c r="H112" s="511"/>
      <c r="I112" s="859"/>
    </row>
    <row r="113" spans="8:9" ht="12.75">
      <c r="H113" s="511"/>
      <c r="I113" s="859"/>
    </row>
    <row r="114" spans="8:9" ht="12.75">
      <c r="H114" s="511"/>
      <c r="I114" s="859"/>
    </row>
    <row r="115" spans="8:9" ht="12.75">
      <c r="H115" s="511"/>
      <c r="I115" s="859"/>
    </row>
    <row r="116" spans="8:9" ht="12.75">
      <c r="H116" s="511"/>
      <c r="I116" s="859"/>
    </row>
    <row r="117" spans="8:9" ht="12.75">
      <c r="H117" s="511"/>
      <c r="I117" s="859"/>
    </row>
    <row r="118" spans="8:9" ht="12.75">
      <c r="H118" s="511"/>
      <c r="I118" s="859"/>
    </row>
    <row r="119" spans="8:9" ht="12.75">
      <c r="H119" s="511"/>
      <c r="I119" s="859"/>
    </row>
    <row r="120" spans="8:9" ht="12.75">
      <c r="H120" s="511"/>
      <c r="I120" s="859"/>
    </row>
    <row r="121" spans="8:9" ht="12.75">
      <c r="H121" s="511"/>
      <c r="I121" s="859"/>
    </row>
    <row r="122" spans="8:9" ht="12.75">
      <c r="H122" s="511"/>
      <c r="I122" s="859"/>
    </row>
    <row r="123" spans="8:9" ht="12.75">
      <c r="H123" s="511"/>
      <c r="I123" s="859"/>
    </row>
    <row r="124" spans="8:9" ht="12.75">
      <c r="H124" s="511"/>
      <c r="I124" s="859"/>
    </row>
    <row r="125" spans="8:9" ht="12.75">
      <c r="H125" s="511"/>
      <c r="I125" s="859"/>
    </row>
    <row r="126" spans="8:9" ht="12.75">
      <c r="H126" s="511"/>
      <c r="I126" s="859"/>
    </row>
    <row r="127" spans="8:9" ht="12.75">
      <c r="H127" s="511"/>
      <c r="I127" s="859"/>
    </row>
    <row r="128" spans="8:9" ht="12.75">
      <c r="H128" s="511"/>
      <c r="I128" s="859"/>
    </row>
    <row r="129" spans="8:9" ht="12.75">
      <c r="H129" s="511"/>
      <c r="I129" s="859"/>
    </row>
    <row r="130" spans="8:9" ht="12.75">
      <c r="H130" s="511"/>
      <c r="I130" s="859"/>
    </row>
    <row r="131" spans="8:9" ht="12.75">
      <c r="H131" s="511"/>
      <c r="I131" s="859"/>
    </row>
    <row r="132" spans="8:9" ht="12.75">
      <c r="H132" s="511"/>
      <c r="I132" s="859"/>
    </row>
    <row r="133" spans="8:9" ht="12.75">
      <c r="H133" s="511"/>
      <c r="I133" s="859"/>
    </row>
    <row r="134" spans="8:9" ht="12.75">
      <c r="H134" s="511"/>
      <c r="I134" s="859"/>
    </row>
    <row r="135" spans="8:9" ht="12.75">
      <c r="H135" s="511"/>
      <c r="I135" s="859"/>
    </row>
    <row r="136" spans="8:9" ht="12.75">
      <c r="H136" s="511"/>
      <c r="I136" s="859"/>
    </row>
    <row r="137" spans="8:9" ht="12.75">
      <c r="H137" s="511"/>
      <c r="I137" s="859"/>
    </row>
    <row r="138" spans="8:9" ht="12.75">
      <c r="H138" s="511"/>
      <c r="I138" s="859"/>
    </row>
    <row r="139" spans="8:9" ht="12.75">
      <c r="H139" s="511"/>
      <c r="I139" s="859"/>
    </row>
    <row r="140" spans="8:9" ht="12.75">
      <c r="H140" s="511"/>
      <c r="I140" s="859"/>
    </row>
    <row r="141" spans="8:9" ht="12.75">
      <c r="H141" s="511"/>
      <c r="I141" s="859"/>
    </row>
    <row r="142" spans="8:9" ht="12.75">
      <c r="H142" s="511"/>
      <c r="I142" s="859"/>
    </row>
    <row r="143" spans="8:9" ht="12.75">
      <c r="H143" s="511"/>
      <c r="I143" s="859"/>
    </row>
    <row r="144" spans="8:9" ht="12.75">
      <c r="H144" s="511"/>
      <c r="I144" s="859"/>
    </row>
    <row r="145" spans="8:9" ht="12.75">
      <c r="H145" s="511"/>
      <c r="I145" s="859"/>
    </row>
    <row r="146" spans="8:9" ht="12.75">
      <c r="H146" s="511"/>
      <c r="I146" s="859"/>
    </row>
    <row r="147" spans="8:9" ht="12.75">
      <c r="H147" s="511"/>
      <c r="I147" s="859"/>
    </row>
    <row r="148" spans="8:9" ht="12.75">
      <c r="H148" s="511"/>
      <c r="I148" s="859"/>
    </row>
    <row r="149" spans="8:9" ht="12.75">
      <c r="H149" s="511"/>
      <c r="I149" s="859"/>
    </row>
    <row r="150" spans="8:9" ht="12.75">
      <c r="H150" s="511"/>
      <c r="I150" s="859"/>
    </row>
    <row r="151" spans="8:9" ht="12.75">
      <c r="H151" s="511"/>
      <c r="I151" s="859"/>
    </row>
    <row r="152" spans="8:9" ht="12.75">
      <c r="H152" s="511"/>
      <c r="I152" s="859"/>
    </row>
    <row r="153" spans="8:9" ht="12.75">
      <c r="H153" s="511"/>
      <c r="I153" s="859"/>
    </row>
    <row r="154" spans="8:9" ht="12.75">
      <c r="H154" s="511"/>
      <c r="I154" s="859"/>
    </row>
    <row r="155" spans="8:9" ht="12.75">
      <c r="H155" s="511"/>
      <c r="I155" s="859"/>
    </row>
    <row r="156" spans="8:9" ht="12.75">
      <c r="H156" s="511"/>
      <c r="I156" s="859"/>
    </row>
    <row r="157" spans="8:9" ht="12.75">
      <c r="H157" s="511"/>
      <c r="I157" s="859"/>
    </row>
    <row r="158" spans="8:9" ht="12.75">
      <c r="H158" s="511"/>
      <c r="I158" s="859"/>
    </row>
    <row r="159" spans="8:9" ht="12.75">
      <c r="H159" s="511"/>
      <c r="I159" s="859"/>
    </row>
    <row r="160" spans="8:9" ht="12.75">
      <c r="H160" s="511"/>
      <c r="I160" s="859"/>
    </row>
    <row r="161" spans="8:9" ht="12.75">
      <c r="H161" s="511"/>
      <c r="I161" s="859"/>
    </row>
    <row r="162" spans="8:9" ht="12.75">
      <c r="H162" s="511"/>
      <c r="I162" s="859"/>
    </row>
    <row r="163" spans="8:9" ht="12.75">
      <c r="H163" s="511"/>
      <c r="I163" s="859"/>
    </row>
    <row r="164" spans="8:9" ht="12.75">
      <c r="H164" s="511"/>
      <c r="I164" s="859"/>
    </row>
    <row r="165" spans="8:9" ht="12.75">
      <c r="H165" s="511"/>
      <c r="I165" s="861"/>
    </row>
    <row r="166" spans="8:9" ht="12.75">
      <c r="H166" s="511"/>
      <c r="I166" s="861"/>
    </row>
    <row r="167" spans="8:9" ht="12.75">
      <c r="H167" s="511"/>
      <c r="I167" s="861"/>
    </row>
    <row r="168" spans="8:9" ht="12.75">
      <c r="H168" s="511"/>
      <c r="I168" s="861"/>
    </row>
    <row r="169" spans="8:9" ht="12.75">
      <c r="H169" s="511"/>
      <c r="I169" s="861"/>
    </row>
    <row r="170" spans="8:9" ht="12.75">
      <c r="H170" s="511"/>
      <c r="I170" s="861"/>
    </row>
    <row r="171" spans="8:9" ht="12.75">
      <c r="H171" s="511"/>
      <c r="I171" s="861"/>
    </row>
    <row r="172" spans="8:9" ht="12.75">
      <c r="H172" s="511"/>
      <c r="I172" s="861"/>
    </row>
    <row r="173" spans="8:9" ht="12.75">
      <c r="H173" s="511"/>
      <c r="I173" s="861"/>
    </row>
    <row r="174" spans="8:9" ht="12.75">
      <c r="H174" s="511"/>
      <c r="I174" s="861"/>
    </row>
    <row r="175" spans="8:9" ht="12.75">
      <c r="H175" s="511"/>
      <c r="I175" s="861"/>
    </row>
    <row r="176" spans="8:9" ht="12.75">
      <c r="H176" s="511"/>
      <c r="I176" s="861"/>
    </row>
    <row r="177" spans="8:9" ht="12.75">
      <c r="H177" s="511"/>
      <c r="I177" s="861"/>
    </row>
    <row r="178" spans="8:9" ht="12.75">
      <c r="H178" s="511"/>
      <c r="I178" s="861"/>
    </row>
    <row r="179" spans="8:9" ht="12.75">
      <c r="H179" s="511"/>
      <c r="I179" s="861"/>
    </row>
    <row r="180" spans="8:9" ht="12.75">
      <c r="H180" s="511"/>
      <c r="I180" s="861"/>
    </row>
    <row r="181" spans="8:9" ht="12.75">
      <c r="H181" s="511"/>
      <c r="I181" s="861"/>
    </row>
    <row r="182" spans="8:9" ht="12.75">
      <c r="H182" s="511"/>
      <c r="I182" s="861"/>
    </row>
    <row r="183" spans="8:9" ht="12.75">
      <c r="H183" s="511"/>
      <c r="I183" s="861"/>
    </row>
    <row r="184" spans="8:9" ht="12.75">
      <c r="H184" s="511"/>
      <c r="I184" s="861"/>
    </row>
    <row r="185" spans="8:9" ht="12.75">
      <c r="H185" s="511"/>
      <c r="I185" s="861"/>
    </row>
    <row r="186" spans="8:9" ht="12.75">
      <c r="H186" s="511"/>
      <c r="I186" s="861"/>
    </row>
  </sheetData>
  <sheetProtection password="CF53" sheet="1" objects="1" scenarios="1" selectLockedCells="1" selectUnlockedCells="1"/>
  <mergeCells count="9">
    <mergeCell ref="H1:I1"/>
    <mergeCell ref="A49:C49"/>
    <mergeCell ref="H4:I4"/>
    <mergeCell ref="D5:F5"/>
    <mergeCell ref="G5:I5"/>
    <mergeCell ref="A5:A6"/>
    <mergeCell ref="B5:B6"/>
    <mergeCell ref="C5:C6"/>
    <mergeCell ref="A3:I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J55"/>
  <sheetViews>
    <sheetView defaultGridColor="0" view="pageBreakPreview" zoomScaleSheetLayoutView="100" colorId="8" workbookViewId="0" topLeftCell="A1">
      <selection activeCell="I4" sqref="I4"/>
    </sheetView>
  </sheetViews>
  <sheetFormatPr defaultColWidth="9.00390625" defaultRowHeight="12.75"/>
  <cols>
    <col min="1" max="1" width="14.75390625" style="64" customWidth="1"/>
    <col min="2" max="2" width="14.00390625" style="64" customWidth="1"/>
    <col min="3" max="3" width="14.25390625" style="65" customWidth="1"/>
    <col min="4" max="4" width="14.875" style="65" customWidth="1"/>
    <col min="5" max="5" width="13.625" style="65" customWidth="1"/>
    <col min="6" max="6" width="15.625" style="65" customWidth="1"/>
    <col min="7" max="7" width="15.75390625" style="65" customWidth="1"/>
    <col min="8" max="8" width="12.25390625" style="65" customWidth="1"/>
    <col min="9" max="9" width="15.875" style="65" customWidth="1"/>
    <col min="10" max="16384" width="9.125" style="65" customWidth="1"/>
  </cols>
  <sheetData>
    <row r="1" spans="1:10" ht="12.75">
      <c r="A1" s="484"/>
      <c r="B1" s="484"/>
      <c r="C1" s="485"/>
      <c r="D1" s="485"/>
      <c r="E1" s="485"/>
      <c r="F1" s="485"/>
      <c r="G1" s="485"/>
      <c r="H1" s="485"/>
      <c r="I1" s="453" t="s">
        <v>1092</v>
      </c>
      <c r="J1" s="486"/>
    </row>
    <row r="2" spans="1:9" ht="21" customHeight="1">
      <c r="A2" s="484"/>
      <c r="B2" s="484"/>
      <c r="C2" s="485"/>
      <c r="D2" s="485"/>
      <c r="E2" s="485"/>
      <c r="F2" s="485"/>
      <c r="G2" s="485"/>
      <c r="H2" s="485"/>
      <c r="I2" s="485"/>
    </row>
    <row r="3" spans="1:9" ht="25.5" customHeight="1">
      <c r="A3" s="1600" t="s">
        <v>335</v>
      </c>
      <c r="B3" s="1600"/>
      <c r="C3" s="1600"/>
      <c r="D3" s="1600"/>
      <c r="E3" s="1600"/>
      <c r="F3" s="1600"/>
      <c r="G3" s="1600"/>
      <c r="H3" s="1600"/>
      <c r="I3" s="1600"/>
    </row>
    <row r="4" spans="1:9" ht="12" customHeight="1" thickBot="1">
      <c r="A4" s="484"/>
      <c r="B4" s="484"/>
      <c r="C4" s="485"/>
      <c r="D4" s="485"/>
      <c r="E4" s="485"/>
      <c r="F4" s="485"/>
      <c r="G4" s="485"/>
      <c r="H4" s="485"/>
      <c r="I4" s="487" t="s">
        <v>67</v>
      </c>
    </row>
    <row r="5" spans="1:9" s="64" customFormat="1" ht="17.25" customHeight="1">
      <c r="A5" s="1601" t="s">
        <v>69</v>
      </c>
      <c r="B5" s="1606" t="s">
        <v>68</v>
      </c>
      <c r="C5" s="1603" t="s">
        <v>1038</v>
      </c>
      <c r="D5" s="1603" t="s">
        <v>1039</v>
      </c>
      <c r="E5" s="1603" t="s">
        <v>350</v>
      </c>
      <c r="F5" s="1603"/>
      <c r="G5" s="1603"/>
      <c r="H5" s="1603"/>
      <c r="I5" s="1608"/>
    </row>
    <row r="6" spans="1:9" s="64" customFormat="1" ht="16.5" customHeight="1">
      <c r="A6" s="1602"/>
      <c r="B6" s="1604"/>
      <c r="C6" s="1604"/>
      <c r="D6" s="1605"/>
      <c r="E6" s="1605" t="s">
        <v>1040</v>
      </c>
      <c r="F6" s="1605" t="s">
        <v>568</v>
      </c>
      <c r="G6" s="1605"/>
      <c r="H6" s="1605"/>
      <c r="I6" s="1607" t="s">
        <v>1041</v>
      </c>
    </row>
    <row r="7" spans="1:9" s="64" customFormat="1" ht="28.5" customHeight="1">
      <c r="A7" s="1602"/>
      <c r="B7" s="1604"/>
      <c r="C7" s="1604"/>
      <c r="D7" s="1605"/>
      <c r="E7" s="1605"/>
      <c r="F7" s="490" t="s">
        <v>1042</v>
      </c>
      <c r="G7" s="490" t="s">
        <v>1043</v>
      </c>
      <c r="H7" s="490" t="s">
        <v>1044</v>
      </c>
      <c r="I7" s="1607"/>
    </row>
    <row r="8" spans="1:9" ht="14.25" customHeight="1">
      <c r="A8" s="74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491">
        <v>9</v>
      </c>
    </row>
    <row r="9" spans="1:9" s="499" customFormat="1" ht="19.5" customHeight="1">
      <c r="A9" s="488" t="s">
        <v>70</v>
      </c>
      <c r="B9" s="489" t="s">
        <v>674</v>
      </c>
      <c r="C9" s="502">
        <f aca="true" t="shared" si="0" ref="C9:I10">SUM(C11,C13,C15,C17,C19,C21,C23,C25,C27)</f>
        <v>7225331.66</v>
      </c>
      <c r="D9" s="502">
        <f t="shared" si="0"/>
        <v>7225331.66</v>
      </c>
      <c r="E9" s="502">
        <f t="shared" si="0"/>
        <v>7225331.66</v>
      </c>
      <c r="F9" s="502">
        <f t="shared" si="0"/>
        <v>491696</v>
      </c>
      <c r="G9" s="502">
        <f t="shared" si="0"/>
        <v>168575</v>
      </c>
      <c r="H9" s="502">
        <f t="shared" si="0"/>
        <v>6296000</v>
      </c>
      <c r="I9" s="547">
        <f t="shared" si="0"/>
        <v>0</v>
      </c>
    </row>
    <row r="10" spans="1:9" ht="19.5" customHeight="1">
      <c r="A10" s="494" t="s">
        <v>71</v>
      </c>
      <c r="B10" s="419" t="s">
        <v>674</v>
      </c>
      <c r="C10" s="495">
        <f t="shared" si="0"/>
        <v>3626770.66</v>
      </c>
      <c r="D10" s="495">
        <f t="shared" si="0"/>
        <v>3430582.35</v>
      </c>
      <c r="E10" s="495">
        <f t="shared" si="0"/>
        <v>3430582.35</v>
      </c>
      <c r="F10" s="495">
        <f t="shared" si="0"/>
        <v>240824.93</v>
      </c>
      <c r="G10" s="495">
        <f t="shared" si="0"/>
        <v>77957.77</v>
      </c>
      <c r="H10" s="495">
        <f t="shared" si="0"/>
        <v>2982303.5799999996</v>
      </c>
      <c r="I10" s="548">
        <f t="shared" si="0"/>
        <v>0</v>
      </c>
    </row>
    <row r="11" spans="1:9" s="499" customFormat="1" ht="19.5" customHeight="1">
      <c r="A11" s="496" t="s">
        <v>70</v>
      </c>
      <c r="B11" s="497" t="s">
        <v>813</v>
      </c>
      <c r="C11" s="492">
        <f>SUM(6D!E10)</f>
        <v>15163.66</v>
      </c>
      <c r="D11" s="492">
        <f aca="true" t="shared" si="1" ref="D11:D24">SUM(E11,I11)</f>
        <v>15163.66</v>
      </c>
      <c r="E11" s="492">
        <v>15163.66</v>
      </c>
      <c r="F11" s="492">
        <v>0</v>
      </c>
      <c r="G11" s="492">
        <v>0</v>
      </c>
      <c r="H11" s="492">
        <v>0</v>
      </c>
      <c r="I11" s="498">
        <v>0</v>
      </c>
    </row>
    <row r="12" spans="1:9" ht="19.5" customHeight="1">
      <c r="A12" s="74" t="s">
        <v>71</v>
      </c>
      <c r="B12" s="500" t="s">
        <v>813</v>
      </c>
      <c r="C12" s="493">
        <f>SUM(6D!F10)</f>
        <v>15163.66</v>
      </c>
      <c r="D12" s="493">
        <f t="shared" si="1"/>
        <v>15043.33</v>
      </c>
      <c r="E12" s="493">
        <v>15043.33</v>
      </c>
      <c r="F12" s="493">
        <v>0</v>
      </c>
      <c r="G12" s="493">
        <v>0</v>
      </c>
      <c r="H12" s="493">
        <v>0</v>
      </c>
      <c r="I12" s="501">
        <v>0</v>
      </c>
    </row>
    <row r="13" spans="1:9" s="499" customFormat="1" ht="19.5" customHeight="1">
      <c r="A13" s="496" t="s">
        <v>70</v>
      </c>
      <c r="B13" s="503">
        <v>75011</v>
      </c>
      <c r="C13" s="492">
        <f>SUM(6D!E61)</f>
        <v>360000</v>
      </c>
      <c r="D13" s="492">
        <f t="shared" si="1"/>
        <v>360000</v>
      </c>
      <c r="E13" s="492">
        <v>360000</v>
      </c>
      <c r="F13" s="492">
        <v>296811</v>
      </c>
      <c r="G13" s="492">
        <v>58231</v>
      </c>
      <c r="H13" s="492">
        <v>0</v>
      </c>
      <c r="I13" s="498">
        <v>0</v>
      </c>
    </row>
    <row r="14" spans="1:9" ht="19.5" customHeight="1">
      <c r="A14" s="74" t="s">
        <v>71</v>
      </c>
      <c r="B14" s="76">
        <v>75011</v>
      </c>
      <c r="C14" s="493">
        <f>SUM(6D!F61)</f>
        <v>194135</v>
      </c>
      <c r="D14" s="493">
        <f t="shared" si="1"/>
        <v>194135</v>
      </c>
      <c r="E14" s="493">
        <v>194135</v>
      </c>
      <c r="F14" s="493">
        <v>146462.47</v>
      </c>
      <c r="G14" s="493">
        <v>43139.48</v>
      </c>
      <c r="H14" s="493">
        <v>0</v>
      </c>
      <c r="I14" s="501">
        <v>0</v>
      </c>
    </row>
    <row r="15" spans="1:9" s="499" customFormat="1" ht="19.5" customHeight="1">
      <c r="A15" s="496" t="s">
        <v>70</v>
      </c>
      <c r="B15" s="503">
        <v>75101</v>
      </c>
      <c r="C15" s="492">
        <f>SUM(6D!E74)</f>
        <v>6168</v>
      </c>
      <c r="D15" s="492">
        <f t="shared" si="1"/>
        <v>6168</v>
      </c>
      <c r="E15" s="492">
        <v>6168</v>
      </c>
      <c r="F15" s="492">
        <v>5242</v>
      </c>
      <c r="G15" s="492">
        <v>926</v>
      </c>
      <c r="H15" s="492">
        <v>0</v>
      </c>
      <c r="I15" s="498">
        <v>0</v>
      </c>
    </row>
    <row r="16" spans="1:9" s="507" customFormat="1" ht="19.5" customHeight="1">
      <c r="A16" s="74" t="s">
        <v>71</v>
      </c>
      <c r="B16" s="504">
        <v>75101</v>
      </c>
      <c r="C16" s="505">
        <f>SUM(6D!F74)</f>
        <v>3084</v>
      </c>
      <c r="D16" s="505">
        <f t="shared" si="1"/>
        <v>601</v>
      </c>
      <c r="E16" s="505">
        <v>601</v>
      </c>
      <c r="F16" s="505">
        <v>601</v>
      </c>
      <c r="G16" s="505">
        <v>0</v>
      </c>
      <c r="H16" s="505">
        <v>0</v>
      </c>
      <c r="I16" s="506">
        <v>0</v>
      </c>
    </row>
    <row r="17" spans="1:9" s="499" customFormat="1" ht="19.5" customHeight="1">
      <c r="A17" s="496" t="s">
        <v>70</v>
      </c>
      <c r="B17" s="503">
        <v>75414</v>
      </c>
      <c r="C17" s="492">
        <f>SUM(6D!E79)</f>
        <v>7000</v>
      </c>
      <c r="D17" s="492">
        <f t="shared" si="1"/>
        <v>7000</v>
      </c>
      <c r="E17" s="492">
        <v>7000</v>
      </c>
      <c r="F17" s="492">
        <v>0</v>
      </c>
      <c r="G17" s="492">
        <v>0</v>
      </c>
      <c r="H17" s="492">
        <v>0</v>
      </c>
      <c r="I17" s="498">
        <v>0</v>
      </c>
    </row>
    <row r="18" spans="1:9" s="511" customFormat="1" ht="19.5" customHeight="1">
      <c r="A18" s="74" t="s">
        <v>71</v>
      </c>
      <c r="B18" s="508">
        <v>75414</v>
      </c>
      <c r="C18" s="509">
        <f>SUM(6D!F79)</f>
        <v>7000</v>
      </c>
      <c r="D18" s="509">
        <f t="shared" si="1"/>
        <v>1293.23</v>
      </c>
      <c r="E18" s="509">
        <v>1293.23</v>
      </c>
      <c r="F18" s="509">
        <v>0</v>
      </c>
      <c r="G18" s="509">
        <v>0</v>
      </c>
      <c r="H18" s="509">
        <v>0</v>
      </c>
      <c r="I18" s="510">
        <v>0</v>
      </c>
    </row>
    <row r="19" spans="1:9" s="499" customFormat="1" ht="19.5" customHeight="1">
      <c r="A19" s="512" t="s">
        <v>70</v>
      </c>
      <c r="B19" s="513">
        <v>85203</v>
      </c>
      <c r="C19" s="514">
        <f>SUM(6D!E164)</f>
        <v>142000</v>
      </c>
      <c r="D19" s="514">
        <f t="shared" si="1"/>
        <v>142000</v>
      </c>
      <c r="E19" s="514">
        <v>142000</v>
      </c>
      <c r="F19" s="514">
        <v>0</v>
      </c>
      <c r="G19" s="514">
        <v>0</v>
      </c>
      <c r="H19" s="514">
        <v>0</v>
      </c>
      <c r="I19" s="515">
        <v>0</v>
      </c>
    </row>
    <row r="20" spans="1:9" ht="19.5" customHeight="1">
      <c r="A20" s="74" t="s">
        <v>71</v>
      </c>
      <c r="B20" s="76">
        <v>85203</v>
      </c>
      <c r="C20" s="493">
        <f>SUM(6D!F164)</f>
        <v>63900</v>
      </c>
      <c r="D20" s="493">
        <f t="shared" si="1"/>
        <v>63900</v>
      </c>
      <c r="E20" s="493">
        <v>63900</v>
      </c>
      <c r="F20" s="493">
        <v>0</v>
      </c>
      <c r="G20" s="493">
        <v>0</v>
      </c>
      <c r="H20" s="493">
        <v>0</v>
      </c>
      <c r="I20" s="501">
        <v>0</v>
      </c>
    </row>
    <row r="21" spans="1:9" s="499" customFormat="1" ht="19.5" customHeight="1">
      <c r="A21" s="496" t="s">
        <v>70</v>
      </c>
      <c r="B21" s="503">
        <v>85212</v>
      </c>
      <c r="C21" s="492">
        <f>SUM(6D!E166)</f>
        <v>5732000</v>
      </c>
      <c r="D21" s="492">
        <f t="shared" si="1"/>
        <v>5732000</v>
      </c>
      <c r="E21" s="492">
        <v>5732000</v>
      </c>
      <c r="F21" s="492">
        <v>133978</v>
      </c>
      <c r="G21" s="492">
        <v>98479</v>
      </c>
      <c r="H21" s="492">
        <v>5485000</v>
      </c>
      <c r="I21" s="498">
        <v>0</v>
      </c>
    </row>
    <row r="22" spans="1:9" ht="19.5" customHeight="1">
      <c r="A22" s="74" t="s">
        <v>71</v>
      </c>
      <c r="B22" s="76">
        <v>85212</v>
      </c>
      <c r="C22" s="493">
        <f>SUM(6D!F166)</f>
        <v>2865996</v>
      </c>
      <c r="D22" s="493">
        <f t="shared" si="1"/>
        <v>2717578.49</v>
      </c>
      <c r="E22" s="493">
        <v>2717578.49</v>
      </c>
      <c r="F22" s="493">
        <v>69173.52</v>
      </c>
      <c r="G22" s="493">
        <v>30579.7</v>
      </c>
      <c r="H22" s="493">
        <v>2607162.76</v>
      </c>
      <c r="I22" s="501">
        <v>0</v>
      </c>
    </row>
    <row r="23" spans="1:9" s="499" customFormat="1" ht="19.5" customHeight="1">
      <c r="A23" s="496" t="s">
        <v>70</v>
      </c>
      <c r="B23" s="503">
        <v>85213</v>
      </c>
      <c r="C23" s="492">
        <f>SUM(6D!E168)</f>
        <v>80000</v>
      </c>
      <c r="D23" s="492">
        <f t="shared" si="1"/>
        <v>80000</v>
      </c>
      <c r="E23" s="492">
        <v>80000</v>
      </c>
      <c r="F23" s="492">
        <v>0</v>
      </c>
      <c r="G23" s="492">
        <v>0</v>
      </c>
      <c r="H23" s="492">
        <v>0</v>
      </c>
      <c r="I23" s="498">
        <v>0</v>
      </c>
    </row>
    <row r="24" spans="1:9" ht="19.5" customHeight="1">
      <c r="A24" s="74" t="s">
        <v>71</v>
      </c>
      <c r="B24" s="76">
        <v>85213</v>
      </c>
      <c r="C24" s="493">
        <f>SUM(6D!F168)</f>
        <v>39996</v>
      </c>
      <c r="D24" s="493">
        <f t="shared" si="1"/>
        <v>30892.48</v>
      </c>
      <c r="E24" s="493">
        <v>30892.48</v>
      </c>
      <c r="F24" s="493">
        <v>0</v>
      </c>
      <c r="G24" s="493">
        <v>0</v>
      </c>
      <c r="H24" s="493">
        <v>0</v>
      </c>
      <c r="I24" s="501">
        <v>0</v>
      </c>
    </row>
    <row r="25" spans="1:9" s="499" customFormat="1" ht="19.5" customHeight="1">
      <c r="A25" s="496" t="s">
        <v>70</v>
      </c>
      <c r="B25" s="503">
        <v>85214</v>
      </c>
      <c r="C25" s="492">
        <f>SUM(6D!E171)</f>
        <v>811000</v>
      </c>
      <c r="D25" s="492">
        <f>SUM(E25,I25)</f>
        <v>811000</v>
      </c>
      <c r="E25" s="492">
        <v>811000</v>
      </c>
      <c r="F25" s="492">
        <v>0</v>
      </c>
      <c r="G25" s="492">
        <v>0</v>
      </c>
      <c r="H25" s="492">
        <v>811000</v>
      </c>
      <c r="I25" s="498">
        <v>0</v>
      </c>
    </row>
    <row r="26" spans="1:9" ht="19.5" customHeight="1">
      <c r="A26" s="74" t="s">
        <v>71</v>
      </c>
      <c r="B26" s="76">
        <v>85214</v>
      </c>
      <c r="C26" s="493">
        <f>SUM(6D!F171)</f>
        <v>405498</v>
      </c>
      <c r="D26" s="493">
        <f>SUM(E26,I26)</f>
        <v>375140.82</v>
      </c>
      <c r="E26" s="493">
        <v>375140.82</v>
      </c>
      <c r="F26" s="493">
        <v>0</v>
      </c>
      <c r="G26" s="493">
        <v>0</v>
      </c>
      <c r="H26" s="493">
        <v>375140.82</v>
      </c>
      <c r="I26" s="501">
        <v>0</v>
      </c>
    </row>
    <row r="27" spans="1:9" s="499" customFormat="1" ht="19.5" customHeight="1">
      <c r="A27" s="496" t="s">
        <v>70</v>
      </c>
      <c r="B27" s="503">
        <v>85228</v>
      </c>
      <c r="C27" s="492">
        <f>SUM(6D!E182)</f>
        <v>72000</v>
      </c>
      <c r="D27" s="492">
        <f>SUM(E27,I27)</f>
        <v>72000</v>
      </c>
      <c r="E27" s="492">
        <v>72000</v>
      </c>
      <c r="F27" s="492">
        <v>55665</v>
      </c>
      <c r="G27" s="492">
        <v>10939</v>
      </c>
      <c r="H27" s="492">
        <v>0</v>
      </c>
      <c r="I27" s="498">
        <v>0</v>
      </c>
    </row>
    <row r="28" spans="1:9" ht="19.5" customHeight="1">
      <c r="A28" s="74" t="s">
        <v>71</v>
      </c>
      <c r="B28" s="76">
        <v>85228</v>
      </c>
      <c r="C28" s="493">
        <f>SUM(6D!F182)</f>
        <v>31998</v>
      </c>
      <c r="D28" s="493">
        <f>SUM(E28,I28)</f>
        <v>31998</v>
      </c>
      <c r="E28" s="493">
        <v>31998</v>
      </c>
      <c r="F28" s="493">
        <v>24587.94</v>
      </c>
      <c r="G28" s="493">
        <v>4238.59</v>
      </c>
      <c r="H28" s="493">
        <v>0</v>
      </c>
      <c r="I28" s="501">
        <v>0</v>
      </c>
    </row>
    <row r="29" spans="1:9" s="499" customFormat="1" ht="19.5" customHeight="1">
      <c r="A29" s="488" t="s">
        <v>70</v>
      </c>
      <c r="B29" s="489" t="s">
        <v>675</v>
      </c>
      <c r="C29" s="502">
        <f aca="true" t="shared" si="2" ref="C29:I30">SUM(C31,C33,C35,C37,C39,C41,C43,C45,C47,C49)</f>
        <v>5214892</v>
      </c>
      <c r="D29" s="502">
        <f t="shared" si="2"/>
        <v>5214892</v>
      </c>
      <c r="E29" s="502">
        <f t="shared" si="2"/>
        <v>5214892</v>
      </c>
      <c r="F29" s="502">
        <f t="shared" si="2"/>
        <v>3361239</v>
      </c>
      <c r="G29" s="502">
        <f t="shared" si="2"/>
        <v>89570</v>
      </c>
      <c r="H29" s="502">
        <f t="shared" si="2"/>
        <v>0</v>
      </c>
      <c r="I29" s="547">
        <f t="shared" si="2"/>
        <v>0</v>
      </c>
    </row>
    <row r="30" spans="1:9" ht="19.5" customHeight="1">
      <c r="A30" s="494" t="s">
        <v>71</v>
      </c>
      <c r="B30" s="419" t="s">
        <v>675</v>
      </c>
      <c r="C30" s="495">
        <f t="shared" si="2"/>
        <v>3005088</v>
      </c>
      <c r="D30" s="495">
        <f t="shared" si="2"/>
        <v>2476002.5799999996</v>
      </c>
      <c r="E30" s="495">
        <f t="shared" si="2"/>
        <v>2476002.5799999996</v>
      </c>
      <c r="F30" s="495">
        <f t="shared" si="2"/>
        <v>1615992.4500000002</v>
      </c>
      <c r="G30" s="495">
        <f t="shared" si="2"/>
        <v>29381.77</v>
      </c>
      <c r="H30" s="495">
        <f t="shared" si="2"/>
        <v>0</v>
      </c>
      <c r="I30" s="548">
        <f t="shared" si="2"/>
        <v>0</v>
      </c>
    </row>
    <row r="31" spans="1:9" s="499" customFormat="1" ht="19.5" customHeight="1">
      <c r="A31" s="512" t="s">
        <v>70</v>
      </c>
      <c r="B31" s="516" t="s">
        <v>87</v>
      </c>
      <c r="C31" s="514">
        <f>SUM(6D!E242)</f>
        <v>127000</v>
      </c>
      <c r="D31" s="492">
        <f aca="true" t="shared" si="3" ref="D31:D50">SUM(E31,I31)</f>
        <v>127000</v>
      </c>
      <c r="E31" s="514">
        <v>127000</v>
      </c>
      <c r="F31" s="514">
        <v>0</v>
      </c>
      <c r="G31" s="514">
        <v>0</v>
      </c>
      <c r="H31" s="514">
        <v>0</v>
      </c>
      <c r="I31" s="515">
        <v>0</v>
      </c>
    </row>
    <row r="32" spans="1:9" ht="19.5" customHeight="1">
      <c r="A32" s="74" t="s">
        <v>71</v>
      </c>
      <c r="B32" s="500" t="s">
        <v>87</v>
      </c>
      <c r="C32" s="493">
        <f>SUM(6D!F242)</f>
        <v>63498</v>
      </c>
      <c r="D32" s="509">
        <f t="shared" si="3"/>
        <v>29346.02</v>
      </c>
      <c r="E32" s="493">
        <v>29346.02</v>
      </c>
      <c r="F32" s="493">
        <v>0</v>
      </c>
      <c r="G32" s="493">
        <v>0</v>
      </c>
      <c r="H32" s="493">
        <v>0</v>
      </c>
      <c r="I32" s="501">
        <v>0</v>
      </c>
    </row>
    <row r="33" spans="1:9" s="499" customFormat="1" ht="19.5" customHeight="1">
      <c r="A33" s="496" t="s">
        <v>70</v>
      </c>
      <c r="B33" s="497" t="s">
        <v>91</v>
      </c>
      <c r="C33" s="492">
        <f>SUM(6D!E245)</f>
        <v>51000</v>
      </c>
      <c r="D33" s="492">
        <f t="shared" si="3"/>
        <v>51000</v>
      </c>
      <c r="E33" s="492">
        <v>51000</v>
      </c>
      <c r="F33" s="492">
        <v>0</v>
      </c>
      <c r="G33" s="492">
        <v>0</v>
      </c>
      <c r="H33" s="492">
        <v>0</v>
      </c>
      <c r="I33" s="498">
        <v>0</v>
      </c>
    </row>
    <row r="34" spans="1:9" ht="19.5" customHeight="1">
      <c r="A34" s="74" t="s">
        <v>71</v>
      </c>
      <c r="B34" s="500" t="s">
        <v>91</v>
      </c>
      <c r="C34" s="493">
        <f>SUM(6D!F245)</f>
        <v>27388</v>
      </c>
      <c r="D34" s="509">
        <f t="shared" si="3"/>
        <v>0</v>
      </c>
      <c r="E34" s="493">
        <v>0</v>
      </c>
      <c r="F34" s="493">
        <v>0</v>
      </c>
      <c r="G34" s="493">
        <v>0</v>
      </c>
      <c r="H34" s="493">
        <v>0</v>
      </c>
      <c r="I34" s="501">
        <v>0</v>
      </c>
    </row>
    <row r="35" spans="1:9" s="499" customFormat="1" ht="19.5" customHeight="1">
      <c r="A35" s="512" t="s">
        <v>70</v>
      </c>
      <c r="B35" s="516" t="s">
        <v>92</v>
      </c>
      <c r="C35" s="514">
        <f>SUM(6D!E248)</f>
        <v>14000</v>
      </c>
      <c r="D35" s="514">
        <f t="shared" si="3"/>
        <v>14000</v>
      </c>
      <c r="E35" s="514">
        <v>14000</v>
      </c>
      <c r="F35" s="514">
        <v>0</v>
      </c>
      <c r="G35" s="514">
        <v>0</v>
      </c>
      <c r="H35" s="514">
        <v>0</v>
      </c>
      <c r="I35" s="515">
        <v>0</v>
      </c>
    </row>
    <row r="36" spans="1:9" ht="19.5" customHeight="1">
      <c r="A36" s="74" t="s">
        <v>71</v>
      </c>
      <c r="B36" s="500" t="s">
        <v>92</v>
      </c>
      <c r="C36" s="493">
        <f>SUM(6D!F248)</f>
        <v>7516</v>
      </c>
      <c r="D36" s="509">
        <f t="shared" si="3"/>
        <v>0</v>
      </c>
      <c r="E36" s="493">
        <v>0</v>
      </c>
      <c r="F36" s="493">
        <v>0</v>
      </c>
      <c r="G36" s="493">
        <v>0</v>
      </c>
      <c r="H36" s="493">
        <v>0</v>
      </c>
      <c r="I36" s="501">
        <v>0</v>
      </c>
    </row>
    <row r="37" spans="1:9" s="499" customFormat="1" ht="19.5" customHeight="1">
      <c r="A37" s="496" t="s">
        <v>70</v>
      </c>
      <c r="B37" s="497" t="s">
        <v>94</v>
      </c>
      <c r="C37" s="492">
        <f>SUM(6D!E250)</f>
        <v>326000</v>
      </c>
      <c r="D37" s="492">
        <f t="shared" si="3"/>
        <v>326000</v>
      </c>
      <c r="E37" s="492">
        <v>326000</v>
      </c>
      <c r="F37" s="492">
        <v>241905</v>
      </c>
      <c r="G37" s="492">
        <v>42828</v>
      </c>
      <c r="H37" s="492">
        <v>0</v>
      </c>
      <c r="I37" s="498">
        <v>0</v>
      </c>
    </row>
    <row r="38" spans="1:9" ht="19.5" customHeight="1">
      <c r="A38" s="74" t="s">
        <v>71</v>
      </c>
      <c r="B38" s="500" t="s">
        <v>94</v>
      </c>
      <c r="C38" s="493">
        <f>SUM(6D!F250)</f>
        <v>170798</v>
      </c>
      <c r="D38" s="509">
        <f t="shared" si="3"/>
        <v>137947.73</v>
      </c>
      <c r="E38" s="493">
        <v>137947.73</v>
      </c>
      <c r="F38" s="493">
        <v>111933.69</v>
      </c>
      <c r="G38" s="493">
        <v>14561.19</v>
      </c>
      <c r="H38" s="493">
        <v>0</v>
      </c>
      <c r="I38" s="501">
        <v>0</v>
      </c>
    </row>
    <row r="39" spans="1:9" s="499" customFormat="1" ht="19.5" customHeight="1">
      <c r="A39" s="496" t="s">
        <v>70</v>
      </c>
      <c r="B39" s="497" t="s">
        <v>103</v>
      </c>
      <c r="C39" s="492">
        <f>SUM(6D!E255)</f>
        <v>80000</v>
      </c>
      <c r="D39" s="492">
        <f t="shared" si="3"/>
        <v>80000</v>
      </c>
      <c r="E39" s="492">
        <v>80000</v>
      </c>
      <c r="F39" s="492">
        <v>65096</v>
      </c>
      <c r="G39" s="492">
        <v>12634</v>
      </c>
      <c r="H39" s="492">
        <v>0</v>
      </c>
      <c r="I39" s="498">
        <v>0</v>
      </c>
    </row>
    <row r="40" spans="1:9" ht="19.5" customHeight="1">
      <c r="A40" s="74" t="s">
        <v>71</v>
      </c>
      <c r="B40" s="500" t="s">
        <v>103</v>
      </c>
      <c r="C40" s="493">
        <f>SUM(6D!F255)</f>
        <v>43096</v>
      </c>
      <c r="D40" s="509">
        <f t="shared" si="3"/>
        <v>43096</v>
      </c>
      <c r="E40" s="493">
        <v>43096</v>
      </c>
      <c r="F40" s="493">
        <v>31670.84</v>
      </c>
      <c r="G40" s="493">
        <v>9158.63</v>
      </c>
      <c r="H40" s="493">
        <v>0</v>
      </c>
      <c r="I40" s="501">
        <v>0</v>
      </c>
    </row>
    <row r="41" spans="1:9" s="499" customFormat="1" ht="19.5" customHeight="1">
      <c r="A41" s="496" t="s">
        <v>70</v>
      </c>
      <c r="B41" s="497" t="s">
        <v>113</v>
      </c>
      <c r="C41" s="492">
        <f>SUM(6D!E262)</f>
        <v>17000</v>
      </c>
      <c r="D41" s="492">
        <f t="shared" si="3"/>
        <v>17000</v>
      </c>
      <c r="E41" s="492">
        <v>17000</v>
      </c>
      <c r="F41" s="492">
        <v>6100</v>
      </c>
      <c r="G41" s="492">
        <v>354</v>
      </c>
      <c r="H41" s="492">
        <v>0</v>
      </c>
      <c r="I41" s="498">
        <v>0</v>
      </c>
    </row>
    <row r="42" spans="1:9" ht="19.5" customHeight="1">
      <c r="A42" s="533" t="s">
        <v>71</v>
      </c>
      <c r="B42" s="537" t="s">
        <v>113</v>
      </c>
      <c r="C42" s="534">
        <f>SUM(6D!F262)</f>
        <v>17000</v>
      </c>
      <c r="D42" s="538">
        <f t="shared" si="3"/>
        <v>11983.69</v>
      </c>
      <c r="E42" s="534">
        <v>11983.69</v>
      </c>
      <c r="F42" s="534">
        <v>6100</v>
      </c>
      <c r="G42" s="534">
        <v>352.82</v>
      </c>
      <c r="H42" s="534">
        <v>0</v>
      </c>
      <c r="I42" s="535">
        <v>0</v>
      </c>
    </row>
    <row r="43" spans="1:9" s="499" customFormat="1" ht="19.5" customHeight="1">
      <c r="A43" s="496" t="s">
        <v>70</v>
      </c>
      <c r="B43" s="497" t="s">
        <v>118</v>
      </c>
      <c r="C43" s="492">
        <f>SUM(6D!E266,6D!E267)</f>
        <v>3565822</v>
      </c>
      <c r="D43" s="492">
        <f t="shared" si="3"/>
        <v>3565822</v>
      </c>
      <c r="E43" s="492">
        <v>3565822</v>
      </c>
      <c r="F43" s="492">
        <v>2859971</v>
      </c>
      <c r="G43" s="492">
        <v>2213</v>
      </c>
      <c r="H43" s="492">
        <v>0</v>
      </c>
      <c r="I43" s="498">
        <v>0</v>
      </c>
    </row>
    <row r="44" spans="1:9" ht="19.5" customHeight="1">
      <c r="A44" s="74" t="s">
        <v>71</v>
      </c>
      <c r="B44" s="500" t="s">
        <v>118</v>
      </c>
      <c r="C44" s="493">
        <f>SUM(6D!F266,6D!F267)</f>
        <v>2183867</v>
      </c>
      <c r="D44" s="509">
        <f t="shared" si="3"/>
        <v>1812774.14</v>
      </c>
      <c r="E44" s="493">
        <v>1812774.14</v>
      </c>
      <c r="F44" s="493">
        <v>1388092.1</v>
      </c>
      <c r="G44" s="493">
        <v>1673.9</v>
      </c>
      <c r="H44" s="493">
        <v>0</v>
      </c>
      <c r="I44" s="501">
        <v>0</v>
      </c>
    </row>
    <row r="45" spans="1:9" s="499" customFormat="1" ht="19.5" customHeight="1">
      <c r="A45" s="496" t="s">
        <v>70</v>
      </c>
      <c r="B45" s="497" t="s">
        <v>324</v>
      </c>
      <c r="C45" s="492">
        <f>SUM(6D!E292)</f>
        <v>692000</v>
      </c>
      <c r="D45" s="492">
        <f t="shared" si="3"/>
        <v>692000</v>
      </c>
      <c r="E45" s="492">
        <v>692000</v>
      </c>
      <c r="F45" s="492">
        <v>0</v>
      </c>
      <c r="G45" s="492">
        <v>0</v>
      </c>
      <c r="H45" s="492">
        <v>0</v>
      </c>
      <c r="I45" s="498">
        <v>0</v>
      </c>
    </row>
    <row r="46" spans="1:9" ht="19.5" customHeight="1">
      <c r="A46" s="74" t="s">
        <v>71</v>
      </c>
      <c r="B46" s="500" t="s">
        <v>324</v>
      </c>
      <c r="C46" s="493">
        <f>SUM(6D!F292)</f>
        <v>320359</v>
      </c>
      <c r="D46" s="509">
        <f t="shared" si="3"/>
        <v>312672.58</v>
      </c>
      <c r="E46" s="493">
        <v>312672.58</v>
      </c>
      <c r="F46" s="493">
        <v>0</v>
      </c>
      <c r="G46" s="493">
        <v>0</v>
      </c>
      <c r="H46" s="493">
        <v>0</v>
      </c>
      <c r="I46" s="501">
        <v>0</v>
      </c>
    </row>
    <row r="47" spans="1:9" s="499" customFormat="1" ht="19.5" customHeight="1">
      <c r="A47" s="512" t="s">
        <v>70</v>
      </c>
      <c r="B47" s="516" t="s">
        <v>622</v>
      </c>
      <c r="C47" s="514">
        <f>SUM(6D!E297)</f>
        <v>311070</v>
      </c>
      <c r="D47" s="492">
        <f t="shared" si="3"/>
        <v>311070</v>
      </c>
      <c r="E47" s="514">
        <v>311070</v>
      </c>
      <c r="F47" s="514">
        <v>188167</v>
      </c>
      <c r="G47" s="514">
        <v>31541</v>
      </c>
      <c r="H47" s="514">
        <v>0</v>
      </c>
      <c r="I47" s="515">
        <v>0</v>
      </c>
    </row>
    <row r="48" spans="1:9" ht="19.5" customHeight="1">
      <c r="A48" s="74" t="s">
        <v>71</v>
      </c>
      <c r="B48" s="500" t="s">
        <v>622</v>
      </c>
      <c r="C48" s="493">
        <f>SUM(6D!F297)</f>
        <v>156068</v>
      </c>
      <c r="D48" s="509">
        <f t="shared" si="3"/>
        <v>112684.42</v>
      </c>
      <c r="E48" s="493">
        <v>112684.42</v>
      </c>
      <c r="F48" s="493">
        <v>78195.82</v>
      </c>
      <c r="G48" s="493">
        <v>3635.23</v>
      </c>
      <c r="H48" s="493">
        <v>0</v>
      </c>
      <c r="I48" s="501">
        <v>0</v>
      </c>
    </row>
    <row r="49" spans="1:9" s="499" customFormat="1" ht="19.5" customHeight="1">
      <c r="A49" s="496" t="s">
        <v>70</v>
      </c>
      <c r="B49" s="497" t="s">
        <v>147</v>
      </c>
      <c r="C49" s="492">
        <f>SUM(6D!E309)</f>
        <v>31000</v>
      </c>
      <c r="D49" s="492">
        <f t="shared" si="3"/>
        <v>31000</v>
      </c>
      <c r="E49" s="492">
        <v>31000</v>
      </c>
      <c r="F49" s="492">
        <v>0</v>
      </c>
      <c r="G49" s="492">
        <v>0</v>
      </c>
      <c r="H49" s="492">
        <v>0</v>
      </c>
      <c r="I49" s="498">
        <v>0</v>
      </c>
    </row>
    <row r="50" spans="1:9" ht="19.5" customHeight="1" thickBot="1">
      <c r="A50" s="517" t="s">
        <v>71</v>
      </c>
      <c r="B50" s="518" t="s">
        <v>147</v>
      </c>
      <c r="C50" s="519">
        <f>SUM(6D!F309)</f>
        <v>15498</v>
      </c>
      <c r="D50" s="526">
        <f t="shared" si="3"/>
        <v>15498</v>
      </c>
      <c r="E50" s="519">
        <v>15498</v>
      </c>
      <c r="F50" s="519">
        <v>0</v>
      </c>
      <c r="G50" s="519">
        <v>0</v>
      </c>
      <c r="H50" s="519">
        <v>0</v>
      </c>
      <c r="I50" s="527">
        <v>0</v>
      </c>
    </row>
    <row r="51" spans="1:9" s="529" customFormat="1" ht="19.5" customHeight="1" thickTop="1">
      <c r="A51" s="520" t="s">
        <v>672</v>
      </c>
      <c r="B51" s="521" t="s">
        <v>671</v>
      </c>
      <c r="C51" s="522">
        <f aca="true" t="shared" si="4" ref="C51:I52">SUM(C9,C29)</f>
        <v>12440223.66</v>
      </c>
      <c r="D51" s="522">
        <f t="shared" si="4"/>
        <v>12440223.66</v>
      </c>
      <c r="E51" s="522">
        <f t="shared" si="4"/>
        <v>12440223.66</v>
      </c>
      <c r="F51" s="522">
        <f t="shared" si="4"/>
        <v>3852935</v>
      </c>
      <c r="G51" s="522">
        <f t="shared" si="4"/>
        <v>258145</v>
      </c>
      <c r="H51" s="522">
        <f t="shared" si="4"/>
        <v>6296000</v>
      </c>
      <c r="I51" s="528">
        <f t="shared" si="4"/>
        <v>0</v>
      </c>
    </row>
    <row r="52" spans="1:9" s="531" customFormat="1" ht="19.5" customHeight="1" thickBot="1">
      <c r="A52" s="523" t="s">
        <v>673</v>
      </c>
      <c r="B52" s="524" t="s">
        <v>671</v>
      </c>
      <c r="C52" s="525">
        <f t="shared" si="4"/>
        <v>6631858.66</v>
      </c>
      <c r="D52" s="525">
        <f t="shared" si="4"/>
        <v>5906584.93</v>
      </c>
      <c r="E52" s="525">
        <f t="shared" si="4"/>
        <v>5906584.93</v>
      </c>
      <c r="F52" s="525">
        <f t="shared" si="4"/>
        <v>1856817.3800000001</v>
      </c>
      <c r="G52" s="525">
        <f t="shared" si="4"/>
        <v>107339.54000000001</v>
      </c>
      <c r="H52" s="525">
        <f t="shared" si="4"/>
        <v>2982303.5799999996</v>
      </c>
      <c r="I52" s="530">
        <f t="shared" si="4"/>
        <v>0</v>
      </c>
    </row>
    <row r="54" spans="1:9" ht="23.25" customHeight="1">
      <c r="A54" s="64" t="s">
        <v>1203</v>
      </c>
      <c r="B54" s="64" t="s">
        <v>1202</v>
      </c>
      <c r="C54" s="532">
        <v>6631858.66</v>
      </c>
      <c r="D54" s="532">
        <f>SUM(E54,I54)</f>
        <v>5906584.93</v>
      </c>
      <c r="E54" s="532">
        <v>5906584.93</v>
      </c>
      <c r="F54" s="532">
        <v>1856817.38</v>
      </c>
      <c r="G54" s="532">
        <v>107339.54</v>
      </c>
      <c r="H54" s="532">
        <v>2982303.58</v>
      </c>
      <c r="I54" s="532">
        <v>0</v>
      </c>
    </row>
    <row r="55" spans="2:9" ht="12.75">
      <c r="B55" s="64" t="s">
        <v>38</v>
      </c>
      <c r="C55" s="532">
        <f>C52-C54</f>
        <v>0</v>
      </c>
      <c r="D55" s="532">
        <f aca="true" t="shared" si="5" ref="D55:I55">D52-D54</f>
        <v>0</v>
      </c>
      <c r="E55" s="532">
        <f t="shared" si="5"/>
        <v>0</v>
      </c>
      <c r="F55" s="532">
        <f t="shared" si="5"/>
        <v>0</v>
      </c>
      <c r="G55" s="532">
        <f t="shared" si="5"/>
        <v>0</v>
      </c>
      <c r="H55" s="532">
        <f t="shared" si="5"/>
        <v>0</v>
      </c>
      <c r="I55" s="532">
        <f t="shared" si="5"/>
        <v>0</v>
      </c>
    </row>
  </sheetData>
  <sheetProtection password="CF53" sheet="1" objects="1" scenarios="1" selectLockedCells="1" selectUnlockedCells="1"/>
  <mergeCells count="9">
    <mergeCell ref="A3:I3"/>
    <mergeCell ref="A5:A7"/>
    <mergeCell ref="C5:C7"/>
    <mergeCell ref="D5:D7"/>
    <mergeCell ref="B5:B7"/>
    <mergeCell ref="F6:H6"/>
    <mergeCell ref="I6:I7"/>
    <mergeCell ref="E5:I5"/>
    <mergeCell ref="E6:E7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J24"/>
  <sheetViews>
    <sheetView defaultGridColor="0" view="pageBreakPreview" zoomScaleSheetLayoutView="100" colorId="8" workbookViewId="0" topLeftCell="A6">
      <selection activeCell="F25" sqref="F25"/>
    </sheetView>
  </sheetViews>
  <sheetFormatPr defaultColWidth="9.00390625" defaultRowHeight="12.75"/>
  <cols>
    <col min="1" max="1" width="14.75390625" style="2" customWidth="1"/>
    <col min="2" max="2" width="14.00390625" style="2" customWidth="1"/>
    <col min="3" max="3" width="14.25390625" style="3" customWidth="1"/>
    <col min="4" max="4" width="14.875" style="3" customWidth="1"/>
    <col min="5" max="5" width="13.625" style="3" customWidth="1"/>
    <col min="6" max="6" width="15.625" style="3" customWidth="1"/>
    <col min="7" max="7" width="15.75390625" style="3" customWidth="1"/>
    <col min="8" max="8" width="12.25390625" style="3" customWidth="1"/>
    <col min="9" max="9" width="15.875" style="3" customWidth="1"/>
    <col min="10" max="16384" width="9.125" style="3" customWidth="1"/>
  </cols>
  <sheetData>
    <row r="1" spans="1:10" s="65" customFormat="1" ht="12.75">
      <c r="A1" s="484"/>
      <c r="B1" s="484"/>
      <c r="C1" s="485"/>
      <c r="D1" s="485"/>
      <c r="E1" s="485"/>
      <c r="F1" s="485"/>
      <c r="G1" s="485"/>
      <c r="H1" s="485"/>
      <c r="I1" s="453" t="s">
        <v>768</v>
      </c>
      <c r="J1" s="486"/>
    </row>
    <row r="2" spans="1:9" s="65" customFormat="1" ht="21" customHeight="1">
      <c r="A2" s="484"/>
      <c r="B2" s="484"/>
      <c r="C2" s="485"/>
      <c r="D2" s="485"/>
      <c r="E2" s="485"/>
      <c r="F2" s="485"/>
      <c r="G2" s="485"/>
      <c r="H2" s="485"/>
      <c r="I2" s="485"/>
    </row>
    <row r="3" spans="1:9" s="65" customFormat="1" ht="25.5" customHeight="1">
      <c r="A3" s="1600" t="s">
        <v>336</v>
      </c>
      <c r="B3" s="1600"/>
      <c r="C3" s="1600"/>
      <c r="D3" s="1600"/>
      <c r="E3" s="1600"/>
      <c r="F3" s="1600"/>
      <c r="G3" s="1600"/>
      <c r="H3" s="1600"/>
      <c r="I3" s="1600"/>
    </row>
    <row r="4" spans="1:9" s="65" customFormat="1" ht="24" customHeight="1" thickBot="1">
      <c r="A4" s="484"/>
      <c r="B4" s="484"/>
      <c r="C4" s="485"/>
      <c r="D4" s="485"/>
      <c r="E4" s="485"/>
      <c r="F4" s="485"/>
      <c r="G4" s="485"/>
      <c r="H4" s="485"/>
      <c r="I4" s="487" t="s">
        <v>67</v>
      </c>
    </row>
    <row r="5" spans="1:9" s="64" customFormat="1" ht="17.25" customHeight="1">
      <c r="A5" s="1601" t="s">
        <v>69</v>
      </c>
      <c r="B5" s="1606" t="s">
        <v>68</v>
      </c>
      <c r="C5" s="1603" t="s">
        <v>1038</v>
      </c>
      <c r="D5" s="1603" t="s">
        <v>1039</v>
      </c>
      <c r="E5" s="1603" t="s">
        <v>350</v>
      </c>
      <c r="F5" s="1603"/>
      <c r="G5" s="1603"/>
      <c r="H5" s="1603"/>
      <c r="I5" s="1608"/>
    </row>
    <row r="6" spans="1:9" s="64" customFormat="1" ht="16.5" customHeight="1">
      <c r="A6" s="1602"/>
      <c r="B6" s="1604"/>
      <c r="C6" s="1604"/>
      <c r="D6" s="1605"/>
      <c r="E6" s="1605" t="s">
        <v>1040</v>
      </c>
      <c r="F6" s="1605" t="s">
        <v>568</v>
      </c>
      <c r="G6" s="1605"/>
      <c r="H6" s="1605"/>
      <c r="I6" s="1607" t="s">
        <v>1041</v>
      </c>
    </row>
    <row r="7" spans="1:9" s="64" customFormat="1" ht="28.5" customHeight="1">
      <c r="A7" s="1602"/>
      <c r="B7" s="1604"/>
      <c r="C7" s="1604"/>
      <c r="D7" s="1605"/>
      <c r="E7" s="1605"/>
      <c r="F7" s="490" t="s">
        <v>1042</v>
      </c>
      <c r="G7" s="490" t="s">
        <v>1043</v>
      </c>
      <c r="H7" s="490" t="s">
        <v>1044</v>
      </c>
      <c r="I7" s="1607"/>
    </row>
    <row r="8" spans="1:9" s="65" customFormat="1" ht="14.25" customHeight="1">
      <c r="A8" s="74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491">
        <v>9</v>
      </c>
    </row>
    <row r="9" spans="1:9" s="529" customFormat="1" ht="18.75" customHeight="1">
      <c r="A9" s="488" t="s">
        <v>70</v>
      </c>
      <c r="B9" s="489" t="s">
        <v>674</v>
      </c>
      <c r="C9" s="540">
        <f>SUM(C11,C13,C15)</f>
        <v>43370</v>
      </c>
      <c r="D9" s="540">
        <f>SUM(E9,I9)</f>
        <v>43370</v>
      </c>
      <c r="E9" s="540">
        <f aca="true" t="shared" si="0" ref="E9:I10">SUM(E11,E13,E15)</f>
        <v>43370</v>
      </c>
      <c r="F9" s="540">
        <f t="shared" si="0"/>
        <v>3000</v>
      </c>
      <c r="G9" s="540">
        <f t="shared" si="0"/>
        <v>0</v>
      </c>
      <c r="H9" s="540">
        <f t="shared" si="0"/>
        <v>0</v>
      </c>
      <c r="I9" s="543">
        <f t="shared" si="0"/>
        <v>0</v>
      </c>
    </row>
    <row r="10" spans="1:9" s="531" customFormat="1" ht="19.5" customHeight="1">
      <c r="A10" s="494" t="s">
        <v>71</v>
      </c>
      <c r="B10" s="419" t="s">
        <v>674</v>
      </c>
      <c r="C10" s="541">
        <f>SUM(C12,C14,C16)</f>
        <v>3370</v>
      </c>
      <c r="D10" s="465">
        <f aca="true" t="shared" si="1" ref="D10:D16">SUM(E10,I10)</f>
        <v>0</v>
      </c>
      <c r="E10" s="541">
        <f t="shared" si="0"/>
        <v>0</v>
      </c>
      <c r="F10" s="541">
        <f t="shared" si="0"/>
        <v>0</v>
      </c>
      <c r="G10" s="541">
        <f t="shared" si="0"/>
        <v>0</v>
      </c>
      <c r="H10" s="541">
        <f t="shared" si="0"/>
        <v>0</v>
      </c>
      <c r="I10" s="544">
        <f t="shared" si="0"/>
        <v>0</v>
      </c>
    </row>
    <row r="11" spans="1:9" s="499" customFormat="1" ht="19.5" customHeight="1">
      <c r="A11" s="496" t="s">
        <v>70</v>
      </c>
      <c r="B11" s="503">
        <v>70005</v>
      </c>
      <c r="C11" s="539">
        <f>SUM(6D!E49)</f>
        <v>40000</v>
      </c>
      <c r="D11" s="539">
        <f t="shared" si="1"/>
        <v>40000</v>
      </c>
      <c r="E11" s="539">
        <v>40000</v>
      </c>
      <c r="F11" s="539">
        <v>0</v>
      </c>
      <c r="G11" s="539">
        <v>0</v>
      </c>
      <c r="H11" s="539">
        <v>0</v>
      </c>
      <c r="I11" s="545">
        <v>0</v>
      </c>
    </row>
    <row r="12" spans="1:9" s="65" customFormat="1" ht="19.5" customHeight="1">
      <c r="A12" s="74" t="s">
        <v>71</v>
      </c>
      <c r="B12" s="76">
        <v>70005</v>
      </c>
      <c r="C12" s="77">
        <f>SUM(6D!F49)</f>
        <v>0</v>
      </c>
      <c r="D12" s="542">
        <f t="shared" si="1"/>
        <v>0</v>
      </c>
      <c r="E12" s="77">
        <v>0</v>
      </c>
      <c r="F12" s="77">
        <v>0</v>
      </c>
      <c r="G12" s="77">
        <v>0</v>
      </c>
      <c r="H12" s="77">
        <v>0</v>
      </c>
      <c r="I12" s="546">
        <v>0</v>
      </c>
    </row>
    <row r="13" spans="1:9" s="499" customFormat="1" ht="19.5" customHeight="1">
      <c r="A13" s="496" t="s">
        <v>70</v>
      </c>
      <c r="B13" s="503">
        <v>80195</v>
      </c>
      <c r="C13" s="492">
        <f>SUM(6D!E144)</f>
        <v>370</v>
      </c>
      <c r="D13" s="539">
        <f t="shared" si="1"/>
        <v>370</v>
      </c>
      <c r="E13" s="492">
        <v>370</v>
      </c>
      <c r="F13" s="492">
        <v>0</v>
      </c>
      <c r="G13" s="492">
        <v>0</v>
      </c>
      <c r="H13" s="492">
        <v>0</v>
      </c>
      <c r="I13" s="498">
        <v>0</v>
      </c>
    </row>
    <row r="14" spans="1:9" s="511" customFormat="1" ht="19.5" customHeight="1">
      <c r="A14" s="74" t="s">
        <v>71</v>
      </c>
      <c r="B14" s="508">
        <v>80195</v>
      </c>
      <c r="C14" s="509">
        <f>SUM(6D!F144)</f>
        <v>370</v>
      </c>
      <c r="D14" s="542">
        <f t="shared" si="1"/>
        <v>0</v>
      </c>
      <c r="E14" s="509">
        <v>0</v>
      </c>
      <c r="F14" s="509">
        <v>0</v>
      </c>
      <c r="G14" s="509">
        <v>0</v>
      </c>
      <c r="H14" s="509">
        <v>0</v>
      </c>
      <c r="I14" s="510">
        <v>0</v>
      </c>
    </row>
    <row r="15" spans="1:9" s="499" customFormat="1" ht="19.5" customHeight="1">
      <c r="A15" s="496" t="s">
        <v>70</v>
      </c>
      <c r="B15" s="503">
        <v>85195</v>
      </c>
      <c r="C15" s="492">
        <f>SUM(6D!E158)</f>
        <v>3000</v>
      </c>
      <c r="D15" s="539">
        <f t="shared" si="1"/>
        <v>3000</v>
      </c>
      <c r="E15" s="492">
        <v>3000</v>
      </c>
      <c r="F15" s="492">
        <v>3000</v>
      </c>
      <c r="G15" s="492">
        <v>0</v>
      </c>
      <c r="H15" s="492">
        <v>0</v>
      </c>
      <c r="I15" s="498">
        <v>0</v>
      </c>
    </row>
    <row r="16" spans="1:9" s="511" customFormat="1" ht="19.5" customHeight="1">
      <c r="A16" s="74" t="s">
        <v>71</v>
      </c>
      <c r="B16" s="508">
        <v>85195</v>
      </c>
      <c r="C16" s="509">
        <f>SUM(6D!F158)</f>
        <v>3000</v>
      </c>
      <c r="D16" s="542">
        <f t="shared" si="1"/>
        <v>0</v>
      </c>
      <c r="E16" s="509">
        <v>0</v>
      </c>
      <c r="F16" s="509">
        <v>0</v>
      </c>
      <c r="G16" s="509">
        <v>0</v>
      </c>
      <c r="H16" s="509">
        <v>0</v>
      </c>
      <c r="I16" s="510">
        <v>0</v>
      </c>
    </row>
    <row r="17" spans="1:9" s="529" customFormat="1" ht="19.5" customHeight="1">
      <c r="A17" s="488" t="s">
        <v>70</v>
      </c>
      <c r="B17" s="489" t="s">
        <v>675</v>
      </c>
      <c r="C17" s="502">
        <f>SUM(C19,C21)</f>
        <v>881500</v>
      </c>
      <c r="D17" s="502">
        <f aca="true" t="shared" si="2" ref="D17:I17">SUM(D19,D21)</f>
        <v>881500</v>
      </c>
      <c r="E17" s="502">
        <f t="shared" si="2"/>
        <v>3000</v>
      </c>
      <c r="F17" s="502">
        <f t="shared" si="2"/>
        <v>0</v>
      </c>
      <c r="G17" s="502">
        <f t="shared" si="2"/>
        <v>0</v>
      </c>
      <c r="H17" s="502">
        <f t="shared" si="2"/>
        <v>0</v>
      </c>
      <c r="I17" s="547">
        <f t="shared" si="2"/>
        <v>878500</v>
      </c>
    </row>
    <row r="18" spans="1:9" s="531" customFormat="1" ht="19.5" customHeight="1">
      <c r="A18" s="494" t="s">
        <v>71</v>
      </c>
      <c r="B18" s="419" t="s">
        <v>675</v>
      </c>
      <c r="C18" s="495">
        <f>SUM(C20,C22)</f>
        <v>3000</v>
      </c>
      <c r="D18" s="495">
        <f aca="true" t="shared" si="3" ref="D18:I18">SUM(D20,D22)</f>
        <v>2545</v>
      </c>
      <c r="E18" s="495">
        <f t="shared" si="3"/>
        <v>2545</v>
      </c>
      <c r="F18" s="495">
        <f t="shared" si="3"/>
        <v>0</v>
      </c>
      <c r="G18" s="495">
        <f t="shared" si="3"/>
        <v>0</v>
      </c>
      <c r="H18" s="495">
        <f t="shared" si="3"/>
        <v>0</v>
      </c>
      <c r="I18" s="548">
        <f t="shared" si="3"/>
        <v>0</v>
      </c>
    </row>
    <row r="19" spans="1:9" s="499" customFormat="1" ht="19.5" customHeight="1">
      <c r="A19" s="496" t="s">
        <v>70</v>
      </c>
      <c r="B19" s="503">
        <v>60015</v>
      </c>
      <c r="C19" s="492">
        <f>SUM(6D!E237)</f>
        <v>878500</v>
      </c>
      <c r="D19" s="492">
        <f>SUM(E19,I19)</f>
        <v>878500</v>
      </c>
      <c r="E19" s="492">
        <v>0</v>
      </c>
      <c r="F19" s="492">
        <v>0</v>
      </c>
      <c r="G19" s="492">
        <v>0</v>
      </c>
      <c r="H19" s="492">
        <v>0</v>
      </c>
      <c r="I19" s="498">
        <v>878500</v>
      </c>
    </row>
    <row r="20" spans="1:9" s="65" customFormat="1" ht="19.5" customHeight="1">
      <c r="A20" s="74" t="s">
        <v>71</v>
      </c>
      <c r="B20" s="76">
        <v>60015</v>
      </c>
      <c r="C20" s="505">
        <f>SUM(6D!F237)</f>
        <v>0</v>
      </c>
      <c r="D20" s="505">
        <f>SUM(E20,I20)</f>
        <v>0</v>
      </c>
      <c r="E20" s="493">
        <v>0</v>
      </c>
      <c r="F20" s="493">
        <v>0</v>
      </c>
      <c r="G20" s="493">
        <v>0</v>
      </c>
      <c r="H20" s="493">
        <v>0</v>
      </c>
      <c r="I20" s="501">
        <v>0</v>
      </c>
    </row>
    <row r="21" spans="1:9" s="499" customFormat="1" ht="19.5" customHeight="1">
      <c r="A21" s="512" t="s">
        <v>70</v>
      </c>
      <c r="B21" s="516" t="s">
        <v>113</v>
      </c>
      <c r="C21" s="514">
        <f>SUM(6D!E263)</f>
        <v>3000</v>
      </c>
      <c r="D21" s="514">
        <f>SUM(E21,I21)</f>
        <v>3000</v>
      </c>
      <c r="E21" s="514">
        <v>3000</v>
      </c>
      <c r="F21" s="514">
        <v>0</v>
      </c>
      <c r="G21" s="514">
        <v>0</v>
      </c>
      <c r="H21" s="514">
        <v>0</v>
      </c>
      <c r="I21" s="515">
        <v>0</v>
      </c>
    </row>
    <row r="22" spans="1:9" s="65" customFormat="1" ht="19.5" customHeight="1" thickBot="1">
      <c r="A22" s="517" t="s">
        <v>71</v>
      </c>
      <c r="B22" s="518" t="s">
        <v>113</v>
      </c>
      <c r="C22" s="519">
        <f>SUM(6D!F263)</f>
        <v>3000</v>
      </c>
      <c r="D22" s="519">
        <f>SUM(E22,I22)</f>
        <v>2545</v>
      </c>
      <c r="E22" s="519">
        <v>2545</v>
      </c>
      <c r="F22" s="519">
        <v>0</v>
      </c>
      <c r="G22" s="519">
        <v>0</v>
      </c>
      <c r="H22" s="519">
        <v>0</v>
      </c>
      <c r="I22" s="527">
        <v>0</v>
      </c>
    </row>
    <row r="23" spans="1:9" s="529" customFormat="1" ht="19.5" customHeight="1" thickTop="1">
      <c r="A23" s="520" t="s">
        <v>672</v>
      </c>
      <c r="B23" s="521" t="s">
        <v>671</v>
      </c>
      <c r="C23" s="522">
        <f>SUM(C9,C17)</f>
        <v>924870</v>
      </c>
      <c r="D23" s="522">
        <f aca="true" t="shared" si="4" ref="D23:I23">SUM(D9,D17)</f>
        <v>924870</v>
      </c>
      <c r="E23" s="522">
        <f t="shared" si="4"/>
        <v>46370</v>
      </c>
      <c r="F23" s="522">
        <f t="shared" si="4"/>
        <v>3000</v>
      </c>
      <c r="G23" s="522">
        <f t="shared" si="4"/>
        <v>0</v>
      </c>
      <c r="H23" s="522">
        <f t="shared" si="4"/>
        <v>0</v>
      </c>
      <c r="I23" s="528">
        <f t="shared" si="4"/>
        <v>878500</v>
      </c>
    </row>
    <row r="24" spans="1:9" s="531" customFormat="1" ht="19.5" customHeight="1" thickBot="1">
      <c r="A24" s="523" t="s">
        <v>673</v>
      </c>
      <c r="B24" s="524" t="s">
        <v>671</v>
      </c>
      <c r="C24" s="525">
        <f>SUM(C10,C18)</f>
        <v>6370</v>
      </c>
      <c r="D24" s="525">
        <f aca="true" t="shared" si="5" ref="D24:I24">SUM(D10,D18)</f>
        <v>2545</v>
      </c>
      <c r="E24" s="525">
        <f t="shared" si="5"/>
        <v>2545</v>
      </c>
      <c r="F24" s="525">
        <f t="shared" si="5"/>
        <v>0</v>
      </c>
      <c r="G24" s="525">
        <f t="shared" si="5"/>
        <v>0</v>
      </c>
      <c r="H24" s="525">
        <f t="shared" si="5"/>
        <v>0</v>
      </c>
      <c r="I24" s="530">
        <f t="shared" si="5"/>
        <v>0</v>
      </c>
    </row>
  </sheetData>
  <sheetProtection password="CF53" sheet="1" objects="1" scenarios="1" selectLockedCells="1" selectUnlockedCells="1"/>
  <mergeCells count="9">
    <mergeCell ref="E5:I5"/>
    <mergeCell ref="E6:E7"/>
    <mergeCell ref="A3:I3"/>
    <mergeCell ref="A5:A7"/>
    <mergeCell ref="C5:C7"/>
    <mergeCell ref="D5:D7"/>
    <mergeCell ref="B5:B7"/>
    <mergeCell ref="F6:H6"/>
    <mergeCell ref="I6:I7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J13"/>
  <sheetViews>
    <sheetView defaultGridColor="0" view="pageBreakPreview" zoomScaleSheetLayoutView="100" colorId="8" workbookViewId="0" topLeftCell="A1">
      <selection activeCell="F16" sqref="F16"/>
    </sheetView>
  </sheetViews>
  <sheetFormatPr defaultColWidth="9.00390625" defaultRowHeight="12.75"/>
  <cols>
    <col min="1" max="1" width="14.75390625" style="64" customWidth="1"/>
    <col min="2" max="2" width="14.00390625" style="64" customWidth="1"/>
    <col min="3" max="3" width="14.25390625" style="65" customWidth="1"/>
    <col min="4" max="4" width="14.875" style="65" customWidth="1"/>
    <col min="5" max="5" width="13.625" style="65" customWidth="1"/>
    <col min="6" max="6" width="15.625" style="65" customWidth="1"/>
    <col min="7" max="7" width="15.75390625" style="65" customWidth="1"/>
    <col min="8" max="8" width="12.25390625" style="65" customWidth="1"/>
    <col min="9" max="9" width="15.875" style="65" customWidth="1"/>
    <col min="10" max="16384" width="9.125" style="65" customWidth="1"/>
  </cols>
  <sheetData>
    <row r="1" spans="1:10" ht="12.75">
      <c r="A1" s="484"/>
      <c r="B1" s="484"/>
      <c r="C1" s="485"/>
      <c r="D1" s="485"/>
      <c r="E1" s="485"/>
      <c r="F1" s="485"/>
      <c r="G1" s="485"/>
      <c r="H1" s="485"/>
      <c r="I1" s="453" t="s">
        <v>769</v>
      </c>
      <c r="J1" s="486"/>
    </row>
    <row r="2" spans="1:9" ht="21" customHeight="1">
      <c r="A2" s="484"/>
      <c r="B2" s="484"/>
      <c r="C2" s="485"/>
      <c r="D2" s="485"/>
      <c r="E2" s="485"/>
      <c r="F2" s="485"/>
      <c r="G2" s="485"/>
      <c r="H2" s="485"/>
      <c r="I2" s="485"/>
    </row>
    <row r="3" spans="1:9" ht="25.5" customHeight="1">
      <c r="A3" s="1600" t="s">
        <v>337</v>
      </c>
      <c r="B3" s="1600"/>
      <c r="C3" s="1600"/>
      <c r="D3" s="1600"/>
      <c r="E3" s="1600"/>
      <c r="F3" s="1600"/>
      <c r="G3" s="1600"/>
      <c r="H3" s="1600"/>
      <c r="I3" s="1600"/>
    </row>
    <row r="4" spans="1:9" ht="24" customHeight="1" thickBot="1">
      <c r="A4" s="484"/>
      <c r="B4" s="484"/>
      <c r="C4" s="485"/>
      <c r="D4" s="485"/>
      <c r="E4" s="485"/>
      <c r="F4" s="485"/>
      <c r="G4" s="485"/>
      <c r="H4" s="485"/>
      <c r="I4" s="487" t="s">
        <v>67</v>
      </c>
    </row>
    <row r="5" spans="1:9" s="64" customFormat="1" ht="17.25" customHeight="1">
      <c r="A5" s="1601" t="s">
        <v>69</v>
      </c>
      <c r="B5" s="1606" t="s">
        <v>68</v>
      </c>
      <c r="C5" s="1603" t="s">
        <v>1038</v>
      </c>
      <c r="D5" s="1603" t="s">
        <v>1039</v>
      </c>
      <c r="E5" s="1603" t="s">
        <v>350</v>
      </c>
      <c r="F5" s="1603"/>
      <c r="G5" s="1603"/>
      <c r="H5" s="1603"/>
      <c r="I5" s="1608"/>
    </row>
    <row r="6" spans="1:9" s="64" customFormat="1" ht="16.5" customHeight="1">
      <c r="A6" s="1602"/>
      <c r="B6" s="1604"/>
      <c r="C6" s="1604"/>
      <c r="D6" s="1605"/>
      <c r="E6" s="1605" t="s">
        <v>1040</v>
      </c>
      <c r="F6" s="1605" t="s">
        <v>568</v>
      </c>
      <c r="G6" s="1605"/>
      <c r="H6" s="1605"/>
      <c r="I6" s="1607" t="s">
        <v>1041</v>
      </c>
    </row>
    <row r="7" spans="1:9" s="64" customFormat="1" ht="28.5" customHeight="1">
      <c r="A7" s="1602"/>
      <c r="B7" s="1604"/>
      <c r="C7" s="1604"/>
      <c r="D7" s="1605"/>
      <c r="E7" s="1605"/>
      <c r="F7" s="490" t="s">
        <v>1042</v>
      </c>
      <c r="G7" s="490" t="s">
        <v>1043</v>
      </c>
      <c r="H7" s="490" t="s">
        <v>1044</v>
      </c>
      <c r="I7" s="1607"/>
    </row>
    <row r="8" spans="1:9" ht="14.25" customHeight="1">
      <c r="A8" s="74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491">
        <v>9</v>
      </c>
    </row>
    <row r="9" spans="1:9" s="511" customFormat="1" ht="19.5" customHeight="1">
      <c r="A9" s="1560" t="s">
        <v>32</v>
      </c>
      <c r="B9" s="1561"/>
      <c r="C9" s="1561"/>
      <c r="D9" s="1561"/>
      <c r="E9" s="1561"/>
      <c r="F9" s="1561"/>
      <c r="G9" s="1561"/>
      <c r="H9" s="1561"/>
      <c r="I9" s="1609"/>
    </row>
    <row r="10" spans="1:9" s="499" customFormat="1" ht="19.5" customHeight="1">
      <c r="A10" s="496" t="s">
        <v>70</v>
      </c>
      <c r="B10" s="503">
        <v>85204</v>
      </c>
      <c r="C10" s="492">
        <f>SUM(6D!E300)</f>
        <v>64229</v>
      </c>
      <c r="D10" s="492">
        <f>SUM(E10,I10)</f>
        <v>64229</v>
      </c>
      <c r="E10" s="492">
        <v>64229</v>
      </c>
      <c r="F10" s="492">
        <v>0</v>
      </c>
      <c r="G10" s="492">
        <v>0</v>
      </c>
      <c r="H10" s="492">
        <v>64229</v>
      </c>
      <c r="I10" s="498">
        <v>0</v>
      </c>
    </row>
    <row r="11" spans="1:9" s="511" customFormat="1" ht="19.5" customHeight="1">
      <c r="A11" s="74" t="s">
        <v>71</v>
      </c>
      <c r="B11" s="508">
        <v>85204</v>
      </c>
      <c r="C11" s="509">
        <f>SUM(6D!F300)</f>
        <v>34879.13</v>
      </c>
      <c r="D11" s="509">
        <f>SUM(E11,I11)</f>
        <v>30723.66</v>
      </c>
      <c r="E11" s="509">
        <v>30723.66</v>
      </c>
      <c r="F11" s="509">
        <v>0</v>
      </c>
      <c r="G11" s="509">
        <v>0</v>
      </c>
      <c r="H11" s="509">
        <v>30723.66</v>
      </c>
      <c r="I11" s="510">
        <v>0</v>
      </c>
    </row>
    <row r="12" spans="1:9" s="529" customFormat="1" ht="19.5" customHeight="1">
      <c r="A12" s="520" t="s">
        <v>672</v>
      </c>
      <c r="B12" s="521" t="s">
        <v>671</v>
      </c>
      <c r="C12" s="522">
        <f>SUM(C10)</f>
        <v>64229</v>
      </c>
      <c r="D12" s="522">
        <f aca="true" t="shared" si="0" ref="D12:I12">SUM(D10)</f>
        <v>64229</v>
      </c>
      <c r="E12" s="522">
        <f t="shared" si="0"/>
        <v>64229</v>
      </c>
      <c r="F12" s="522">
        <f t="shared" si="0"/>
        <v>0</v>
      </c>
      <c r="G12" s="522">
        <f t="shared" si="0"/>
        <v>0</v>
      </c>
      <c r="H12" s="522">
        <f t="shared" si="0"/>
        <v>64229</v>
      </c>
      <c r="I12" s="522">
        <f t="shared" si="0"/>
        <v>0</v>
      </c>
    </row>
    <row r="13" spans="1:9" s="531" customFormat="1" ht="19.5" customHeight="1" thickBot="1">
      <c r="A13" s="523" t="s">
        <v>673</v>
      </c>
      <c r="B13" s="524" t="s">
        <v>671</v>
      </c>
      <c r="C13" s="525">
        <f>SUM(C11)</f>
        <v>34879.13</v>
      </c>
      <c r="D13" s="525">
        <f aca="true" t="shared" si="1" ref="D13:I13">SUM(D11)</f>
        <v>30723.66</v>
      </c>
      <c r="E13" s="525">
        <f t="shared" si="1"/>
        <v>30723.66</v>
      </c>
      <c r="F13" s="525">
        <f t="shared" si="1"/>
        <v>0</v>
      </c>
      <c r="G13" s="525">
        <f t="shared" si="1"/>
        <v>0</v>
      </c>
      <c r="H13" s="525">
        <f t="shared" si="1"/>
        <v>30723.66</v>
      </c>
      <c r="I13" s="525">
        <f t="shared" si="1"/>
        <v>0</v>
      </c>
    </row>
  </sheetData>
  <sheetProtection password="CF53" sheet="1" objects="1" scenarios="1" selectLockedCells="1" selectUnlockedCells="1"/>
  <mergeCells count="10">
    <mergeCell ref="A9:I9"/>
    <mergeCell ref="E6:E7"/>
    <mergeCell ref="A3:I3"/>
    <mergeCell ref="A5:A7"/>
    <mergeCell ref="C5:C7"/>
    <mergeCell ref="D5:D7"/>
    <mergeCell ref="B5:B7"/>
    <mergeCell ref="F6:H6"/>
    <mergeCell ref="I6:I7"/>
    <mergeCell ref="E5:I5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M40"/>
  <sheetViews>
    <sheetView view="pageBreakPreview" zoomScale="90" zoomScaleSheetLayoutView="90" workbookViewId="0" topLeftCell="A1">
      <pane ySplit="6" topLeftCell="BM29" activePane="bottomLeft" state="frozen"/>
      <selection pane="topLeft" activeCell="C20" sqref="C20"/>
      <selection pane="bottomLeft" activeCell="J32" sqref="J32"/>
    </sheetView>
  </sheetViews>
  <sheetFormatPr defaultColWidth="9.00390625" defaultRowHeight="12.75"/>
  <cols>
    <col min="1" max="1" width="3.625" style="64" customWidth="1"/>
    <col min="2" max="2" width="5.875" style="64" customWidth="1"/>
    <col min="3" max="3" width="6.625" style="64" customWidth="1"/>
    <col min="4" max="4" width="19.625" style="65" customWidth="1"/>
    <col min="5" max="5" width="16.625" style="65" customWidth="1"/>
    <col min="6" max="6" width="10.25390625" style="65" customWidth="1"/>
    <col min="7" max="7" width="10.00390625" style="65" customWidth="1"/>
    <col min="8" max="8" width="13.125" style="65" customWidth="1"/>
    <col min="9" max="9" width="14.25390625" style="65" customWidth="1"/>
    <col min="10" max="10" width="12.375" style="65" customWidth="1"/>
    <col min="11" max="11" width="9.75390625" style="65" customWidth="1"/>
    <col min="12" max="12" width="8.875" style="65" customWidth="1"/>
    <col min="13" max="13" width="8.625" style="65" customWidth="1"/>
    <col min="14" max="16384" width="9.125" style="65" customWidth="1"/>
  </cols>
  <sheetData>
    <row r="1" ht="18" customHeight="1">
      <c r="M1" s="453" t="s">
        <v>895</v>
      </c>
    </row>
    <row r="2" spans="1:13" ht="40.5" customHeight="1">
      <c r="A2" s="1638" t="s">
        <v>144</v>
      </c>
      <c r="B2" s="1638"/>
      <c r="C2" s="1638"/>
      <c r="D2" s="1638"/>
      <c r="E2" s="1638"/>
      <c r="F2" s="1638"/>
      <c r="G2" s="1638"/>
      <c r="H2" s="1638"/>
      <c r="I2" s="1638"/>
      <c r="J2" s="1638"/>
      <c r="K2" s="1638"/>
      <c r="L2" s="1638"/>
      <c r="M2" s="1638"/>
    </row>
    <row r="3" spans="1:13" ht="12" customHeight="1" thickBot="1">
      <c r="A3" s="1458"/>
      <c r="B3" s="1458"/>
      <c r="C3" s="1458"/>
      <c r="D3" s="1458"/>
      <c r="E3" s="1458"/>
      <c r="F3" s="1458"/>
      <c r="G3" s="1458"/>
      <c r="H3" s="1458"/>
      <c r="I3" s="1458"/>
      <c r="J3" s="1458"/>
      <c r="K3" s="1458"/>
      <c r="L3" s="1458"/>
      <c r="M3" s="1459" t="s">
        <v>67</v>
      </c>
    </row>
    <row r="4" spans="1:13" ht="34.5" customHeight="1">
      <c r="A4" s="1642" t="s">
        <v>338</v>
      </c>
      <c r="B4" s="1634" t="s">
        <v>249</v>
      </c>
      <c r="C4" s="1634" t="s">
        <v>874</v>
      </c>
      <c r="D4" s="1636" t="s">
        <v>875</v>
      </c>
      <c r="E4" s="1636" t="s">
        <v>876</v>
      </c>
      <c r="F4" s="1636" t="s">
        <v>877</v>
      </c>
      <c r="G4" s="1636" t="s">
        <v>878</v>
      </c>
      <c r="H4" s="1636" t="s">
        <v>879</v>
      </c>
      <c r="I4" s="1636" t="s">
        <v>896</v>
      </c>
      <c r="J4" s="1639" t="s">
        <v>891</v>
      </c>
      <c r="K4" s="1640"/>
      <c r="L4" s="1640"/>
      <c r="M4" s="1641"/>
    </row>
    <row r="5" spans="1:13" ht="28.5" customHeight="1">
      <c r="A5" s="1643"/>
      <c r="B5" s="1635"/>
      <c r="C5" s="1635"/>
      <c r="D5" s="1637"/>
      <c r="E5" s="1637"/>
      <c r="F5" s="1637"/>
      <c r="G5" s="1637"/>
      <c r="H5" s="1637"/>
      <c r="I5" s="1637"/>
      <c r="J5" s="521" t="s">
        <v>880</v>
      </c>
      <c r="K5" s="521" t="s">
        <v>881</v>
      </c>
      <c r="L5" s="521" t="s">
        <v>882</v>
      </c>
      <c r="M5" s="1460" t="s">
        <v>883</v>
      </c>
    </row>
    <row r="6" spans="1:13" s="1464" customFormat="1" ht="7.5" customHeight="1">
      <c r="A6" s="1461">
        <v>1</v>
      </c>
      <c r="B6" s="1462">
        <v>2</v>
      </c>
      <c r="C6" s="1462">
        <v>3</v>
      </c>
      <c r="D6" s="1462">
        <v>5</v>
      </c>
      <c r="E6" s="1462">
        <v>6</v>
      </c>
      <c r="F6" s="1462">
        <v>7</v>
      </c>
      <c r="G6" s="1462">
        <v>8</v>
      </c>
      <c r="H6" s="1462">
        <v>9</v>
      </c>
      <c r="I6" s="1462">
        <v>10</v>
      </c>
      <c r="J6" s="1462">
        <v>11</v>
      </c>
      <c r="K6" s="1462">
        <v>12</v>
      </c>
      <c r="L6" s="1462">
        <v>13</v>
      </c>
      <c r="M6" s="1463">
        <v>14</v>
      </c>
    </row>
    <row r="7" spans="1:13" ht="22.5" customHeight="1">
      <c r="A7" s="1625" t="s">
        <v>341</v>
      </c>
      <c r="B7" s="1619" t="s">
        <v>78</v>
      </c>
      <c r="C7" s="1619" t="s">
        <v>420</v>
      </c>
      <c r="D7" s="1622" t="s">
        <v>884</v>
      </c>
      <c r="E7" s="1622" t="s">
        <v>885</v>
      </c>
      <c r="F7" s="1622" t="s">
        <v>886</v>
      </c>
      <c r="G7" s="1610">
        <v>26442750</v>
      </c>
      <c r="H7" s="1610">
        <v>20623953</v>
      </c>
      <c r="I7" s="1465" t="s">
        <v>892</v>
      </c>
      <c r="J7" s="1466">
        <f>SUM(J9,J11,J13)</f>
        <v>19495920</v>
      </c>
      <c r="K7" s="1466">
        <f>SUM(K9,K11,K14)</f>
        <v>0</v>
      </c>
      <c r="L7" s="1466">
        <f>SUM(L9,L11,L14)</f>
        <v>0</v>
      </c>
      <c r="M7" s="1467">
        <f>SUM(M9,M11,M14)</f>
        <v>0</v>
      </c>
    </row>
    <row r="8" spans="1:13" ht="22.5" customHeight="1">
      <c r="A8" s="1626"/>
      <c r="B8" s="1620"/>
      <c r="C8" s="1620"/>
      <c r="D8" s="1623"/>
      <c r="E8" s="1623"/>
      <c r="F8" s="1623"/>
      <c r="G8" s="1611"/>
      <c r="H8" s="1611"/>
      <c r="I8" s="1468" t="s">
        <v>893</v>
      </c>
      <c r="J8" s="817">
        <f>SUM(J10,J12,J14)</f>
        <v>8674915.92</v>
      </c>
      <c r="K8" s="817">
        <f>SUM(K10,K12,K14)</f>
        <v>0</v>
      </c>
      <c r="L8" s="817">
        <f>SUM(L10,L12,L14)</f>
        <v>0</v>
      </c>
      <c r="M8" s="1469">
        <f>SUM(M10,M12,M14)</f>
        <v>0</v>
      </c>
    </row>
    <row r="9" spans="1:13" ht="22.5" customHeight="1">
      <c r="A9" s="1626"/>
      <c r="B9" s="1620"/>
      <c r="C9" s="1620"/>
      <c r="D9" s="1623"/>
      <c r="E9" s="1623"/>
      <c r="F9" s="1623"/>
      <c r="G9" s="1611"/>
      <c r="H9" s="1611"/>
      <c r="I9" s="1465" t="s">
        <v>887</v>
      </c>
      <c r="J9" s="1466">
        <v>11163980</v>
      </c>
      <c r="K9" s="1466">
        <v>0</v>
      </c>
      <c r="L9" s="1466">
        <v>0</v>
      </c>
      <c r="M9" s="1470">
        <v>0</v>
      </c>
    </row>
    <row r="10" spans="1:13" ht="22.5" customHeight="1">
      <c r="A10" s="1626"/>
      <c r="B10" s="1620"/>
      <c r="C10" s="1620"/>
      <c r="D10" s="1623"/>
      <c r="E10" s="1623"/>
      <c r="F10" s="1623"/>
      <c r="G10" s="1611"/>
      <c r="H10" s="1611"/>
      <c r="I10" s="1468" t="s">
        <v>887</v>
      </c>
      <c r="J10" s="817">
        <v>4926325.38</v>
      </c>
      <c r="K10" s="817">
        <v>0</v>
      </c>
      <c r="L10" s="817">
        <v>0</v>
      </c>
      <c r="M10" s="1471">
        <v>0</v>
      </c>
    </row>
    <row r="11" spans="1:13" ht="22.5" customHeight="1">
      <c r="A11" s="1626"/>
      <c r="B11" s="1620"/>
      <c r="C11" s="1620"/>
      <c r="D11" s="1623"/>
      <c r="E11" s="1623"/>
      <c r="F11" s="1623"/>
      <c r="G11" s="1611"/>
      <c r="H11" s="1611"/>
      <c r="I11" s="1465" t="s">
        <v>888</v>
      </c>
      <c r="J11" s="1466">
        <v>3175952</v>
      </c>
      <c r="K11" s="1466">
        <v>0</v>
      </c>
      <c r="L11" s="1466">
        <v>0</v>
      </c>
      <c r="M11" s="1470">
        <v>0</v>
      </c>
    </row>
    <row r="12" spans="1:13" ht="22.5" customHeight="1">
      <c r="A12" s="1626"/>
      <c r="B12" s="1620"/>
      <c r="C12" s="1620"/>
      <c r="D12" s="1623"/>
      <c r="E12" s="1623"/>
      <c r="F12" s="1623"/>
      <c r="G12" s="1611"/>
      <c r="H12" s="1611"/>
      <c r="I12" s="1468" t="s">
        <v>888</v>
      </c>
      <c r="J12" s="817">
        <v>661426.63</v>
      </c>
      <c r="K12" s="817">
        <v>0</v>
      </c>
      <c r="L12" s="817">
        <v>0</v>
      </c>
      <c r="M12" s="1471">
        <v>0</v>
      </c>
    </row>
    <row r="13" spans="1:13" ht="22.5" customHeight="1">
      <c r="A13" s="1626"/>
      <c r="B13" s="1620"/>
      <c r="C13" s="1620"/>
      <c r="D13" s="1623"/>
      <c r="E13" s="1623"/>
      <c r="F13" s="1623"/>
      <c r="G13" s="1611"/>
      <c r="H13" s="1611"/>
      <c r="I13" s="1465" t="s">
        <v>889</v>
      </c>
      <c r="J13" s="1466">
        <v>5155988</v>
      </c>
      <c r="K13" s="1466">
        <v>0</v>
      </c>
      <c r="L13" s="1466">
        <v>0</v>
      </c>
      <c r="M13" s="1470">
        <v>0</v>
      </c>
    </row>
    <row r="14" spans="1:13" ht="22.5" customHeight="1">
      <c r="A14" s="1630"/>
      <c r="B14" s="1621"/>
      <c r="C14" s="1621"/>
      <c r="D14" s="1624"/>
      <c r="E14" s="1624"/>
      <c r="F14" s="1624"/>
      <c r="G14" s="1612"/>
      <c r="H14" s="1612"/>
      <c r="I14" s="1468" t="s">
        <v>889</v>
      </c>
      <c r="J14" s="817">
        <v>3087163.91</v>
      </c>
      <c r="K14" s="817">
        <v>0</v>
      </c>
      <c r="L14" s="817">
        <v>0</v>
      </c>
      <c r="M14" s="1471">
        <v>0</v>
      </c>
    </row>
    <row r="15" spans="1:13" ht="22.5" customHeight="1">
      <c r="A15" s="1625" t="s">
        <v>342</v>
      </c>
      <c r="B15" s="1631" t="s">
        <v>490</v>
      </c>
      <c r="C15" s="1631" t="s">
        <v>491</v>
      </c>
      <c r="D15" s="1622" t="s">
        <v>743</v>
      </c>
      <c r="E15" s="1622" t="s">
        <v>744</v>
      </c>
      <c r="F15" s="1622" t="s">
        <v>398</v>
      </c>
      <c r="G15" s="1610">
        <v>240860</v>
      </c>
      <c r="H15" s="1610">
        <v>216774</v>
      </c>
      <c r="I15" s="1465" t="s">
        <v>892</v>
      </c>
      <c r="J15" s="1466">
        <f>SUM(J17,J19,J21)</f>
        <v>240860</v>
      </c>
      <c r="K15" s="1466">
        <f>SUM(K17,K19,K22)</f>
        <v>0</v>
      </c>
      <c r="L15" s="1466">
        <f>SUM(L17,L19,L22)</f>
        <v>0</v>
      </c>
      <c r="M15" s="1467">
        <f>SUM(M17,M19,M22)</f>
        <v>0</v>
      </c>
    </row>
    <row r="16" spans="1:13" ht="22.5" customHeight="1">
      <c r="A16" s="1626"/>
      <c r="B16" s="1632"/>
      <c r="C16" s="1620"/>
      <c r="D16" s="1623"/>
      <c r="E16" s="1623"/>
      <c r="F16" s="1623"/>
      <c r="G16" s="1611"/>
      <c r="H16" s="1611"/>
      <c r="I16" s="1468" t="s">
        <v>893</v>
      </c>
      <c r="J16" s="817">
        <f>SUM(J18,J20,J22)</f>
        <v>9634.4</v>
      </c>
      <c r="K16" s="817">
        <f>SUM(K18,K20,K22)</f>
        <v>0</v>
      </c>
      <c r="L16" s="817">
        <f>SUM(L18,L20,L22)</f>
        <v>0</v>
      </c>
      <c r="M16" s="1469">
        <f>SUM(M18,M20,M22)</f>
        <v>0</v>
      </c>
    </row>
    <row r="17" spans="1:13" ht="22.5" customHeight="1">
      <c r="A17" s="1626"/>
      <c r="B17" s="1632"/>
      <c r="C17" s="1620"/>
      <c r="D17" s="1623"/>
      <c r="E17" s="1623"/>
      <c r="F17" s="1623"/>
      <c r="G17" s="1611"/>
      <c r="H17" s="1611"/>
      <c r="I17" s="1465" t="s">
        <v>887</v>
      </c>
      <c r="J17" s="1466">
        <v>204731</v>
      </c>
      <c r="K17" s="1466">
        <v>0</v>
      </c>
      <c r="L17" s="1466">
        <v>0</v>
      </c>
      <c r="M17" s="1470">
        <v>0</v>
      </c>
    </row>
    <row r="18" spans="1:13" ht="22.5" customHeight="1">
      <c r="A18" s="1626"/>
      <c r="B18" s="1632"/>
      <c r="C18" s="1620"/>
      <c r="D18" s="1623"/>
      <c r="E18" s="1623"/>
      <c r="F18" s="1623"/>
      <c r="G18" s="1611"/>
      <c r="H18" s="1611"/>
      <c r="I18" s="1468" t="s">
        <v>887</v>
      </c>
      <c r="J18" s="817">
        <v>0</v>
      </c>
      <c r="K18" s="817">
        <v>0</v>
      </c>
      <c r="L18" s="817">
        <v>0</v>
      </c>
      <c r="M18" s="1471">
        <v>0</v>
      </c>
    </row>
    <row r="19" spans="1:13" ht="22.5" customHeight="1">
      <c r="A19" s="1626"/>
      <c r="B19" s="1632"/>
      <c r="C19" s="1620"/>
      <c r="D19" s="1623"/>
      <c r="E19" s="1623"/>
      <c r="F19" s="1623"/>
      <c r="G19" s="1611"/>
      <c r="H19" s="1611"/>
      <c r="I19" s="1465" t="s">
        <v>888</v>
      </c>
      <c r="J19" s="1466">
        <v>0</v>
      </c>
      <c r="K19" s="1466">
        <v>0</v>
      </c>
      <c r="L19" s="1466">
        <v>0</v>
      </c>
      <c r="M19" s="1470">
        <v>0</v>
      </c>
    </row>
    <row r="20" spans="1:13" ht="22.5" customHeight="1">
      <c r="A20" s="1626"/>
      <c r="B20" s="1632"/>
      <c r="C20" s="1620"/>
      <c r="D20" s="1623"/>
      <c r="E20" s="1623"/>
      <c r="F20" s="1623"/>
      <c r="G20" s="1611"/>
      <c r="H20" s="1611"/>
      <c r="I20" s="1468" t="s">
        <v>888</v>
      </c>
      <c r="J20" s="817">
        <v>0</v>
      </c>
      <c r="K20" s="817">
        <v>0</v>
      </c>
      <c r="L20" s="817">
        <v>0</v>
      </c>
      <c r="M20" s="1471">
        <v>0</v>
      </c>
    </row>
    <row r="21" spans="1:13" ht="22.5" customHeight="1">
      <c r="A21" s="1626"/>
      <c r="B21" s="1632"/>
      <c r="C21" s="1620"/>
      <c r="D21" s="1623"/>
      <c r="E21" s="1623"/>
      <c r="F21" s="1623"/>
      <c r="G21" s="1611"/>
      <c r="H21" s="1611"/>
      <c r="I21" s="1465" t="s">
        <v>889</v>
      </c>
      <c r="J21" s="1466">
        <v>36129</v>
      </c>
      <c r="K21" s="1466">
        <v>0</v>
      </c>
      <c r="L21" s="1466">
        <v>0</v>
      </c>
      <c r="M21" s="1470">
        <v>0</v>
      </c>
    </row>
    <row r="22" spans="1:13" ht="22.5" customHeight="1">
      <c r="A22" s="1630"/>
      <c r="B22" s="1633"/>
      <c r="C22" s="1621"/>
      <c r="D22" s="1624"/>
      <c r="E22" s="1624"/>
      <c r="F22" s="1624"/>
      <c r="G22" s="1612"/>
      <c r="H22" s="1612"/>
      <c r="I22" s="1468" t="s">
        <v>889</v>
      </c>
      <c r="J22" s="817">
        <v>9634.4</v>
      </c>
      <c r="K22" s="817">
        <v>0</v>
      </c>
      <c r="L22" s="817">
        <v>0</v>
      </c>
      <c r="M22" s="1471">
        <v>0</v>
      </c>
    </row>
    <row r="23" spans="1:13" ht="22.5" customHeight="1">
      <c r="A23" s="1625" t="s">
        <v>419</v>
      </c>
      <c r="B23" s="1619" t="s">
        <v>137</v>
      </c>
      <c r="C23" s="1619" t="s">
        <v>934</v>
      </c>
      <c r="D23" s="1622" t="s">
        <v>743</v>
      </c>
      <c r="E23" s="1622" t="s">
        <v>745</v>
      </c>
      <c r="F23" s="1622" t="s">
        <v>492</v>
      </c>
      <c r="G23" s="1610">
        <f>239157+39985</f>
        <v>279142</v>
      </c>
      <c r="H23" s="1610">
        <v>279142</v>
      </c>
      <c r="I23" s="1465" t="s">
        <v>892</v>
      </c>
      <c r="J23" s="1466">
        <f aca="true" t="shared" si="0" ref="J23:M24">SUM(J25,J27,J29)</f>
        <v>90912</v>
      </c>
      <c r="K23" s="1466">
        <f t="shared" si="0"/>
        <v>94115</v>
      </c>
      <c r="L23" s="1466">
        <f t="shared" si="0"/>
        <v>94115</v>
      </c>
      <c r="M23" s="1466">
        <f t="shared" si="0"/>
        <v>0</v>
      </c>
    </row>
    <row r="24" spans="1:13" ht="22.5" customHeight="1">
      <c r="A24" s="1626"/>
      <c r="B24" s="1620"/>
      <c r="C24" s="1620"/>
      <c r="D24" s="1623"/>
      <c r="E24" s="1623"/>
      <c r="F24" s="1623"/>
      <c r="G24" s="1611"/>
      <c r="H24" s="1611"/>
      <c r="I24" s="1468" t="s">
        <v>893</v>
      </c>
      <c r="J24" s="817">
        <f t="shared" si="0"/>
        <v>0</v>
      </c>
      <c r="K24" s="817">
        <f t="shared" si="0"/>
        <v>0</v>
      </c>
      <c r="L24" s="817">
        <f t="shared" si="0"/>
        <v>0</v>
      </c>
      <c r="M24" s="1469">
        <f t="shared" si="0"/>
        <v>0</v>
      </c>
    </row>
    <row r="25" spans="1:13" ht="22.5" customHeight="1">
      <c r="A25" s="1626"/>
      <c r="B25" s="1620"/>
      <c r="C25" s="1620"/>
      <c r="D25" s="1623"/>
      <c r="E25" s="1623"/>
      <c r="F25" s="1623"/>
      <c r="G25" s="1611"/>
      <c r="H25" s="1611"/>
      <c r="I25" s="1465" t="s">
        <v>887</v>
      </c>
      <c r="J25" s="1466">
        <v>65583</v>
      </c>
      <c r="K25" s="1466">
        <v>86787</v>
      </c>
      <c r="L25" s="1466">
        <v>86787</v>
      </c>
      <c r="M25" s="1470">
        <v>0</v>
      </c>
    </row>
    <row r="26" spans="1:13" ht="22.5" customHeight="1">
      <c r="A26" s="1626"/>
      <c r="B26" s="1620"/>
      <c r="C26" s="1620"/>
      <c r="D26" s="1623"/>
      <c r="E26" s="1623"/>
      <c r="F26" s="1623"/>
      <c r="G26" s="1611"/>
      <c r="H26" s="1611"/>
      <c r="I26" s="1468" t="s">
        <v>887</v>
      </c>
      <c r="J26" s="817">
        <v>0</v>
      </c>
      <c r="K26" s="817">
        <v>0</v>
      </c>
      <c r="L26" s="817">
        <v>0</v>
      </c>
      <c r="M26" s="1471">
        <v>0</v>
      </c>
    </row>
    <row r="27" spans="1:13" ht="22.5" customHeight="1">
      <c r="A27" s="1626"/>
      <c r="B27" s="1620"/>
      <c r="C27" s="1620"/>
      <c r="D27" s="1623"/>
      <c r="E27" s="1623"/>
      <c r="F27" s="1623"/>
      <c r="G27" s="1611"/>
      <c r="H27" s="1611"/>
      <c r="I27" s="1465" t="s">
        <v>888</v>
      </c>
      <c r="J27" s="1466">
        <v>0</v>
      </c>
      <c r="K27" s="1466">
        <v>0</v>
      </c>
      <c r="L27" s="1466">
        <v>0</v>
      </c>
      <c r="M27" s="1470">
        <v>0</v>
      </c>
    </row>
    <row r="28" spans="1:13" ht="22.5" customHeight="1">
      <c r="A28" s="1626"/>
      <c r="B28" s="1620"/>
      <c r="C28" s="1620"/>
      <c r="D28" s="1623"/>
      <c r="E28" s="1623"/>
      <c r="F28" s="1623"/>
      <c r="G28" s="1611"/>
      <c r="H28" s="1611"/>
      <c r="I28" s="1468" t="s">
        <v>888</v>
      </c>
      <c r="J28" s="817">
        <v>0</v>
      </c>
      <c r="K28" s="817">
        <v>0</v>
      </c>
      <c r="L28" s="817">
        <v>0</v>
      </c>
      <c r="M28" s="1471">
        <v>0</v>
      </c>
    </row>
    <row r="29" spans="1:13" ht="22.5" customHeight="1">
      <c r="A29" s="1626"/>
      <c r="B29" s="1620"/>
      <c r="C29" s="1620"/>
      <c r="D29" s="1623"/>
      <c r="E29" s="1623"/>
      <c r="F29" s="1623"/>
      <c r="G29" s="1611"/>
      <c r="H29" s="1611"/>
      <c r="I29" s="1465" t="s">
        <v>713</v>
      </c>
      <c r="J29" s="1466">
        <v>25329</v>
      </c>
      <c r="K29" s="1466">
        <v>7328</v>
      </c>
      <c r="L29" s="1466">
        <v>7328</v>
      </c>
      <c r="M29" s="1470">
        <v>0</v>
      </c>
    </row>
    <row r="30" spans="1:13" ht="22.5" customHeight="1">
      <c r="A30" s="1630"/>
      <c r="B30" s="1621"/>
      <c r="C30" s="1621"/>
      <c r="D30" s="1624"/>
      <c r="E30" s="1624"/>
      <c r="F30" s="1624"/>
      <c r="G30" s="1612"/>
      <c r="H30" s="1612"/>
      <c r="I30" s="1468" t="s">
        <v>714</v>
      </c>
      <c r="J30" s="817">
        <v>0</v>
      </c>
      <c r="K30" s="817">
        <v>0</v>
      </c>
      <c r="L30" s="817">
        <v>0</v>
      </c>
      <c r="M30" s="1471">
        <v>0</v>
      </c>
    </row>
    <row r="31" spans="1:13" ht="22.5" customHeight="1">
      <c r="A31" s="1625" t="s">
        <v>426</v>
      </c>
      <c r="B31" s="1619" t="s">
        <v>212</v>
      </c>
      <c r="C31" s="1619" t="s">
        <v>945</v>
      </c>
      <c r="D31" s="1622" t="s">
        <v>493</v>
      </c>
      <c r="E31" s="1622" t="s">
        <v>890</v>
      </c>
      <c r="F31" s="1622" t="s">
        <v>886</v>
      </c>
      <c r="G31" s="1610">
        <v>5742270</v>
      </c>
      <c r="H31" s="1610">
        <v>5061846</v>
      </c>
      <c r="I31" s="1465" t="s">
        <v>892</v>
      </c>
      <c r="J31" s="1466">
        <f>SUM(J33,J35,J37)</f>
        <v>3585000</v>
      </c>
      <c r="K31" s="1466">
        <f>SUM(K33,K35,K38)</f>
        <v>0</v>
      </c>
      <c r="L31" s="1466">
        <f>SUM(L33,L35,L38)</f>
        <v>0</v>
      </c>
      <c r="M31" s="1467">
        <f>SUM(M33,M35,M38)</f>
        <v>0</v>
      </c>
    </row>
    <row r="32" spans="1:13" ht="22.5" customHeight="1">
      <c r="A32" s="1626"/>
      <c r="B32" s="1620"/>
      <c r="C32" s="1620"/>
      <c r="D32" s="1623"/>
      <c r="E32" s="1623"/>
      <c r="F32" s="1623"/>
      <c r="G32" s="1611"/>
      <c r="H32" s="1611"/>
      <c r="I32" s="1468" t="s">
        <v>893</v>
      </c>
      <c r="J32" s="817">
        <f>SUM(J34,J36,J38)</f>
        <v>2921407.71</v>
      </c>
      <c r="K32" s="817">
        <f>SUM(K34,K36,K38)</f>
        <v>0</v>
      </c>
      <c r="L32" s="817">
        <f>SUM(L34,L36,L38)</f>
        <v>0</v>
      </c>
      <c r="M32" s="1469">
        <f>SUM(M34,M36,M38)</f>
        <v>0</v>
      </c>
    </row>
    <row r="33" spans="1:13" ht="22.5" customHeight="1">
      <c r="A33" s="1626"/>
      <c r="B33" s="1620"/>
      <c r="C33" s="1620"/>
      <c r="D33" s="1623"/>
      <c r="E33" s="1623"/>
      <c r="F33" s="1623"/>
      <c r="G33" s="1611"/>
      <c r="H33" s="1611"/>
      <c r="I33" s="1465" t="s">
        <v>887</v>
      </c>
      <c r="J33" s="1466">
        <v>670000</v>
      </c>
      <c r="K33" s="1466">
        <v>0</v>
      </c>
      <c r="L33" s="1466">
        <v>0</v>
      </c>
      <c r="M33" s="1470">
        <v>0</v>
      </c>
    </row>
    <row r="34" spans="1:13" ht="22.5" customHeight="1">
      <c r="A34" s="1626"/>
      <c r="B34" s="1620"/>
      <c r="C34" s="1620"/>
      <c r="D34" s="1623"/>
      <c r="E34" s="1623"/>
      <c r="F34" s="1623"/>
      <c r="G34" s="1611"/>
      <c r="H34" s="1611"/>
      <c r="I34" s="1468" t="s">
        <v>887</v>
      </c>
      <c r="J34" s="817">
        <v>665893.86</v>
      </c>
      <c r="K34" s="817">
        <v>0</v>
      </c>
      <c r="L34" s="817">
        <v>0</v>
      </c>
      <c r="M34" s="1471">
        <v>0</v>
      </c>
    </row>
    <row r="35" spans="1:13" ht="22.5" customHeight="1">
      <c r="A35" s="1626"/>
      <c r="B35" s="1620"/>
      <c r="C35" s="1620"/>
      <c r="D35" s="1623"/>
      <c r="E35" s="1623"/>
      <c r="F35" s="1623"/>
      <c r="G35" s="1611"/>
      <c r="H35" s="1611"/>
      <c r="I35" s="1465" t="s">
        <v>888</v>
      </c>
      <c r="J35" s="1466">
        <v>2639000</v>
      </c>
      <c r="K35" s="1466">
        <v>0</v>
      </c>
      <c r="L35" s="1466">
        <v>0</v>
      </c>
      <c r="M35" s="1470">
        <v>0</v>
      </c>
    </row>
    <row r="36" spans="1:13" ht="22.5" customHeight="1">
      <c r="A36" s="1626"/>
      <c r="B36" s="1620"/>
      <c r="C36" s="1620"/>
      <c r="D36" s="1623"/>
      <c r="E36" s="1623"/>
      <c r="F36" s="1623"/>
      <c r="G36" s="1611"/>
      <c r="H36" s="1611"/>
      <c r="I36" s="1468" t="s">
        <v>888</v>
      </c>
      <c r="J36" s="817">
        <v>1979513.85</v>
      </c>
      <c r="K36" s="817">
        <v>0</v>
      </c>
      <c r="L36" s="817">
        <v>0</v>
      </c>
      <c r="M36" s="1471">
        <v>0</v>
      </c>
    </row>
    <row r="37" spans="1:13" ht="22.5" customHeight="1">
      <c r="A37" s="1626"/>
      <c r="B37" s="1620"/>
      <c r="C37" s="1620"/>
      <c r="D37" s="1623"/>
      <c r="E37" s="1623"/>
      <c r="F37" s="1623"/>
      <c r="G37" s="1611"/>
      <c r="H37" s="1611"/>
      <c r="I37" s="1465" t="s">
        <v>894</v>
      </c>
      <c r="J37" s="1466">
        <v>276000</v>
      </c>
      <c r="K37" s="1466">
        <v>0</v>
      </c>
      <c r="L37" s="1466">
        <v>0</v>
      </c>
      <c r="M37" s="1470">
        <v>0</v>
      </c>
    </row>
    <row r="38" spans="1:13" ht="22.5" customHeight="1" thickBot="1">
      <c r="A38" s="1627"/>
      <c r="B38" s="1628"/>
      <c r="C38" s="1628"/>
      <c r="D38" s="1629"/>
      <c r="E38" s="1629"/>
      <c r="F38" s="1629"/>
      <c r="G38" s="1644"/>
      <c r="H38" s="1644"/>
      <c r="I38" s="1472" t="s">
        <v>894</v>
      </c>
      <c r="J38" s="1473">
        <v>276000</v>
      </c>
      <c r="K38" s="1473">
        <v>0</v>
      </c>
      <c r="L38" s="1473">
        <v>0</v>
      </c>
      <c r="M38" s="1474">
        <v>0</v>
      </c>
    </row>
    <row r="39" spans="1:13" ht="22.5" customHeight="1" thickTop="1">
      <c r="A39" s="1613" t="s">
        <v>671</v>
      </c>
      <c r="B39" s="1614"/>
      <c r="C39" s="1614"/>
      <c r="D39" s="1614"/>
      <c r="E39" s="1614"/>
      <c r="F39" s="1614"/>
      <c r="G39" s="1614"/>
      <c r="H39" s="1615"/>
      <c r="I39" s="1475" t="s">
        <v>672</v>
      </c>
      <c r="J39" s="1476">
        <f aca="true" t="shared" si="1" ref="J39:M40">SUM(J7,J15,J23,J31)</f>
        <v>23412692</v>
      </c>
      <c r="K39" s="1476">
        <f t="shared" si="1"/>
        <v>94115</v>
      </c>
      <c r="L39" s="1476">
        <f t="shared" si="1"/>
        <v>94115</v>
      </c>
      <c r="M39" s="1480">
        <f t="shared" si="1"/>
        <v>0</v>
      </c>
    </row>
    <row r="40" spans="1:13" s="531" customFormat="1" ht="22.5" customHeight="1" thickBot="1">
      <c r="A40" s="1616"/>
      <c r="B40" s="1617"/>
      <c r="C40" s="1617"/>
      <c r="D40" s="1617"/>
      <c r="E40" s="1617"/>
      <c r="F40" s="1617"/>
      <c r="G40" s="1617"/>
      <c r="H40" s="1618"/>
      <c r="I40" s="1477" t="s">
        <v>673</v>
      </c>
      <c r="J40" s="1478">
        <f t="shared" si="1"/>
        <v>11605958.030000001</v>
      </c>
      <c r="K40" s="1478">
        <f t="shared" si="1"/>
        <v>0</v>
      </c>
      <c r="L40" s="1478">
        <f t="shared" si="1"/>
        <v>0</v>
      </c>
      <c r="M40" s="1479">
        <f t="shared" si="1"/>
        <v>0</v>
      </c>
    </row>
  </sheetData>
  <sheetProtection password="CF53" sheet="1" objects="1" scenarios="1" selectLockedCells="1" selectUnlockedCells="1"/>
  <mergeCells count="44">
    <mergeCell ref="G15:G22"/>
    <mergeCell ref="H15:H22"/>
    <mergeCell ref="A23:A30"/>
    <mergeCell ref="B23:B30"/>
    <mergeCell ref="C23:C30"/>
    <mergeCell ref="D23:D30"/>
    <mergeCell ref="E23:E30"/>
    <mergeCell ref="F23:F30"/>
    <mergeCell ref="G23:G30"/>
    <mergeCell ref="H23:H30"/>
    <mergeCell ref="C15:C22"/>
    <mergeCell ref="D15:D22"/>
    <mergeCell ref="E15:E22"/>
    <mergeCell ref="F15:F22"/>
    <mergeCell ref="A4:A5"/>
    <mergeCell ref="A7:A14"/>
    <mergeCell ref="B7:B14"/>
    <mergeCell ref="H31:H38"/>
    <mergeCell ref="E7:E14"/>
    <mergeCell ref="F7:F14"/>
    <mergeCell ref="G7:G14"/>
    <mergeCell ref="E31:E38"/>
    <mergeCell ref="F31:F38"/>
    <mergeCell ref="G31:G38"/>
    <mergeCell ref="C4:C5"/>
    <mergeCell ref="H4:H5"/>
    <mergeCell ref="A2:M2"/>
    <mergeCell ref="E4:E5"/>
    <mergeCell ref="F4:F5"/>
    <mergeCell ref="I4:I5"/>
    <mergeCell ref="J4:M4"/>
    <mergeCell ref="G4:G5"/>
    <mergeCell ref="D4:D5"/>
    <mergeCell ref="B4:B5"/>
    <mergeCell ref="H7:H14"/>
    <mergeCell ref="A39:H40"/>
    <mergeCell ref="C7:C14"/>
    <mergeCell ref="D7:D14"/>
    <mergeCell ref="A31:A38"/>
    <mergeCell ref="B31:B38"/>
    <mergeCell ref="C31:C38"/>
    <mergeCell ref="D31:D38"/>
    <mergeCell ref="A15:A22"/>
    <mergeCell ref="B15:B22"/>
  </mergeCells>
  <printOptions horizontalCentered="1"/>
  <pageMargins left="0.7874015748031497" right="0.1968503937007874" top="0.7874015748031497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G136"/>
  <sheetViews>
    <sheetView view="pageBreakPreview" zoomScaleSheetLayoutView="100" workbookViewId="0" topLeftCell="A49">
      <selection activeCell="C60" sqref="C60"/>
    </sheetView>
  </sheetViews>
  <sheetFormatPr defaultColWidth="9.00390625" defaultRowHeight="12.75"/>
  <cols>
    <col min="1" max="1" width="4.00390625" style="864" customWidth="1"/>
    <col min="2" max="2" width="8.625" style="864" customWidth="1"/>
    <col min="3" max="3" width="87.875" style="864" customWidth="1"/>
    <col min="4" max="4" width="13.125" style="864" customWidth="1"/>
    <col min="5" max="5" width="12.375" style="864" customWidth="1"/>
    <col min="6" max="6" width="5.75390625" style="864" customWidth="1"/>
    <col min="7" max="7" width="9.125" style="866" customWidth="1"/>
    <col min="8" max="16384" width="9.125" style="864" customWidth="1"/>
  </cols>
  <sheetData>
    <row r="1" spans="5:6" ht="12.75">
      <c r="E1" s="1645" t="s">
        <v>1093</v>
      </c>
      <c r="F1" s="1645"/>
    </row>
    <row r="2" ht="29.25" customHeight="1">
      <c r="F2" s="865"/>
    </row>
    <row r="3" spans="1:7" s="812" customFormat="1" ht="24.75" customHeight="1">
      <c r="A3" s="1638" t="s">
        <v>1253</v>
      </c>
      <c r="B3" s="1638"/>
      <c r="C3" s="1638"/>
      <c r="D3" s="1638"/>
      <c r="E3" s="1638"/>
      <c r="F3" s="1638"/>
      <c r="G3" s="868"/>
    </row>
    <row r="4" spans="3:7" s="869" customFormat="1" ht="39.75" customHeight="1" thickBot="1">
      <c r="C4" s="867"/>
      <c r="F4" s="1426" t="s">
        <v>67</v>
      </c>
      <c r="G4" s="870"/>
    </row>
    <row r="5" spans="1:7" s="1372" customFormat="1" ht="31.5" customHeight="1">
      <c r="A5" s="1370" t="s">
        <v>338</v>
      </c>
      <c r="B5" s="1190" t="s">
        <v>68</v>
      </c>
      <c r="C5" s="1190" t="s">
        <v>1254</v>
      </c>
      <c r="D5" s="1190" t="s">
        <v>70</v>
      </c>
      <c r="E5" s="1190" t="s">
        <v>71</v>
      </c>
      <c r="F5" s="1191" t="s">
        <v>72</v>
      </c>
      <c r="G5" s="1371"/>
    </row>
    <row r="6" spans="1:7" s="1372" customFormat="1" ht="12" customHeight="1" thickBot="1">
      <c r="A6" s="1373">
        <v>1</v>
      </c>
      <c r="B6" s="1374">
        <v>2</v>
      </c>
      <c r="C6" s="1374">
        <v>3</v>
      </c>
      <c r="D6" s="1374">
        <v>4</v>
      </c>
      <c r="E6" s="1374">
        <v>5</v>
      </c>
      <c r="F6" s="1375">
        <v>6</v>
      </c>
      <c r="G6" s="1371"/>
    </row>
    <row r="7" spans="1:7" s="867" customFormat="1" ht="24.75" customHeight="1">
      <c r="A7" s="1646" t="s">
        <v>79</v>
      </c>
      <c r="B7" s="1647"/>
      <c r="C7" s="1648"/>
      <c r="D7" s="1376">
        <f>SUM(D8,D9,D10,D11,D12,D13,D14,D15,D16,D17,D18,D21,D24,D25,D26,D27,D28,D29,D30,D31,D32,D35,D40,D43)</f>
        <v>47849311</v>
      </c>
      <c r="E7" s="1376">
        <f>SUM(E8,E9,E10,E11,E12,E13,E14,E15,E16,E17,E18,E21,E24,E25,E26,E27,E28,E29,E30,E31,E32,E35,E40,E43)</f>
        <v>13713102.66</v>
      </c>
      <c r="F7" s="1377">
        <f aca="true" t="shared" si="0" ref="F7:F36">E7/D7*100</f>
        <v>28.658934420184234</v>
      </c>
      <c r="G7" s="863"/>
    </row>
    <row r="8" spans="1:6" ht="32.25" customHeight="1">
      <c r="A8" s="1323" t="s">
        <v>341</v>
      </c>
      <c r="B8" s="1324" t="s">
        <v>108</v>
      </c>
      <c r="C8" s="1325" t="s">
        <v>1</v>
      </c>
      <c r="D8" s="1326">
        <v>650000</v>
      </c>
      <c r="E8" s="1326">
        <v>7190.73</v>
      </c>
      <c r="F8" s="1327">
        <f t="shared" si="0"/>
        <v>1.1062661538461538</v>
      </c>
    </row>
    <row r="9" spans="1:7" s="869" customFormat="1" ht="22.5" customHeight="1">
      <c r="A9" s="1328" t="s">
        <v>342</v>
      </c>
      <c r="B9" s="1329" t="s">
        <v>80</v>
      </c>
      <c r="C9" s="1330" t="s">
        <v>1097</v>
      </c>
      <c r="D9" s="1331">
        <v>2000000</v>
      </c>
      <c r="E9" s="1332">
        <v>335500</v>
      </c>
      <c r="F9" s="1333">
        <f t="shared" si="0"/>
        <v>16.775000000000002</v>
      </c>
      <c r="G9" s="870"/>
    </row>
    <row r="10" spans="1:7" s="869" customFormat="1" ht="22.5" customHeight="1">
      <c r="A10" s="1328" t="s">
        <v>419</v>
      </c>
      <c r="B10" s="1329" t="s">
        <v>80</v>
      </c>
      <c r="C10" s="946" t="s">
        <v>1195</v>
      </c>
      <c r="D10" s="1331">
        <v>500000</v>
      </c>
      <c r="E10" s="1332">
        <v>0</v>
      </c>
      <c r="F10" s="1333">
        <f t="shared" si="0"/>
        <v>0</v>
      </c>
      <c r="G10" s="870"/>
    </row>
    <row r="11" spans="1:7" s="869" customFormat="1" ht="22.5" customHeight="1">
      <c r="A11" s="1328" t="s">
        <v>426</v>
      </c>
      <c r="B11" s="1334" t="s">
        <v>80</v>
      </c>
      <c r="C11" s="75" t="s">
        <v>185</v>
      </c>
      <c r="D11" s="1335">
        <v>100000</v>
      </c>
      <c r="E11" s="1335">
        <v>2678.29</v>
      </c>
      <c r="F11" s="1336">
        <f t="shared" si="0"/>
        <v>2.6782899999999996</v>
      </c>
      <c r="G11" s="870"/>
    </row>
    <row r="12" spans="1:7" s="869" customFormat="1" ht="30" customHeight="1">
      <c r="A12" s="1384" t="s">
        <v>427</v>
      </c>
      <c r="B12" s="1385" t="s">
        <v>80</v>
      </c>
      <c r="C12" s="1392" t="s">
        <v>1107</v>
      </c>
      <c r="D12" s="1387">
        <v>1428500</v>
      </c>
      <c r="E12" s="1387">
        <v>996929.69</v>
      </c>
      <c r="F12" s="1388">
        <f t="shared" si="0"/>
        <v>69.78856772838643</v>
      </c>
      <c r="G12" s="870"/>
    </row>
    <row r="13" spans="1:7" s="869" customFormat="1" ht="22.5" customHeight="1">
      <c r="A13" s="1328" t="s">
        <v>428</v>
      </c>
      <c r="B13" s="1334" t="s">
        <v>80</v>
      </c>
      <c r="C13" s="75" t="s">
        <v>1196</v>
      </c>
      <c r="D13" s="1335">
        <v>315000</v>
      </c>
      <c r="E13" s="1335">
        <v>3533.12</v>
      </c>
      <c r="F13" s="1336">
        <f t="shared" si="0"/>
        <v>1.1216253968253966</v>
      </c>
      <c r="G13" s="870"/>
    </row>
    <row r="14" spans="1:7" s="869" customFormat="1" ht="22.5" customHeight="1">
      <c r="A14" s="1328" t="s">
        <v>526</v>
      </c>
      <c r="B14" s="1334" t="s">
        <v>80</v>
      </c>
      <c r="C14" s="75" t="s">
        <v>1197</v>
      </c>
      <c r="D14" s="1335">
        <v>687191</v>
      </c>
      <c r="E14" s="1335">
        <v>75870.04</v>
      </c>
      <c r="F14" s="1336">
        <f t="shared" si="0"/>
        <v>11.040604431664558</v>
      </c>
      <c r="G14" s="870"/>
    </row>
    <row r="15" spans="1:7" s="869" customFormat="1" ht="22.5" customHeight="1">
      <c r="A15" s="1328" t="s">
        <v>527</v>
      </c>
      <c r="B15" s="1334" t="s">
        <v>80</v>
      </c>
      <c r="C15" s="75" t="s">
        <v>1198</v>
      </c>
      <c r="D15" s="1335">
        <v>200000</v>
      </c>
      <c r="E15" s="1335">
        <v>0</v>
      </c>
      <c r="F15" s="1336">
        <f t="shared" si="0"/>
        <v>0</v>
      </c>
      <c r="G15" s="870"/>
    </row>
    <row r="16" spans="1:7" s="869" customFormat="1" ht="24" customHeight="1">
      <c r="A16" s="1361" t="s">
        <v>429</v>
      </c>
      <c r="B16" s="1362" t="s">
        <v>80</v>
      </c>
      <c r="C16" s="1363" t="s">
        <v>1104</v>
      </c>
      <c r="D16" s="1357">
        <v>3000000</v>
      </c>
      <c r="E16" s="1357">
        <v>0</v>
      </c>
      <c r="F16" s="1364">
        <f t="shared" si="0"/>
        <v>0</v>
      </c>
      <c r="G16" s="870"/>
    </row>
    <row r="17" spans="1:7" s="869" customFormat="1" ht="22.5" customHeight="1">
      <c r="A17" s="1328" t="s">
        <v>431</v>
      </c>
      <c r="B17" s="1334" t="s">
        <v>80</v>
      </c>
      <c r="C17" s="75" t="s">
        <v>141</v>
      </c>
      <c r="D17" s="1335">
        <v>110000</v>
      </c>
      <c r="E17" s="1335">
        <v>0</v>
      </c>
      <c r="F17" s="1336">
        <f t="shared" si="0"/>
        <v>0</v>
      </c>
      <c r="G17" s="870"/>
    </row>
    <row r="18" spans="1:7" s="869" customFormat="1" ht="22.5" customHeight="1" thickBot="1">
      <c r="A18" s="1440" t="s">
        <v>528</v>
      </c>
      <c r="B18" s="1441" t="s">
        <v>80</v>
      </c>
      <c r="C18" s="84" t="s">
        <v>1256</v>
      </c>
      <c r="D18" s="1442">
        <v>764000</v>
      </c>
      <c r="E18" s="1442">
        <v>752.28</v>
      </c>
      <c r="F18" s="1443">
        <f t="shared" si="0"/>
        <v>0.09846596858638743</v>
      </c>
      <c r="G18" s="870"/>
    </row>
    <row r="19" spans="1:6" s="870" customFormat="1" ht="14.25" customHeight="1" thickBot="1">
      <c r="A19" s="1430"/>
      <c r="B19" s="1431"/>
      <c r="D19" s="1432"/>
      <c r="E19" s="1432"/>
      <c r="F19" s="1433"/>
    </row>
    <row r="20" spans="1:7" s="1372" customFormat="1" ht="12" customHeight="1" thickBot="1">
      <c r="A20" s="1444">
        <v>1</v>
      </c>
      <c r="B20" s="1445">
        <v>2</v>
      </c>
      <c r="C20" s="1445">
        <v>3</v>
      </c>
      <c r="D20" s="1445">
        <v>4</v>
      </c>
      <c r="E20" s="1445">
        <v>5</v>
      </c>
      <c r="F20" s="1446">
        <v>6</v>
      </c>
      <c r="G20" s="1371"/>
    </row>
    <row r="21" spans="1:7" s="869" customFormat="1" ht="31.5" customHeight="1">
      <c r="A21" s="1384" t="s">
        <v>432</v>
      </c>
      <c r="B21" s="1385" t="s">
        <v>80</v>
      </c>
      <c r="C21" s="1386" t="s">
        <v>1257</v>
      </c>
      <c r="D21" s="1387">
        <f>D22+D23</f>
        <v>5464700</v>
      </c>
      <c r="E21" s="1387">
        <f>E22+E23</f>
        <v>6429.49</v>
      </c>
      <c r="F21" s="1388">
        <f t="shared" si="0"/>
        <v>0.11765494903654362</v>
      </c>
      <c r="G21" s="870"/>
    </row>
    <row r="22" spans="1:7" s="869" customFormat="1" ht="21" customHeight="1">
      <c r="A22" s="1389"/>
      <c r="B22" s="1390"/>
      <c r="C22" s="1391" t="s">
        <v>1255</v>
      </c>
      <c r="D22" s="1396">
        <v>4464700</v>
      </c>
      <c r="E22" s="1396">
        <v>6429.49</v>
      </c>
      <c r="F22" s="1397">
        <f t="shared" si="0"/>
        <v>0.14400721213071427</v>
      </c>
      <c r="G22" s="870"/>
    </row>
    <row r="23" spans="1:7" s="869" customFormat="1" ht="21" customHeight="1">
      <c r="A23" s="1337"/>
      <c r="B23" s="1329"/>
      <c r="C23" s="1383" t="s">
        <v>1193</v>
      </c>
      <c r="D23" s="1394">
        <v>1000000</v>
      </c>
      <c r="E23" s="1394">
        <v>0</v>
      </c>
      <c r="F23" s="1395">
        <f t="shared" si="0"/>
        <v>0</v>
      </c>
      <c r="G23" s="870"/>
    </row>
    <row r="24" spans="1:7" s="869" customFormat="1" ht="22.5" customHeight="1">
      <c r="A24" s="1328" t="s">
        <v>433</v>
      </c>
      <c r="B24" s="1334" t="s">
        <v>80</v>
      </c>
      <c r="C24" s="75" t="s">
        <v>1258</v>
      </c>
      <c r="D24" s="1335">
        <v>680000</v>
      </c>
      <c r="E24" s="1335">
        <v>0</v>
      </c>
      <c r="F24" s="1336">
        <f t="shared" si="0"/>
        <v>0</v>
      </c>
      <c r="G24" s="870"/>
    </row>
    <row r="25" spans="1:7" s="869" customFormat="1" ht="22.5" customHeight="1">
      <c r="A25" s="1328" t="s">
        <v>529</v>
      </c>
      <c r="B25" s="1334" t="s">
        <v>80</v>
      </c>
      <c r="C25" s="75" t="s">
        <v>1259</v>
      </c>
      <c r="D25" s="1335">
        <v>250000</v>
      </c>
      <c r="E25" s="1335">
        <v>3366.71</v>
      </c>
      <c r="F25" s="1336">
        <f t="shared" si="0"/>
        <v>1.346684</v>
      </c>
      <c r="G25" s="870"/>
    </row>
    <row r="26" spans="1:7" s="869" customFormat="1" ht="22.5" customHeight="1">
      <c r="A26" s="1328" t="s">
        <v>434</v>
      </c>
      <c r="B26" s="1334" t="s">
        <v>80</v>
      </c>
      <c r="C26" s="75" t="s">
        <v>1260</v>
      </c>
      <c r="D26" s="1335">
        <v>2583000</v>
      </c>
      <c r="E26" s="1335">
        <v>91378</v>
      </c>
      <c r="F26" s="1336">
        <f t="shared" si="0"/>
        <v>3.5376693766937666</v>
      </c>
      <c r="G26" s="870"/>
    </row>
    <row r="27" spans="1:7" s="869" customFormat="1" ht="22.5" customHeight="1">
      <c r="A27" s="1328" t="s">
        <v>435</v>
      </c>
      <c r="B27" s="1334" t="s">
        <v>80</v>
      </c>
      <c r="C27" s="75" t="s">
        <v>1261</v>
      </c>
      <c r="D27" s="1335">
        <v>300000</v>
      </c>
      <c r="E27" s="1335">
        <v>0</v>
      </c>
      <c r="F27" s="1336">
        <f t="shared" si="0"/>
        <v>0</v>
      </c>
      <c r="G27" s="870"/>
    </row>
    <row r="28" spans="1:7" s="869" customFormat="1" ht="22.5" customHeight="1">
      <c r="A28" s="1328" t="s">
        <v>436</v>
      </c>
      <c r="B28" s="1334" t="s">
        <v>81</v>
      </c>
      <c r="C28" s="75" t="s">
        <v>1199</v>
      </c>
      <c r="D28" s="1335">
        <v>1010000</v>
      </c>
      <c r="E28" s="1335">
        <v>934182.12</v>
      </c>
      <c r="F28" s="1336">
        <f t="shared" si="0"/>
        <v>92.49327920792079</v>
      </c>
      <c r="G28" s="870"/>
    </row>
    <row r="29" spans="1:7" s="869" customFormat="1" ht="22.5" customHeight="1">
      <c r="A29" s="1337" t="s">
        <v>437</v>
      </c>
      <c r="B29" s="1329" t="s">
        <v>81</v>
      </c>
      <c r="C29" s="70" t="s">
        <v>1098</v>
      </c>
      <c r="D29" s="1332">
        <v>96000</v>
      </c>
      <c r="E29" s="1332">
        <v>13371.46</v>
      </c>
      <c r="F29" s="1333">
        <f t="shared" si="0"/>
        <v>13.928604166666666</v>
      </c>
      <c r="G29" s="870"/>
    </row>
    <row r="30" spans="1:7" s="869" customFormat="1" ht="22.5" customHeight="1">
      <c r="A30" s="1328" t="s">
        <v>440</v>
      </c>
      <c r="B30" s="1334" t="s">
        <v>81</v>
      </c>
      <c r="C30" s="75" t="s">
        <v>872</v>
      </c>
      <c r="D30" s="1335">
        <v>1043000</v>
      </c>
      <c r="E30" s="1335">
        <v>774285.1</v>
      </c>
      <c r="F30" s="1336">
        <f t="shared" si="0"/>
        <v>74.23634707574305</v>
      </c>
      <c r="G30" s="870"/>
    </row>
    <row r="31" spans="1:7" s="869" customFormat="1" ht="22.5" customHeight="1">
      <c r="A31" s="1328" t="s">
        <v>441</v>
      </c>
      <c r="B31" s="1334" t="s">
        <v>81</v>
      </c>
      <c r="C31" s="75" t="s">
        <v>1200</v>
      </c>
      <c r="D31" s="1335">
        <v>1500000</v>
      </c>
      <c r="E31" s="1335">
        <v>600599.02</v>
      </c>
      <c r="F31" s="1336">
        <f t="shared" si="0"/>
        <v>40.03993466666667</v>
      </c>
      <c r="G31" s="870"/>
    </row>
    <row r="32" spans="1:7" s="869" customFormat="1" ht="39.75" customHeight="1">
      <c r="A32" s="1384" t="s">
        <v>442</v>
      </c>
      <c r="B32" s="1385" t="s">
        <v>81</v>
      </c>
      <c r="C32" s="1386" t="s">
        <v>1099</v>
      </c>
      <c r="D32" s="1387">
        <f>D33+D34</f>
        <v>2215000</v>
      </c>
      <c r="E32" s="1387">
        <f>E33+E34</f>
        <v>1394.25</v>
      </c>
      <c r="F32" s="1388">
        <f t="shared" si="0"/>
        <v>0.06294582392776524</v>
      </c>
      <c r="G32" s="1393"/>
    </row>
    <row r="33" spans="1:7" s="869" customFormat="1" ht="22.5" customHeight="1">
      <c r="A33" s="1389"/>
      <c r="B33" s="1390"/>
      <c r="C33" s="1391" t="s">
        <v>1255</v>
      </c>
      <c r="D33" s="1396">
        <v>2065000</v>
      </c>
      <c r="E33" s="1396">
        <v>1394.25</v>
      </c>
      <c r="F33" s="1397">
        <f t="shared" si="0"/>
        <v>0.0675181598062954</v>
      </c>
      <c r="G33" s="870"/>
    </row>
    <row r="34" spans="1:7" s="869" customFormat="1" ht="22.5" customHeight="1">
      <c r="A34" s="1337"/>
      <c r="B34" s="1329"/>
      <c r="C34" s="1383" t="s">
        <v>1193</v>
      </c>
      <c r="D34" s="1394">
        <v>150000</v>
      </c>
      <c r="E34" s="1394">
        <v>0</v>
      </c>
      <c r="F34" s="1395">
        <f t="shared" si="0"/>
        <v>0</v>
      </c>
      <c r="G34" s="870"/>
    </row>
    <row r="35" spans="1:7" s="869" customFormat="1" ht="33" customHeight="1">
      <c r="A35" s="1384" t="s">
        <v>443</v>
      </c>
      <c r="B35" s="1385" t="s">
        <v>81</v>
      </c>
      <c r="C35" s="1386" t="s">
        <v>1262</v>
      </c>
      <c r="D35" s="1387">
        <f>D36+D37</f>
        <v>665000</v>
      </c>
      <c r="E35" s="1387">
        <f>E36+E37</f>
        <v>0</v>
      </c>
      <c r="F35" s="1388">
        <f t="shared" si="0"/>
        <v>0</v>
      </c>
      <c r="G35" s="870"/>
    </row>
    <row r="36" spans="1:7" s="869" customFormat="1" ht="22.5" customHeight="1">
      <c r="A36" s="1389"/>
      <c r="B36" s="1390"/>
      <c r="C36" s="1391" t="s">
        <v>1255</v>
      </c>
      <c r="D36" s="1396">
        <v>450000</v>
      </c>
      <c r="E36" s="1396">
        <v>0</v>
      </c>
      <c r="F36" s="1397">
        <f t="shared" si="0"/>
        <v>0</v>
      </c>
      <c r="G36" s="870"/>
    </row>
    <row r="37" spans="1:7" s="869" customFormat="1" ht="22.5" customHeight="1" thickBot="1">
      <c r="A37" s="1447"/>
      <c r="B37" s="1448"/>
      <c r="C37" s="1449" t="s">
        <v>1193</v>
      </c>
      <c r="D37" s="1450">
        <v>215000</v>
      </c>
      <c r="E37" s="1450">
        <v>0</v>
      </c>
      <c r="F37" s="1451">
        <f aca="true" t="shared" si="1" ref="F37:F69">E37/D37*100</f>
        <v>0</v>
      </c>
      <c r="G37" s="870"/>
    </row>
    <row r="38" spans="1:6" s="870" customFormat="1" ht="21.75" customHeight="1" thickBot="1">
      <c r="A38" s="1430"/>
      <c r="B38" s="1431"/>
      <c r="C38" s="1410"/>
      <c r="D38" s="1434"/>
      <c r="E38" s="1434"/>
      <c r="F38" s="1435"/>
    </row>
    <row r="39" spans="1:7" s="1372" customFormat="1" ht="12" customHeight="1" thickBot="1">
      <c r="A39" s="1444">
        <v>1</v>
      </c>
      <c r="B39" s="1445">
        <v>2</v>
      </c>
      <c r="C39" s="1445">
        <v>3</v>
      </c>
      <c r="D39" s="1445">
        <v>4</v>
      </c>
      <c r="E39" s="1445">
        <v>5</v>
      </c>
      <c r="F39" s="1446">
        <v>6</v>
      </c>
      <c r="G39" s="1371"/>
    </row>
    <row r="40" spans="1:7" s="869" customFormat="1" ht="27" customHeight="1">
      <c r="A40" s="1384" t="s">
        <v>285</v>
      </c>
      <c r="B40" s="1385" t="s">
        <v>81</v>
      </c>
      <c r="C40" s="1386" t="s">
        <v>1263</v>
      </c>
      <c r="D40" s="1387">
        <f>D41+D42</f>
        <v>2792000</v>
      </c>
      <c r="E40" s="1387">
        <f>E41+E42</f>
        <v>1190726.44</v>
      </c>
      <c r="F40" s="1388">
        <f t="shared" si="1"/>
        <v>42.647795128939826</v>
      </c>
      <c r="G40" s="870"/>
    </row>
    <row r="41" spans="1:7" s="869" customFormat="1" ht="22.5" customHeight="1">
      <c r="A41" s="1389"/>
      <c r="B41" s="1390"/>
      <c r="C41" s="1391" t="s">
        <v>1264</v>
      </c>
      <c r="D41" s="1396">
        <v>2582000</v>
      </c>
      <c r="E41" s="1396">
        <v>1190726.44</v>
      </c>
      <c r="F41" s="1397">
        <f t="shared" si="1"/>
        <v>46.116438419829585</v>
      </c>
      <c r="G41" s="870"/>
    </row>
    <row r="42" spans="1:7" s="869" customFormat="1" ht="22.5" customHeight="1">
      <c r="A42" s="1337"/>
      <c r="B42" s="1329"/>
      <c r="C42" s="1383" t="s">
        <v>1193</v>
      </c>
      <c r="D42" s="1394">
        <v>210000</v>
      </c>
      <c r="E42" s="1394">
        <v>0</v>
      </c>
      <c r="F42" s="1395">
        <f t="shared" si="1"/>
        <v>0</v>
      </c>
      <c r="G42" s="870"/>
    </row>
    <row r="43" spans="1:7" s="869" customFormat="1" ht="22.5" customHeight="1">
      <c r="A43" s="1384" t="s">
        <v>286</v>
      </c>
      <c r="B43" s="1385" t="s">
        <v>420</v>
      </c>
      <c r="C43" s="1386" t="s">
        <v>1108</v>
      </c>
      <c r="D43" s="1387">
        <v>19495920</v>
      </c>
      <c r="E43" s="1387">
        <v>8674915.92</v>
      </c>
      <c r="F43" s="1388">
        <f t="shared" si="1"/>
        <v>44.49605825218815</v>
      </c>
      <c r="G43" s="870"/>
    </row>
    <row r="44" spans="1:7" s="1381" customFormat="1" ht="22.5" customHeight="1">
      <c r="A44" s="1649" t="s">
        <v>84</v>
      </c>
      <c r="B44" s="1650"/>
      <c r="C44" s="1651"/>
      <c r="D44" s="1378">
        <f>SUM(D46,D45)</f>
        <v>1510000</v>
      </c>
      <c r="E44" s="1378">
        <f>SUM(E45,E46)</f>
        <v>750299.62</v>
      </c>
      <c r="F44" s="1379">
        <f t="shared" si="1"/>
        <v>49.68871655629139</v>
      </c>
      <c r="G44" s="1380"/>
    </row>
    <row r="45" spans="1:7" s="869" customFormat="1" ht="22.5" customHeight="1">
      <c r="A45" s="1328" t="s">
        <v>287</v>
      </c>
      <c r="B45" s="1334" t="s">
        <v>833</v>
      </c>
      <c r="C45" s="75" t="s">
        <v>1265</v>
      </c>
      <c r="D45" s="1335">
        <v>300000</v>
      </c>
      <c r="E45" s="1335">
        <v>1241.96</v>
      </c>
      <c r="F45" s="1336">
        <f t="shared" si="1"/>
        <v>0.4139866666666667</v>
      </c>
      <c r="G45" s="870"/>
    </row>
    <row r="46" spans="1:7" s="869" customFormat="1" ht="30.75" customHeight="1">
      <c r="A46" s="1328" t="s">
        <v>288</v>
      </c>
      <c r="B46" s="1334" t="s">
        <v>833</v>
      </c>
      <c r="C46" s="75" t="s">
        <v>1204</v>
      </c>
      <c r="D46" s="1335">
        <v>1210000</v>
      </c>
      <c r="E46" s="1335">
        <v>749057.66</v>
      </c>
      <c r="F46" s="1336">
        <f t="shared" si="1"/>
        <v>61.90559173553719</v>
      </c>
      <c r="G46" s="870"/>
    </row>
    <row r="47" spans="1:7" s="1381" customFormat="1" ht="23.25" customHeight="1">
      <c r="A47" s="1649" t="s">
        <v>86</v>
      </c>
      <c r="B47" s="1650"/>
      <c r="C47" s="1651"/>
      <c r="D47" s="1378">
        <f>SUM(D48)</f>
        <v>66000</v>
      </c>
      <c r="E47" s="1378">
        <f>SUM(E48)</f>
        <v>12706.27</v>
      </c>
      <c r="F47" s="1379">
        <f t="shared" si="1"/>
        <v>19.25192424242424</v>
      </c>
      <c r="G47" s="1380"/>
    </row>
    <row r="48" spans="1:7" s="869" customFormat="1" ht="31.5" customHeight="1">
      <c r="A48" s="1328" t="s">
        <v>962</v>
      </c>
      <c r="B48" s="1334" t="s">
        <v>837</v>
      </c>
      <c r="C48" s="75" t="s">
        <v>1211</v>
      </c>
      <c r="D48" s="1335">
        <v>66000</v>
      </c>
      <c r="E48" s="1335">
        <v>12706.27</v>
      </c>
      <c r="F48" s="1336">
        <f t="shared" si="1"/>
        <v>19.25192424242424</v>
      </c>
      <c r="G48" s="870"/>
    </row>
    <row r="49" spans="1:7" s="1381" customFormat="1" ht="22.5" customHeight="1">
      <c r="A49" s="1649" t="s">
        <v>90</v>
      </c>
      <c r="B49" s="1650"/>
      <c r="C49" s="1651"/>
      <c r="D49" s="1378">
        <f>SUM(D50)</f>
        <v>602000</v>
      </c>
      <c r="E49" s="1378">
        <f>SUM(E50)</f>
        <v>30199.96</v>
      </c>
      <c r="F49" s="1379">
        <f t="shared" si="1"/>
        <v>5.01660465116279</v>
      </c>
      <c r="G49" s="1380"/>
    </row>
    <row r="50" spans="1:7" s="869" customFormat="1" ht="22.5" customHeight="1">
      <c r="A50" s="1328" t="s">
        <v>963</v>
      </c>
      <c r="B50" s="1334" t="s">
        <v>99</v>
      </c>
      <c r="C50" s="75" t="s">
        <v>35</v>
      </c>
      <c r="D50" s="1335">
        <v>602000</v>
      </c>
      <c r="E50" s="1335">
        <v>30199.96</v>
      </c>
      <c r="F50" s="1336">
        <f t="shared" si="1"/>
        <v>5.01660465116279</v>
      </c>
      <c r="G50" s="870"/>
    </row>
    <row r="51" spans="1:7" s="1381" customFormat="1" ht="22.5" customHeight="1">
      <c r="A51" s="1649" t="s">
        <v>207</v>
      </c>
      <c r="B51" s="1650"/>
      <c r="C51" s="1651"/>
      <c r="D51" s="1378">
        <f>SUM(D52)</f>
        <v>888000</v>
      </c>
      <c r="E51" s="1378">
        <f>SUM(E52)</f>
        <v>14.99</v>
      </c>
      <c r="F51" s="1379">
        <f t="shared" si="1"/>
        <v>0.001688063063063063</v>
      </c>
      <c r="G51" s="1380"/>
    </row>
    <row r="52" spans="1:7" s="869" customFormat="1" ht="22.5" customHeight="1">
      <c r="A52" s="1328" t="s">
        <v>964</v>
      </c>
      <c r="B52" s="1334" t="s">
        <v>847</v>
      </c>
      <c r="C52" s="75" t="s">
        <v>1212</v>
      </c>
      <c r="D52" s="1335">
        <v>888000</v>
      </c>
      <c r="E52" s="1335">
        <v>14.99</v>
      </c>
      <c r="F52" s="1336">
        <f t="shared" si="1"/>
        <v>0.001688063063063063</v>
      </c>
      <c r="G52" s="870"/>
    </row>
    <row r="53" spans="1:7" s="1381" customFormat="1" ht="22.5" customHeight="1">
      <c r="A53" s="1649" t="s">
        <v>125</v>
      </c>
      <c r="B53" s="1650"/>
      <c r="C53" s="1651"/>
      <c r="D53" s="1378">
        <f>SUM(D54,D55,D56)</f>
        <v>606000</v>
      </c>
      <c r="E53" s="1378">
        <f>SUM(E54,E55,E56)</f>
        <v>180681.67</v>
      </c>
      <c r="F53" s="1379">
        <f t="shared" si="1"/>
        <v>29.815457095709576</v>
      </c>
      <c r="G53" s="1380"/>
    </row>
    <row r="54" spans="1:7" s="869" customFormat="1" ht="22.5" customHeight="1">
      <c r="A54" s="1328" t="s">
        <v>1215</v>
      </c>
      <c r="B54" s="1334" t="s">
        <v>126</v>
      </c>
      <c r="C54" s="75" t="s">
        <v>1266</v>
      </c>
      <c r="D54" s="1335">
        <v>270000</v>
      </c>
      <c r="E54" s="1335">
        <v>0</v>
      </c>
      <c r="F54" s="1336">
        <f t="shared" si="1"/>
        <v>0</v>
      </c>
      <c r="G54" s="870"/>
    </row>
    <row r="55" spans="1:7" s="869" customFormat="1" ht="22.5" customHeight="1">
      <c r="A55" s="1328" t="s">
        <v>1216</v>
      </c>
      <c r="B55" s="1334" t="s">
        <v>868</v>
      </c>
      <c r="C55" s="75" t="s">
        <v>1213</v>
      </c>
      <c r="D55" s="1335">
        <v>186000</v>
      </c>
      <c r="E55" s="1335">
        <v>180681.67</v>
      </c>
      <c r="F55" s="1336">
        <f t="shared" si="1"/>
        <v>97.14068279569894</v>
      </c>
      <c r="G55" s="870"/>
    </row>
    <row r="56" spans="1:7" s="869" customFormat="1" ht="32.25" customHeight="1" thickBot="1">
      <c r="A56" s="1440" t="s">
        <v>986</v>
      </c>
      <c r="B56" s="1441" t="s">
        <v>130</v>
      </c>
      <c r="C56" s="84" t="s">
        <v>1267</v>
      </c>
      <c r="D56" s="1442">
        <v>150000</v>
      </c>
      <c r="E56" s="1442">
        <v>0</v>
      </c>
      <c r="F56" s="1443">
        <f t="shared" si="1"/>
        <v>0</v>
      </c>
      <c r="G56" s="870"/>
    </row>
    <row r="57" spans="1:6" s="870" customFormat="1" ht="32.25" customHeight="1" thickBot="1">
      <c r="A57" s="1430"/>
      <c r="B57" s="1431"/>
      <c r="D57" s="1432"/>
      <c r="E57" s="1432"/>
      <c r="F57" s="1433"/>
    </row>
    <row r="58" spans="1:7" s="1372" customFormat="1" ht="12" customHeight="1" thickBot="1">
      <c r="A58" s="1444">
        <v>1</v>
      </c>
      <c r="B58" s="1445">
        <v>2</v>
      </c>
      <c r="C58" s="1445">
        <v>3</v>
      </c>
      <c r="D58" s="1445">
        <v>4</v>
      </c>
      <c r="E58" s="1445">
        <v>5</v>
      </c>
      <c r="F58" s="1446">
        <v>6</v>
      </c>
      <c r="G58" s="1371"/>
    </row>
    <row r="59" spans="1:7" s="1381" customFormat="1" ht="22.5" customHeight="1">
      <c r="A59" s="1646" t="s">
        <v>134</v>
      </c>
      <c r="B59" s="1647"/>
      <c r="C59" s="1648"/>
      <c r="D59" s="1376">
        <f>SUM(D60,D61,D62)</f>
        <v>9592661</v>
      </c>
      <c r="E59" s="1376">
        <f>SUM(E60,E61,E62)</f>
        <v>6204847.4799999995</v>
      </c>
      <c r="F59" s="1377">
        <f t="shared" si="1"/>
        <v>64.68327693431468</v>
      </c>
      <c r="G59" s="1380"/>
    </row>
    <row r="60" spans="1:7" s="869" customFormat="1" ht="23.25" customHeight="1">
      <c r="A60" s="1328" t="s">
        <v>142</v>
      </c>
      <c r="B60" s="1334" t="s">
        <v>911</v>
      </c>
      <c r="C60" s="75" t="s">
        <v>815</v>
      </c>
      <c r="D60" s="1335">
        <v>8127661</v>
      </c>
      <c r="E60" s="1335">
        <v>5297387.92</v>
      </c>
      <c r="F60" s="1336">
        <f t="shared" si="1"/>
        <v>65.17727449508536</v>
      </c>
      <c r="G60" s="870"/>
    </row>
    <row r="61" spans="1:7" s="869" customFormat="1" ht="22.5" customHeight="1">
      <c r="A61" s="1328" t="s">
        <v>1206</v>
      </c>
      <c r="B61" s="1334" t="s">
        <v>913</v>
      </c>
      <c r="C61" s="75" t="s">
        <v>959</v>
      </c>
      <c r="D61" s="1335">
        <v>225000</v>
      </c>
      <c r="E61" s="1335">
        <v>40386.34</v>
      </c>
      <c r="F61" s="1336">
        <f t="shared" si="1"/>
        <v>17.949484444444444</v>
      </c>
      <c r="G61" s="870"/>
    </row>
    <row r="62" spans="1:7" s="869" customFormat="1" ht="22.5" customHeight="1">
      <c r="A62" s="1328" t="s">
        <v>1268</v>
      </c>
      <c r="B62" s="1334" t="s">
        <v>135</v>
      </c>
      <c r="C62" s="75" t="s">
        <v>1214</v>
      </c>
      <c r="D62" s="1335">
        <v>1240000</v>
      </c>
      <c r="E62" s="1335">
        <v>867073.22</v>
      </c>
      <c r="F62" s="1336">
        <f t="shared" si="1"/>
        <v>69.92525967741935</v>
      </c>
      <c r="G62" s="870"/>
    </row>
    <row r="63" spans="1:7" s="1381" customFormat="1" ht="22.5" customHeight="1">
      <c r="A63" s="1649" t="s">
        <v>621</v>
      </c>
      <c r="B63" s="1650"/>
      <c r="C63" s="1651"/>
      <c r="D63" s="1378">
        <f>SUM(D64+D65)</f>
        <v>866000</v>
      </c>
      <c r="E63" s="1378">
        <f>SUM(E64+E65)</f>
        <v>155802.89</v>
      </c>
      <c r="F63" s="1379">
        <f t="shared" si="1"/>
        <v>17.991095842956124</v>
      </c>
      <c r="G63" s="1380"/>
    </row>
    <row r="64" spans="1:7" s="812" customFormat="1" ht="36" customHeight="1">
      <c r="A64" s="1328" t="s">
        <v>852</v>
      </c>
      <c r="B64" s="1338">
        <v>85201</v>
      </c>
      <c r="C64" s="1339" t="s">
        <v>1101</v>
      </c>
      <c r="D64" s="1335">
        <v>30000</v>
      </c>
      <c r="E64" s="1335">
        <v>0</v>
      </c>
      <c r="F64" s="1336">
        <f t="shared" si="1"/>
        <v>0</v>
      </c>
      <c r="G64" s="868"/>
    </row>
    <row r="65" spans="1:7" s="869" customFormat="1" ht="22.5" customHeight="1">
      <c r="A65" s="1328" t="s">
        <v>853</v>
      </c>
      <c r="B65" s="1334" t="s">
        <v>620</v>
      </c>
      <c r="C65" s="75" t="s">
        <v>1102</v>
      </c>
      <c r="D65" s="1335">
        <v>836000</v>
      </c>
      <c r="E65" s="1335">
        <v>155802.89</v>
      </c>
      <c r="F65" s="1336">
        <f t="shared" si="1"/>
        <v>18.636709330143542</v>
      </c>
      <c r="G65" s="870"/>
    </row>
    <row r="66" spans="1:7" s="1381" customFormat="1" ht="22.5" customHeight="1">
      <c r="A66" s="1649" t="s">
        <v>944</v>
      </c>
      <c r="B66" s="1650"/>
      <c r="C66" s="1651"/>
      <c r="D66" s="1378">
        <f>SUM(D67,D70,D75,D80)</f>
        <v>5407000</v>
      </c>
      <c r="E66" s="1378">
        <f>SUM(E67,E70,E75,E80)</f>
        <v>2925184.29</v>
      </c>
      <c r="F66" s="1379">
        <f t="shared" si="1"/>
        <v>54.09994987978547</v>
      </c>
      <c r="G66" s="1380"/>
    </row>
    <row r="67" spans="1:6" ht="27.75" customHeight="1">
      <c r="A67" s="1398" t="s">
        <v>1032</v>
      </c>
      <c r="B67" s="1399" t="s">
        <v>945</v>
      </c>
      <c r="C67" s="1392" t="s">
        <v>1100</v>
      </c>
      <c r="D67" s="1400">
        <f>SUM(D68,D69)</f>
        <v>3585000</v>
      </c>
      <c r="E67" s="1400">
        <f>SUM(E68,E69)</f>
        <v>2921407.71</v>
      </c>
      <c r="F67" s="1401">
        <f t="shared" si="1"/>
        <v>81.48975481171547</v>
      </c>
    </row>
    <row r="68" spans="1:7" s="1411" customFormat="1" ht="20.25" customHeight="1">
      <c r="A68" s="1420"/>
      <c r="B68" s="1408"/>
      <c r="C68" s="1421" t="s">
        <v>1192</v>
      </c>
      <c r="D68" s="1422">
        <v>3309000</v>
      </c>
      <c r="E68" s="1422">
        <v>2645407.71</v>
      </c>
      <c r="F68" s="1397">
        <f t="shared" si="1"/>
        <v>79.94583590208522</v>
      </c>
      <c r="G68" s="1410"/>
    </row>
    <row r="69" spans="1:7" s="1411" customFormat="1" ht="21" customHeight="1">
      <c r="A69" s="1423"/>
      <c r="B69" s="1413"/>
      <c r="C69" s="1424" t="s">
        <v>1193</v>
      </c>
      <c r="D69" s="1425">
        <v>276000</v>
      </c>
      <c r="E69" s="1425">
        <v>276000</v>
      </c>
      <c r="F69" s="1395">
        <f t="shared" si="1"/>
        <v>100</v>
      </c>
      <c r="G69" s="1410"/>
    </row>
    <row r="70" spans="1:6" ht="27.75" customHeight="1">
      <c r="A70" s="1342" t="s">
        <v>1269</v>
      </c>
      <c r="B70" s="1343" t="s">
        <v>214</v>
      </c>
      <c r="C70" s="1344" t="s">
        <v>1270</v>
      </c>
      <c r="D70" s="1345">
        <f>D71+D72+D73+D74</f>
        <v>562000</v>
      </c>
      <c r="E70" s="1345">
        <f>E71+E72+E73+E74</f>
        <v>74.16</v>
      </c>
      <c r="F70" s="1327">
        <f aca="true" t="shared" si="2" ref="F70:F89">E70/D70*100</f>
        <v>0.013195729537366549</v>
      </c>
    </row>
    <row r="71" spans="1:6" s="1419" customFormat="1" ht="20.25" customHeight="1">
      <c r="A71" s="1414" t="s">
        <v>1271</v>
      </c>
      <c r="B71" s="1415"/>
      <c r="C71" s="1416" t="s">
        <v>524</v>
      </c>
      <c r="D71" s="1417">
        <v>62000</v>
      </c>
      <c r="E71" s="1417">
        <v>74.16</v>
      </c>
      <c r="F71" s="1418">
        <f t="shared" si="2"/>
        <v>0.11961290322580645</v>
      </c>
    </row>
    <row r="72" spans="1:6" s="1419" customFormat="1" ht="20.25" customHeight="1">
      <c r="A72" s="1414" t="s">
        <v>1272</v>
      </c>
      <c r="B72" s="1415"/>
      <c r="C72" s="1416" t="s">
        <v>1273</v>
      </c>
      <c r="D72" s="1417">
        <v>250000</v>
      </c>
      <c r="E72" s="1417">
        <v>0</v>
      </c>
      <c r="F72" s="1418">
        <f t="shared" si="2"/>
        <v>0</v>
      </c>
    </row>
    <row r="73" spans="1:6" s="1419" customFormat="1" ht="20.25" customHeight="1">
      <c r="A73" s="1414" t="s">
        <v>1274</v>
      </c>
      <c r="B73" s="1415"/>
      <c r="C73" s="1416" t="s">
        <v>1275</v>
      </c>
      <c r="D73" s="1417">
        <v>80000</v>
      </c>
      <c r="E73" s="1417">
        <v>0</v>
      </c>
      <c r="F73" s="1418">
        <f t="shared" si="2"/>
        <v>0</v>
      </c>
    </row>
    <row r="74" spans="1:6" s="1419" customFormat="1" ht="20.25" customHeight="1">
      <c r="A74" s="1414" t="s">
        <v>1276</v>
      </c>
      <c r="B74" s="1415"/>
      <c r="C74" s="1416" t="s">
        <v>1277</v>
      </c>
      <c r="D74" s="1417">
        <v>170000</v>
      </c>
      <c r="E74" s="1417">
        <v>0</v>
      </c>
      <c r="F74" s="1418">
        <f t="shared" si="2"/>
        <v>0</v>
      </c>
    </row>
    <row r="75" spans="1:6" ht="41.25" customHeight="1" thickBot="1">
      <c r="A75" s="1452" t="s">
        <v>1278</v>
      </c>
      <c r="B75" s="1453" t="s">
        <v>216</v>
      </c>
      <c r="C75" s="1454" t="s">
        <v>1103</v>
      </c>
      <c r="D75" s="1455">
        <f>SUM(D78,D79)</f>
        <v>1160000</v>
      </c>
      <c r="E75" s="1455">
        <f>SUM(E78,E79)</f>
        <v>3702.42</v>
      </c>
      <c r="F75" s="1456">
        <f t="shared" si="2"/>
        <v>0.3191741379310345</v>
      </c>
    </row>
    <row r="76" spans="1:6" s="866" customFormat="1" ht="30" customHeight="1" thickBot="1">
      <c r="A76" s="1436"/>
      <c r="B76" s="1437"/>
      <c r="D76" s="1438"/>
      <c r="E76" s="1438"/>
      <c r="F76" s="1439"/>
    </row>
    <row r="77" spans="1:7" s="1372" customFormat="1" ht="12" customHeight="1" thickBot="1">
      <c r="A77" s="1444">
        <v>1</v>
      </c>
      <c r="B77" s="1445">
        <v>2</v>
      </c>
      <c r="C77" s="1445">
        <v>3</v>
      </c>
      <c r="D77" s="1445">
        <v>4</v>
      </c>
      <c r="E77" s="1445">
        <v>5</v>
      </c>
      <c r="F77" s="1446">
        <v>6</v>
      </c>
      <c r="G77" s="1371"/>
    </row>
    <row r="78" spans="1:7" s="1411" customFormat="1" ht="18.75" customHeight="1">
      <c r="A78" s="1407"/>
      <c r="B78" s="1408"/>
      <c r="C78" s="1409" t="s">
        <v>1192</v>
      </c>
      <c r="D78" s="1396">
        <v>8000</v>
      </c>
      <c r="E78" s="1396">
        <v>286.42</v>
      </c>
      <c r="F78" s="1397">
        <f t="shared" si="2"/>
        <v>3.58025</v>
      </c>
      <c r="G78" s="1410"/>
    </row>
    <row r="79" spans="1:7" s="1411" customFormat="1" ht="19.5" customHeight="1">
      <c r="A79" s="1412"/>
      <c r="B79" s="1413"/>
      <c r="C79" s="1382" t="s">
        <v>1193</v>
      </c>
      <c r="D79" s="1394">
        <v>1152000</v>
      </c>
      <c r="E79" s="1394">
        <v>3416</v>
      </c>
      <c r="F79" s="1395">
        <f t="shared" si="2"/>
        <v>0.2965277777777778</v>
      </c>
      <c r="G79" s="1410"/>
    </row>
    <row r="80" spans="1:7" s="1411" customFormat="1" ht="22.5" customHeight="1">
      <c r="A80" s="1328" t="s">
        <v>1279</v>
      </c>
      <c r="B80" s="1334" t="s">
        <v>216</v>
      </c>
      <c r="C80" s="1330" t="s">
        <v>1280</v>
      </c>
      <c r="D80" s="1335">
        <v>100000</v>
      </c>
      <c r="E80" s="1335">
        <v>0</v>
      </c>
      <c r="F80" s="1336">
        <f t="shared" si="2"/>
        <v>0</v>
      </c>
      <c r="G80" s="1410"/>
    </row>
    <row r="81" spans="1:7" s="1406" customFormat="1" ht="21" customHeight="1">
      <c r="A81" s="1649" t="s">
        <v>951</v>
      </c>
      <c r="B81" s="1655"/>
      <c r="C81" s="1656"/>
      <c r="D81" s="1376">
        <f>D82</f>
        <v>220000</v>
      </c>
      <c r="E81" s="1376">
        <f>E82</f>
        <v>0</v>
      </c>
      <c r="F81" s="1379">
        <f t="shared" si="2"/>
        <v>0</v>
      </c>
      <c r="G81" s="1405"/>
    </row>
    <row r="82" spans="1:7" s="1341" customFormat="1" ht="19.5" customHeight="1">
      <c r="A82" s="1403" t="s">
        <v>1281</v>
      </c>
      <c r="B82" s="1324" t="s">
        <v>639</v>
      </c>
      <c r="C82" s="1346" t="s">
        <v>1282</v>
      </c>
      <c r="D82" s="1347">
        <v>220000</v>
      </c>
      <c r="E82" s="1347">
        <v>0</v>
      </c>
      <c r="F82" s="1402">
        <f t="shared" si="2"/>
        <v>0</v>
      </c>
      <c r="G82" s="1340"/>
    </row>
    <row r="83" spans="1:7" s="1381" customFormat="1" ht="22.5" customHeight="1">
      <c r="A83" s="1646" t="s">
        <v>241</v>
      </c>
      <c r="B83" s="1647"/>
      <c r="C83" s="1648"/>
      <c r="D83" s="1376">
        <f>SUM(D84,D85,D86,D87,D88)</f>
        <v>13342000</v>
      </c>
      <c r="E83" s="1376">
        <f>SUM(E84,E85,E86,E87,E88)</f>
        <v>1207413.19</v>
      </c>
      <c r="F83" s="1377">
        <f t="shared" si="2"/>
        <v>9.049716609204017</v>
      </c>
      <c r="G83" s="1380"/>
    </row>
    <row r="84" spans="1:7" s="869" customFormat="1" ht="22.5" customHeight="1">
      <c r="A84" s="1328" t="s">
        <v>1283</v>
      </c>
      <c r="B84" s="1334" t="s">
        <v>245</v>
      </c>
      <c r="C84" s="75" t="s">
        <v>989</v>
      </c>
      <c r="D84" s="1335">
        <v>3100000</v>
      </c>
      <c r="E84" s="1335">
        <v>753788.95</v>
      </c>
      <c r="F84" s="1333">
        <f t="shared" si="2"/>
        <v>24.31577258064516</v>
      </c>
      <c r="G84" s="870"/>
    </row>
    <row r="85" spans="1:7" s="869" customFormat="1" ht="22.5" customHeight="1">
      <c r="A85" s="1328" t="s">
        <v>1284</v>
      </c>
      <c r="B85" s="1334" t="s">
        <v>245</v>
      </c>
      <c r="C85" s="75" t="s">
        <v>991</v>
      </c>
      <c r="D85" s="1335">
        <v>2000000</v>
      </c>
      <c r="E85" s="1335">
        <v>7173.4</v>
      </c>
      <c r="F85" s="1333">
        <f t="shared" si="2"/>
        <v>0.35867</v>
      </c>
      <c r="G85" s="870"/>
    </row>
    <row r="86" spans="1:7" s="869" customFormat="1" ht="22.5" customHeight="1">
      <c r="A86" s="1328" t="s">
        <v>1285</v>
      </c>
      <c r="B86" s="1334" t="s">
        <v>245</v>
      </c>
      <c r="C86" s="75" t="s">
        <v>1286</v>
      </c>
      <c r="D86" s="1335">
        <v>6400000</v>
      </c>
      <c r="E86" s="1335">
        <v>365050.86</v>
      </c>
      <c r="F86" s="1333">
        <f t="shared" si="2"/>
        <v>5.7039196875</v>
      </c>
      <c r="G86" s="870"/>
    </row>
    <row r="87" spans="1:7" s="869" customFormat="1" ht="22.5" customHeight="1">
      <c r="A87" s="1348" t="s">
        <v>1287</v>
      </c>
      <c r="B87" s="1349" t="s">
        <v>245</v>
      </c>
      <c r="C87" s="931" t="s">
        <v>1288</v>
      </c>
      <c r="D87" s="1350">
        <v>90000</v>
      </c>
      <c r="E87" s="1350">
        <v>71370</v>
      </c>
      <c r="F87" s="1333">
        <f t="shared" si="2"/>
        <v>79.3</v>
      </c>
      <c r="G87" s="870"/>
    </row>
    <row r="88" spans="1:7" s="869" customFormat="1" ht="22.5" customHeight="1" thickBot="1">
      <c r="A88" s="1365" t="s">
        <v>523</v>
      </c>
      <c r="B88" s="1366" t="s">
        <v>245</v>
      </c>
      <c r="C88" s="809" t="s">
        <v>0</v>
      </c>
      <c r="D88" s="1367">
        <v>1752000</v>
      </c>
      <c r="E88" s="1367">
        <v>10029.98</v>
      </c>
      <c r="F88" s="1368">
        <f t="shared" si="2"/>
        <v>0.5724874429223744</v>
      </c>
      <c r="G88" s="870"/>
    </row>
    <row r="89" spans="1:7" s="812" customFormat="1" ht="22.5" customHeight="1" thickBot="1" thickTop="1">
      <c r="A89" s="1652" t="s">
        <v>186</v>
      </c>
      <c r="B89" s="1653"/>
      <c r="C89" s="1654"/>
      <c r="D89" s="1369">
        <f>SUM(D7,D44,D47,D49,D51,D53,D59,D63,D66,D81,D83)</f>
        <v>80948972</v>
      </c>
      <c r="E89" s="1369">
        <f>SUM(E7,E44,E47,E49,E51,E53,E59,E63,E66,E81,E83)</f>
        <v>25180253.02</v>
      </c>
      <c r="F89" s="1404">
        <f t="shared" si="2"/>
        <v>31.10632834225492</v>
      </c>
      <c r="G89" s="868"/>
    </row>
    <row r="90" spans="1:7" s="1354" customFormat="1" ht="20.25" customHeight="1">
      <c r="A90" s="1351"/>
      <c r="B90" s="1351"/>
      <c r="C90" s="1352" t="s">
        <v>990</v>
      </c>
      <c r="D90" s="1359"/>
      <c r="E90" s="1359"/>
      <c r="F90" s="1360"/>
      <c r="G90" s="1353"/>
    </row>
    <row r="91" spans="1:7" s="1354" customFormat="1" ht="13.5" customHeight="1">
      <c r="A91" s="1353"/>
      <c r="B91" s="1353"/>
      <c r="C91" s="1427" t="s">
        <v>1192</v>
      </c>
      <c r="D91" s="1358">
        <f>D89-D92</f>
        <v>77945972</v>
      </c>
      <c r="E91" s="1358">
        <f>E89-E92</f>
        <v>24900837.02</v>
      </c>
      <c r="F91" s="1360">
        <f>E91/D91*100</f>
        <v>31.94627814763796</v>
      </c>
      <c r="G91" s="1353"/>
    </row>
    <row r="92" spans="1:7" s="812" customFormat="1" ht="22.5" customHeight="1">
      <c r="A92" s="868"/>
      <c r="B92" s="868"/>
      <c r="C92" s="1428" t="s">
        <v>1193</v>
      </c>
      <c r="D92" s="1358">
        <f>SUM(D23,D34,D37,D42,D69,D79)</f>
        <v>3003000</v>
      </c>
      <c r="E92" s="1358">
        <f>SUM(E23,E34,E37,E42,E69,E79)</f>
        <v>279416</v>
      </c>
      <c r="F92" s="1429">
        <f>E92/D92*100</f>
        <v>9.304562104562104</v>
      </c>
      <c r="G92" s="868"/>
    </row>
    <row r="93" s="1355" customFormat="1" ht="9.75" customHeight="1">
      <c r="G93" s="1356"/>
    </row>
    <row r="94" s="1355" customFormat="1" ht="12.75">
      <c r="G94" s="1356"/>
    </row>
    <row r="95" s="1355" customFormat="1" ht="12.75">
      <c r="G95" s="1356"/>
    </row>
    <row r="96" s="1355" customFormat="1" ht="12.75">
      <c r="G96" s="1356"/>
    </row>
    <row r="97" s="1355" customFormat="1" ht="12.75">
      <c r="G97" s="1356"/>
    </row>
    <row r="98" s="1355" customFormat="1" ht="12.75">
      <c r="G98" s="1356"/>
    </row>
    <row r="99" s="1355" customFormat="1" ht="12.75">
      <c r="G99" s="1356"/>
    </row>
    <row r="100" s="1355" customFormat="1" ht="12.75">
      <c r="G100" s="1356"/>
    </row>
    <row r="101" s="1355" customFormat="1" ht="12.75">
      <c r="G101" s="1356"/>
    </row>
    <row r="102" s="1355" customFormat="1" ht="12.75">
      <c r="G102" s="1356"/>
    </row>
    <row r="103" s="1355" customFormat="1" ht="12.75">
      <c r="G103" s="1356"/>
    </row>
    <row r="104" s="1355" customFormat="1" ht="12.75">
      <c r="G104" s="1356"/>
    </row>
    <row r="105" s="1355" customFormat="1" ht="12.75">
      <c r="G105" s="1356"/>
    </row>
    <row r="106" s="1355" customFormat="1" ht="12.75">
      <c r="G106" s="1356"/>
    </row>
    <row r="107" s="1355" customFormat="1" ht="12.75">
      <c r="G107" s="1356"/>
    </row>
    <row r="108" s="1355" customFormat="1" ht="12.75">
      <c r="G108" s="1356"/>
    </row>
    <row r="109" s="1355" customFormat="1" ht="12.75">
      <c r="G109" s="1356"/>
    </row>
    <row r="110" s="1355" customFormat="1" ht="12.75">
      <c r="G110" s="1356"/>
    </row>
    <row r="111" s="1355" customFormat="1" ht="12.75">
      <c r="G111" s="1356"/>
    </row>
    <row r="112" s="1355" customFormat="1" ht="12.75">
      <c r="G112" s="1356"/>
    </row>
    <row r="113" s="1355" customFormat="1" ht="12.75">
      <c r="G113" s="1356"/>
    </row>
    <row r="114" s="1355" customFormat="1" ht="12.75">
      <c r="G114" s="1356"/>
    </row>
    <row r="115" s="1355" customFormat="1" ht="12.75">
      <c r="G115" s="1356"/>
    </row>
    <row r="116" s="1355" customFormat="1" ht="12.75">
      <c r="G116" s="1356"/>
    </row>
    <row r="117" s="1355" customFormat="1" ht="12.75">
      <c r="G117" s="1356"/>
    </row>
    <row r="118" s="1355" customFormat="1" ht="12.75">
      <c r="G118" s="1356"/>
    </row>
    <row r="119" s="1355" customFormat="1" ht="12.75">
      <c r="G119" s="1356"/>
    </row>
    <row r="120" s="1355" customFormat="1" ht="12.75">
      <c r="G120" s="1356"/>
    </row>
    <row r="121" s="1355" customFormat="1" ht="12.75">
      <c r="G121" s="1356"/>
    </row>
    <row r="122" s="1355" customFormat="1" ht="12.75">
      <c r="G122" s="1356"/>
    </row>
    <row r="123" s="1355" customFormat="1" ht="12.75">
      <c r="G123" s="1356"/>
    </row>
    <row r="124" s="1355" customFormat="1" ht="12.75">
      <c r="G124" s="1356"/>
    </row>
    <row r="125" s="1355" customFormat="1" ht="12.75">
      <c r="G125" s="1356"/>
    </row>
    <row r="126" s="1355" customFormat="1" ht="12.75">
      <c r="G126" s="1356"/>
    </row>
    <row r="127" s="1355" customFormat="1" ht="12.75">
      <c r="G127" s="1356"/>
    </row>
    <row r="128" s="1355" customFormat="1" ht="12.75">
      <c r="G128" s="1356"/>
    </row>
    <row r="129" s="1355" customFormat="1" ht="12.75">
      <c r="G129" s="1356"/>
    </row>
    <row r="130" s="1355" customFormat="1" ht="12.75">
      <c r="G130" s="1356"/>
    </row>
    <row r="131" s="1355" customFormat="1" ht="12.75">
      <c r="G131" s="1356"/>
    </row>
    <row r="132" s="1355" customFormat="1" ht="12.75">
      <c r="G132" s="1356"/>
    </row>
    <row r="133" s="1355" customFormat="1" ht="12.75">
      <c r="G133" s="1356"/>
    </row>
    <row r="134" s="1355" customFormat="1" ht="12.75">
      <c r="G134" s="1356"/>
    </row>
    <row r="135" s="1355" customFormat="1" ht="12.75">
      <c r="G135" s="1356"/>
    </row>
    <row r="136" s="1355" customFormat="1" ht="12.75">
      <c r="G136" s="1356"/>
    </row>
  </sheetData>
  <sheetProtection password="CF53" sheet="1" objects="1" scenarios="1" selectLockedCells="1" selectUnlockedCells="1"/>
  <mergeCells count="14">
    <mergeCell ref="A89:C89"/>
    <mergeCell ref="A49:C49"/>
    <mergeCell ref="A59:C59"/>
    <mergeCell ref="A66:C66"/>
    <mergeCell ref="A83:C83"/>
    <mergeCell ref="A51:C51"/>
    <mergeCell ref="A53:C53"/>
    <mergeCell ref="A63:C63"/>
    <mergeCell ref="A81:C81"/>
    <mergeCell ref="E1:F1"/>
    <mergeCell ref="A3:F3"/>
    <mergeCell ref="A7:C7"/>
    <mergeCell ref="A47:C47"/>
    <mergeCell ref="A44:C4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6">
    <tabColor indexed="42"/>
  </sheetPr>
  <dimension ref="A1:K38"/>
  <sheetViews>
    <sheetView view="pageBreakPreview" zoomScaleSheetLayoutView="100" workbookViewId="0" topLeftCell="B28">
      <selection activeCell="G33" sqref="G33"/>
    </sheetView>
  </sheetViews>
  <sheetFormatPr defaultColWidth="9.00390625" defaultRowHeight="12.75"/>
  <cols>
    <col min="1" max="1" width="5.625" style="13" customWidth="1"/>
    <col min="2" max="2" width="7.75390625" style="13" customWidth="1"/>
    <col min="3" max="3" width="34.00390625" style="14" customWidth="1"/>
    <col min="4" max="4" width="14.625" style="14" customWidth="1"/>
    <col min="5" max="6" width="12.25390625" style="14" customWidth="1"/>
    <col min="7" max="7" width="12.125" style="14" customWidth="1"/>
    <col min="8" max="8" width="12.25390625" style="14" customWidth="1"/>
    <col min="9" max="9" width="14.375" style="14" customWidth="1"/>
    <col min="10" max="10" width="10.375" style="14" customWidth="1"/>
    <col min="11" max="11" width="9.00390625" style="14" customWidth="1"/>
    <col min="12" max="16384" width="9.125" style="14" customWidth="1"/>
  </cols>
  <sheetData>
    <row r="1" spans="1:2" s="885" customFormat="1" ht="12.75">
      <c r="A1" s="884"/>
      <c r="B1" s="884"/>
    </row>
    <row r="2" spans="1:9" s="886" customFormat="1" ht="12.75">
      <c r="A2" s="884"/>
      <c r="B2" s="884"/>
      <c r="C2" s="885"/>
      <c r="D2" s="885"/>
      <c r="E2" s="885"/>
      <c r="F2" s="885"/>
      <c r="G2" s="885"/>
      <c r="H2" s="234"/>
      <c r="I2" s="234" t="s">
        <v>770</v>
      </c>
    </row>
    <row r="3" spans="1:8" s="886" customFormat="1" ht="12.75" customHeight="1">
      <c r="A3" s="887"/>
      <c r="B3" s="887"/>
      <c r="H3" s="234"/>
    </row>
    <row r="4" spans="1:8" s="123" customFormat="1" ht="21" customHeight="1">
      <c r="A4" s="1659" t="s">
        <v>289</v>
      </c>
      <c r="B4" s="1659"/>
      <c r="C4" s="1659"/>
      <c r="D4" s="1659"/>
      <c r="E4" s="1659"/>
      <c r="F4" s="1659"/>
      <c r="G4" s="1659"/>
      <c r="H4" s="1659"/>
    </row>
    <row r="5" spans="1:10" s="886" customFormat="1" ht="19.5" customHeight="1" thickBot="1">
      <c r="A5" s="887"/>
      <c r="B5" s="887"/>
      <c r="H5" s="242"/>
      <c r="I5" s="242" t="s">
        <v>67</v>
      </c>
      <c r="J5" s="242" t="s">
        <v>67</v>
      </c>
    </row>
    <row r="6" spans="1:9" s="914" customFormat="1" ht="17.25" customHeight="1">
      <c r="A6" s="1593" t="s">
        <v>249</v>
      </c>
      <c r="B6" s="1595" t="s">
        <v>68</v>
      </c>
      <c r="C6" s="1597" t="s">
        <v>57</v>
      </c>
      <c r="D6" s="1664" t="s">
        <v>644</v>
      </c>
      <c r="E6" s="1660" t="s">
        <v>359</v>
      </c>
      <c r="F6" s="1660"/>
      <c r="G6" s="1660" t="s">
        <v>330</v>
      </c>
      <c r="H6" s="1663"/>
      <c r="I6" s="1657" t="s">
        <v>645</v>
      </c>
    </row>
    <row r="7" spans="1:9" s="914" customFormat="1" ht="39.75" customHeight="1">
      <c r="A7" s="1594"/>
      <c r="B7" s="1596"/>
      <c r="C7" s="1598"/>
      <c r="D7" s="1665"/>
      <c r="E7" s="1117" t="s">
        <v>70</v>
      </c>
      <c r="F7" s="1116" t="s">
        <v>71</v>
      </c>
      <c r="G7" s="1117" t="s">
        <v>70</v>
      </c>
      <c r="H7" s="1118" t="s">
        <v>71</v>
      </c>
      <c r="I7" s="1658"/>
    </row>
    <row r="8" spans="1:11" s="915" customFormat="1" ht="12.75" customHeight="1" thickBot="1">
      <c r="A8" s="1119" t="s">
        <v>1245</v>
      </c>
      <c r="B8" s="1120" t="s">
        <v>628</v>
      </c>
      <c r="C8" s="1121">
        <v>3</v>
      </c>
      <c r="D8" s="1121">
        <v>4</v>
      </c>
      <c r="E8" s="1121">
        <v>5</v>
      </c>
      <c r="F8" s="1122">
        <v>6</v>
      </c>
      <c r="G8" s="1122">
        <v>6</v>
      </c>
      <c r="H8" s="1121">
        <v>7</v>
      </c>
      <c r="I8" s="1123">
        <v>8</v>
      </c>
      <c r="K8" s="915" t="s">
        <v>791</v>
      </c>
    </row>
    <row r="9" spans="1:11" s="31" customFormat="1" ht="18.75" customHeight="1">
      <c r="A9" s="1669" t="s">
        <v>105</v>
      </c>
      <c r="B9" s="1670"/>
      <c r="C9" s="1671"/>
      <c r="D9" s="921">
        <f aca="true" t="shared" si="0" ref="D9:I9">SUM(D10,D11,D17,D21,D22)</f>
        <v>608904.2200000002</v>
      </c>
      <c r="E9" s="772">
        <f t="shared" si="0"/>
        <v>1973332</v>
      </c>
      <c r="F9" s="772">
        <f t="shared" si="0"/>
        <v>1000001.25</v>
      </c>
      <c r="G9" s="772">
        <f t="shared" si="0"/>
        <v>2415866</v>
      </c>
      <c r="H9" s="772">
        <f t="shared" si="0"/>
        <v>746786.6200000001</v>
      </c>
      <c r="I9" s="920">
        <f t="shared" si="0"/>
        <v>862118.85</v>
      </c>
      <c r="K9" s="532">
        <f aca="true" t="shared" si="1" ref="K9:K20">I9-J9</f>
        <v>862118.85</v>
      </c>
    </row>
    <row r="10" spans="1:11" s="65" customFormat="1" ht="24.75" customHeight="1">
      <c r="A10" s="875" t="s">
        <v>78</v>
      </c>
      <c r="B10" s="876" t="s">
        <v>81</v>
      </c>
      <c r="C10" s="877" t="s">
        <v>647</v>
      </c>
      <c r="D10" s="542">
        <v>528432.92</v>
      </c>
      <c r="E10" s="542">
        <v>640000</v>
      </c>
      <c r="F10" s="542">
        <v>289029.04</v>
      </c>
      <c r="G10" s="542">
        <v>1168433</v>
      </c>
      <c r="H10" s="888">
        <v>156023.76</v>
      </c>
      <c r="I10" s="501">
        <v>661438.2</v>
      </c>
      <c r="J10" s="532">
        <f>D10+F10-H10</f>
        <v>661438.2</v>
      </c>
      <c r="K10" s="532">
        <f t="shared" si="1"/>
        <v>0</v>
      </c>
    </row>
    <row r="11" spans="1:11" s="65" customFormat="1" ht="24.75" customHeight="1">
      <c r="A11" s="875" t="s">
        <v>124</v>
      </c>
      <c r="B11" s="876" t="s">
        <v>126</v>
      </c>
      <c r="C11" s="877" t="s">
        <v>127</v>
      </c>
      <c r="D11" s="542">
        <f aca="true" t="shared" si="2" ref="D11:I11">SUM(D12,D13,D14,D15,D16)</f>
        <v>35232.020000000004</v>
      </c>
      <c r="E11" s="542">
        <f t="shared" si="2"/>
        <v>604124</v>
      </c>
      <c r="F11" s="542">
        <f t="shared" si="2"/>
        <v>293924.2</v>
      </c>
      <c r="G11" s="542">
        <f t="shared" si="2"/>
        <v>604491</v>
      </c>
      <c r="H11" s="542">
        <f t="shared" si="2"/>
        <v>263968.92000000004</v>
      </c>
      <c r="I11" s="501">
        <f t="shared" si="2"/>
        <v>65187.299999999996</v>
      </c>
      <c r="J11" s="532">
        <f>D11+F11-H11</f>
        <v>65187.29999999999</v>
      </c>
      <c r="K11" s="532">
        <f t="shared" si="1"/>
        <v>0</v>
      </c>
    </row>
    <row r="12" spans="1:11" s="92" customFormat="1" ht="24.75" customHeight="1">
      <c r="A12" s="878" t="s">
        <v>124</v>
      </c>
      <c r="B12" s="879" t="s">
        <v>126</v>
      </c>
      <c r="C12" s="880" t="s">
        <v>1134</v>
      </c>
      <c r="D12" s="881">
        <v>22815.74</v>
      </c>
      <c r="E12" s="881">
        <v>150360</v>
      </c>
      <c r="F12" s="881">
        <v>89501.45</v>
      </c>
      <c r="G12" s="881">
        <v>150727</v>
      </c>
      <c r="H12" s="882">
        <v>71639.03</v>
      </c>
      <c r="I12" s="883">
        <v>40678.16</v>
      </c>
      <c r="J12" s="98"/>
      <c r="K12" s="532">
        <f t="shared" si="1"/>
        <v>40678.16</v>
      </c>
    </row>
    <row r="13" spans="1:11" s="92" customFormat="1" ht="24.75" customHeight="1">
      <c r="A13" s="878" t="s">
        <v>124</v>
      </c>
      <c r="B13" s="879" t="s">
        <v>126</v>
      </c>
      <c r="C13" s="880" t="s">
        <v>1135</v>
      </c>
      <c r="D13" s="881">
        <v>720.65</v>
      </c>
      <c r="E13" s="881">
        <v>11000</v>
      </c>
      <c r="F13" s="881">
        <v>4263.71</v>
      </c>
      <c r="G13" s="881">
        <v>11000</v>
      </c>
      <c r="H13" s="882">
        <v>2821.94</v>
      </c>
      <c r="I13" s="883">
        <v>2162.42</v>
      </c>
      <c r="J13" s="98"/>
      <c r="K13" s="532">
        <f t="shared" si="1"/>
        <v>2162.42</v>
      </c>
    </row>
    <row r="14" spans="1:11" s="92" customFormat="1" ht="24.75" customHeight="1">
      <c r="A14" s="878" t="s">
        <v>124</v>
      </c>
      <c r="B14" s="879" t="s">
        <v>126</v>
      </c>
      <c r="C14" s="880" t="s">
        <v>822</v>
      </c>
      <c r="D14" s="881">
        <v>5648.51</v>
      </c>
      <c r="E14" s="881">
        <v>177915</v>
      </c>
      <c r="F14" s="881">
        <v>62463.87</v>
      </c>
      <c r="G14" s="881">
        <v>177915</v>
      </c>
      <c r="H14" s="882">
        <v>63054.28</v>
      </c>
      <c r="I14" s="883">
        <v>5058.1</v>
      </c>
      <c r="J14" s="98"/>
      <c r="K14" s="532">
        <f t="shared" si="1"/>
        <v>5058.1</v>
      </c>
    </row>
    <row r="15" spans="1:11" s="92" customFormat="1" ht="24.75" customHeight="1">
      <c r="A15" s="878" t="s">
        <v>124</v>
      </c>
      <c r="B15" s="879" t="s">
        <v>126</v>
      </c>
      <c r="C15" s="880" t="s">
        <v>1136</v>
      </c>
      <c r="D15" s="881">
        <v>1462.87</v>
      </c>
      <c r="E15" s="881">
        <v>163339</v>
      </c>
      <c r="F15" s="881">
        <v>103888.96</v>
      </c>
      <c r="G15" s="881">
        <v>163339</v>
      </c>
      <c r="H15" s="882">
        <v>89477.95</v>
      </c>
      <c r="I15" s="883">
        <v>15873.88</v>
      </c>
      <c r="J15" s="98"/>
      <c r="K15" s="532">
        <f t="shared" si="1"/>
        <v>15873.88</v>
      </c>
    </row>
    <row r="16" spans="1:11" s="92" customFormat="1" ht="24.75" customHeight="1">
      <c r="A16" s="878" t="s">
        <v>124</v>
      </c>
      <c r="B16" s="879" t="s">
        <v>126</v>
      </c>
      <c r="C16" s="880" t="s">
        <v>1139</v>
      </c>
      <c r="D16" s="881">
        <v>4584.25</v>
      </c>
      <c r="E16" s="881">
        <v>101510</v>
      </c>
      <c r="F16" s="881">
        <v>33806.21</v>
      </c>
      <c r="G16" s="881">
        <v>101510</v>
      </c>
      <c r="H16" s="882">
        <v>36975.72</v>
      </c>
      <c r="I16" s="883">
        <v>1414.74</v>
      </c>
      <c r="J16" s="98"/>
      <c r="K16" s="532">
        <f t="shared" si="1"/>
        <v>1414.74</v>
      </c>
    </row>
    <row r="17" spans="1:11" s="65" customFormat="1" ht="24.75" customHeight="1">
      <c r="A17" s="875" t="s">
        <v>124</v>
      </c>
      <c r="B17" s="876" t="s">
        <v>128</v>
      </c>
      <c r="C17" s="877" t="s">
        <v>129</v>
      </c>
      <c r="D17" s="542">
        <f aca="true" t="shared" si="3" ref="D17:I17">SUM(D18,D19,D20)</f>
        <v>18734.440000000002</v>
      </c>
      <c r="E17" s="542">
        <f t="shared" si="3"/>
        <v>335221</v>
      </c>
      <c r="F17" s="542">
        <f t="shared" si="3"/>
        <v>150661.26</v>
      </c>
      <c r="G17" s="542">
        <f t="shared" si="3"/>
        <v>329951</v>
      </c>
      <c r="H17" s="542">
        <f t="shared" si="3"/>
        <v>142564.31000000003</v>
      </c>
      <c r="I17" s="889">
        <f t="shared" si="3"/>
        <v>26831.39</v>
      </c>
      <c r="J17" s="532">
        <f>D17+F17-H17</f>
        <v>26831.389999999985</v>
      </c>
      <c r="K17" s="532">
        <f t="shared" si="1"/>
        <v>0</v>
      </c>
    </row>
    <row r="18" spans="1:11" s="92" customFormat="1" ht="24.75" customHeight="1">
      <c r="A18" s="878" t="s">
        <v>124</v>
      </c>
      <c r="B18" s="879" t="s">
        <v>128</v>
      </c>
      <c r="C18" s="880" t="s">
        <v>1140</v>
      </c>
      <c r="D18" s="881">
        <v>5018.34</v>
      </c>
      <c r="E18" s="881">
        <v>204985</v>
      </c>
      <c r="F18" s="881">
        <v>82177.21</v>
      </c>
      <c r="G18" s="881">
        <v>200610</v>
      </c>
      <c r="H18" s="882">
        <v>77802.38</v>
      </c>
      <c r="I18" s="883">
        <v>9393.17</v>
      </c>
      <c r="J18" s="98"/>
      <c r="K18" s="532">
        <f t="shared" si="1"/>
        <v>9393.17</v>
      </c>
    </row>
    <row r="19" spans="1:11" s="92" customFormat="1" ht="24.75" customHeight="1">
      <c r="A19" s="878" t="s">
        <v>124</v>
      </c>
      <c r="B19" s="879" t="s">
        <v>128</v>
      </c>
      <c r="C19" s="880" t="s">
        <v>1141</v>
      </c>
      <c r="D19" s="881">
        <v>2859.56</v>
      </c>
      <c r="E19" s="881">
        <v>127110</v>
      </c>
      <c r="F19" s="881">
        <v>66267.43</v>
      </c>
      <c r="G19" s="881">
        <v>127970</v>
      </c>
      <c r="H19" s="882">
        <v>64300.45</v>
      </c>
      <c r="I19" s="883">
        <v>4826.54</v>
      </c>
      <c r="J19" s="98"/>
      <c r="K19" s="532">
        <f t="shared" si="1"/>
        <v>4826.54</v>
      </c>
    </row>
    <row r="20" spans="1:11" s="92" customFormat="1" ht="24.75" customHeight="1">
      <c r="A20" s="878" t="s">
        <v>124</v>
      </c>
      <c r="B20" s="879" t="s">
        <v>128</v>
      </c>
      <c r="C20" s="880" t="s">
        <v>1142</v>
      </c>
      <c r="D20" s="881">
        <v>10856.54</v>
      </c>
      <c r="E20" s="881">
        <v>3126</v>
      </c>
      <c r="F20" s="881">
        <v>2216.62</v>
      </c>
      <c r="G20" s="881">
        <v>1371</v>
      </c>
      <c r="H20" s="882">
        <v>461.48</v>
      </c>
      <c r="I20" s="883">
        <v>12611.68</v>
      </c>
      <c r="J20" s="98"/>
      <c r="K20" s="532">
        <f t="shared" si="1"/>
        <v>12611.68</v>
      </c>
    </row>
    <row r="21" spans="1:11" s="65" customFormat="1" ht="24.75" customHeight="1">
      <c r="A21" s="875" t="s">
        <v>137</v>
      </c>
      <c r="B21" s="876" t="s">
        <v>138</v>
      </c>
      <c r="C21" s="877" t="s">
        <v>648</v>
      </c>
      <c r="D21" s="542">
        <v>4786.42</v>
      </c>
      <c r="E21" s="542">
        <v>156405</v>
      </c>
      <c r="F21" s="542">
        <v>83044.41</v>
      </c>
      <c r="G21" s="542">
        <v>156405</v>
      </c>
      <c r="H21" s="888">
        <v>81883.36</v>
      </c>
      <c r="I21" s="501">
        <v>5947.47</v>
      </c>
      <c r="J21" s="532">
        <f>D21+F21-H21</f>
        <v>5947.470000000001</v>
      </c>
      <c r="K21" s="532">
        <f>I21-J21</f>
        <v>0</v>
      </c>
    </row>
    <row r="22" spans="1:11" s="65" customFormat="1" ht="24.75" customHeight="1" thickBot="1">
      <c r="A22" s="890" t="s">
        <v>149</v>
      </c>
      <c r="B22" s="891" t="s">
        <v>206</v>
      </c>
      <c r="C22" s="892" t="s">
        <v>651</v>
      </c>
      <c r="D22" s="893">
        <v>21718.42</v>
      </c>
      <c r="E22" s="893">
        <v>237582</v>
      </c>
      <c r="F22" s="893">
        <v>183342.34</v>
      </c>
      <c r="G22" s="893">
        <v>156586</v>
      </c>
      <c r="H22" s="894">
        <v>102346.27</v>
      </c>
      <c r="I22" s="895">
        <v>102714.49</v>
      </c>
      <c r="J22" s="532">
        <f>D22+F22-H22</f>
        <v>102714.49</v>
      </c>
      <c r="K22" s="532">
        <f>I22-J22</f>
        <v>0</v>
      </c>
    </row>
    <row r="23" spans="1:11" s="65" customFormat="1" ht="24.75" customHeight="1" thickBot="1">
      <c r="A23" s="896"/>
      <c r="B23" s="896"/>
      <c r="C23" s="897"/>
      <c r="D23" s="857"/>
      <c r="E23" s="857"/>
      <c r="F23" s="857"/>
      <c r="G23" s="857"/>
      <c r="H23" s="857"/>
      <c r="I23" s="536"/>
      <c r="J23" s="532"/>
      <c r="K23" s="532"/>
    </row>
    <row r="24" spans="1:11" s="898" customFormat="1" ht="12.75" customHeight="1" thickBot="1">
      <c r="A24" s="1124" t="s">
        <v>1245</v>
      </c>
      <c r="B24" s="1125" t="s">
        <v>628</v>
      </c>
      <c r="C24" s="1126">
        <v>3</v>
      </c>
      <c r="D24" s="1126">
        <v>4</v>
      </c>
      <c r="E24" s="1126">
        <v>5</v>
      </c>
      <c r="F24" s="1127">
        <v>6</v>
      </c>
      <c r="G24" s="1127">
        <v>6</v>
      </c>
      <c r="H24" s="1126">
        <v>7</v>
      </c>
      <c r="I24" s="1128">
        <v>8</v>
      </c>
      <c r="K24" s="898" t="s">
        <v>791</v>
      </c>
    </row>
    <row r="25" spans="1:9" s="31" customFormat="1" ht="21" customHeight="1">
      <c r="A25" s="1666" t="s">
        <v>32</v>
      </c>
      <c r="B25" s="1667"/>
      <c r="C25" s="1668"/>
      <c r="D25" s="918">
        <f aca="true" t="shared" si="4" ref="D25:I25">SUM(D26,D29,D31,D34,D35,D36)</f>
        <v>878088.91</v>
      </c>
      <c r="E25" s="919">
        <f t="shared" si="4"/>
        <v>1717727</v>
      </c>
      <c r="F25" s="919">
        <f t="shared" si="4"/>
        <v>1049640.01</v>
      </c>
      <c r="G25" s="919">
        <f t="shared" si="4"/>
        <v>2387341</v>
      </c>
      <c r="H25" s="919">
        <f t="shared" si="4"/>
        <v>1174565.75</v>
      </c>
      <c r="I25" s="920">
        <f t="shared" si="4"/>
        <v>753163.1700000002</v>
      </c>
    </row>
    <row r="26" spans="1:9" s="64" customFormat="1" ht="43.5" customHeight="1">
      <c r="A26" s="912" t="s">
        <v>78</v>
      </c>
      <c r="B26" s="500" t="s">
        <v>80</v>
      </c>
      <c r="C26" s="899" t="s">
        <v>139</v>
      </c>
      <c r="D26" s="77">
        <f aca="true" t="shared" si="5" ref="D26:I26">SUM(D27,D28)</f>
        <v>706248.35</v>
      </c>
      <c r="E26" s="77">
        <f t="shared" si="5"/>
        <v>600900</v>
      </c>
      <c r="F26" s="77">
        <f t="shared" si="5"/>
        <v>397773.56</v>
      </c>
      <c r="G26" s="77">
        <f t="shared" si="5"/>
        <v>1307148</v>
      </c>
      <c r="H26" s="77">
        <f t="shared" si="5"/>
        <v>538556.79</v>
      </c>
      <c r="I26" s="546">
        <f t="shared" si="5"/>
        <v>565465.12</v>
      </c>
    </row>
    <row r="27" spans="1:11" s="92" customFormat="1" ht="24.75" customHeight="1">
      <c r="A27" s="900" t="s">
        <v>78</v>
      </c>
      <c r="B27" s="901" t="s">
        <v>80</v>
      </c>
      <c r="C27" s="902" t="s">
        <v>646</v>
      </c>
      <c r="D27" s="903">
        <v>146811</v>
      </c>
      <c r="E27" s="903">
        <v>400900</v>
      </c>
      <c r="F27" s="903">
        <v>191676.05</v>
      </c>
      <c r="G27" s="903">
        <v>547711</v>
      </c>
      <c r="H27" s="904">
        <v>167971.11</v>
      </c>
      <c r="I27" s="905">
        <v>170515.94</v>
      </c>
      <c r="J27" s="98">
        <f>D27+F27-H27</f>
        <v>170515.94</v>
      </c>
      <c r="K27" s="98">
        <f>I27-J27</f>
        <v>0</v>
      </c>
    </row>
    <row r="28" spans="1:11" s="92" customFormat="1" ht="24.75" customHeight="1">
      <c r="A28" s="878" t="s">
        <v>78</v>
      </c>
      <c r="B28" s="879" t="s">
        <v>80</v>
      </c>
      <c r="C28" s="880" t="s">
        <v>647</v>
      </c>
      <c r="D28" s="881">
        <v>559437.35</v>
      </c>
      <c r="E28" s="881">
        <v>200000</v>
      </c>
      <c r="F28" s="881">
        <v>206097.51</v>
      </c>
      <c r="G28" s="881">
        <v>759437</v>
      </c>
      <c r="H28" s="882">
        <v>370585.68</v>
      </c>
      <c r="I28" s="883">
        <v>394949.18</v>
      </c>
      <c r="J28" s="98">
        <f aca="true" t="shared" si="6" ref="J28:J38">D28+F28-H28</f>
        <v>394949.18</v>
      </c>
      <c r="K28" s="98">
        <f aca="true" t="shared" si="7" ref="K28:K38">I28-J28</f>
        <v>0</v>
      </c>
    </row>
    <row r="29" spans="1:11" s="65" customFormat="1" ht="24.75" customHeight="1">
      <c r="A29" s="875" t="s">
        <v>124</v>
      </c>
      <c r="B29" s="876" t="s">
        <v>130</v>
      </c>
      <c r="C29" s="877" t="s">
        <v>1143</v>
      </c>
      <c r="D29" s="542">
        <f aca="true" t="shared" si="8" ref="D29:I29">SUM(D30)</f>
        <v>2359.53</v>
      </c>
      <c r="E29" s="542">
        <f t="shared" si="8"/>
        <v>57002</v>
      </c>
      <c r="F29" s="542">
        <f t="shared" si="8"/>
        <v>26082.41</v>
      </c>
      <c r="G29" s="542">
        <f t="shared" si="8"/>
        <v>50342</v>
      </c>
      <c r="H29" s="542">
        <f t="shared" si="8"/>
        <v>19422.16</v>
      </c>
      <c r="I29" s="889">
        <f t="shared" si="8"/>
        <v>9019.78</v>
      </c>
      <c r="J29" s="532">
        <f t="shared" si="6"/>
        <v>9019.779999999999</v>
      </c>
      <c r="K29" s="532">
        <f t="shared" si="7"/>
        <v>0</v>
      </c>
    </row>
    <row r="30" spans="1:11" s="92" customFormat="1" ht="26.25" customHeight="1">
      <c r="A30" s="878" t="s">
        <v>124</v>
      </c>
      <c r="B30" s="879" t="s">
        <v>130</v>
      </c>
      <c r="C30" s="880" t="s">
        <v>58</v>
      </c>
      <c r="D30" s="881">
        <v>2359.53</v>
      </c>
      <c r="E30" s="881">
        <v>57002</v>
      </c>
      <c r="F30" s="881">
        <v>26082.41</v>
      </c>
      <c r="G30" s="881">
        <v>50342</v>
      </c>
      <c r="H30" s="882">
        <v>19422.16</v>
      </c>
      <c r="I30" s="883">
        <v>9019.78</v>
      </c>
      <c r="J30" s="98">
        <f>D30+F30-H30</f>
        <v>9019.779999999999</v>
      </c>
      <c r="K30" s="98">
        <f>I30-J30</f>
        <v>0</v>
      </c>
    </row>
    <row r="31" spans="1:11" s="65" customFormat="1" ht="24.75" customHeight="1">
      <c r="A31" s="875" t="s">
        <v>124</v>
      </c>
      <c r="B31" s="876" t="s">
        <v>131</v>
      </c>
      <c r="C31" s="877" t="s">
        <v>132</v>
      </c>
      <c r="D31" s="542">
        <v>89158.36</v>
      </c>
      <c r="E31" s="542">
        <f>SUM(E32,E33)</f>
        <v>312751</v>
      </c>
      <c r="F31" s="542">
        <f>SUM(F32,F33)</f>
        <v>170903.3</v>
      </c>
      <c r="G31" s="542">
        <f>SUM(G32,G33)</f>
        <v>272131</v>
      </c>
      <c r="H31" s="542">
        <f>SUM(H32,H33)</f>
        <v>130283.27</v>
      </c>
      <c r="I31" s="889">
        <f>SUM(I32,I33)</f>
        <v>129778.39</v>
      </c>
      <c r="J31" s="532">
        <f t="shared" si="6"/>
        <v>129778.38999999997</v>
      </c>
      <c r="K31" s="532">
        <f t="shared" si="7"/>
        <v>0</v>
      </c>
    </row>
    <row r="32" spans="1:11" s="92" customFormat="1" ht="24.75" customHeight="1">
      <c r="A32" s="878" t="s">
        <v>124</v>
      </c>
      <c r="B32" s="879" t="s">
        <v>131</v>
      </c>
      <c r="C32" s="880" t="s">
        <v>1145</v>
      </c>
      <c r="D32" s="881">
        <v>29952.63</v>
      </c>
      <c r="E32" s="881">
        <v>11942</v>
      </c>
      <c r="F32" s="881">
        <v>2879.37</v>
      </c>
      <c r="G32" s="881">
        <v>14871</v>
      </c>
      <c r="H32" s="882">
        <v>5808.3</v>
      </c>
      <c r="I32" s="883">
        <v>27023.7</v>
      </c>
      <c r="J32" s="98">
        <f t="shared" si="6"/>
        <v>27023.7</v>
      </c>
      <c r="K32" s="98">
        <f t="shared" si="7"/>
        <v>0</v>
      </c>
    </row>
    <row r="33" spans="1:11" s="92" customFormat="1" ht="24.75" customHeight="1">
      <c r="A33" s="878" t="s">
        <v>124</v>
      </c>
      <c r="B33" s="879" t="s">
        <v>131</v>
      </c>
      <c r="C33" s="880" t="s">
        <v>1146</v>
      </c>
      <c r="D33" s="881">
        <v>59205.73</v>
      </c>
      <c r="E33" s="881">
        <v>300809</v>
      </c>
      <c r="F33" s="881">
        <v>168023.93</v>
      </c>
      <c r="G33" s="881">
        <v>257260</v>
      </c>
      <c r="H33" s="882">
        <v>124474.97</v>
      </c>
      <c r="I33" s="883">
        <v>102754.69</v>
      </c>
      <c r="J33" s="98">
        <f t="shared" si="6"/>
        <v>102754.69</v>
      </c>
      <c r="K33" s="98">
        <f t="shared" si="7"/>
        <v>0</v>
      </c>
    </row>
    <row r="34" spans="1:11" s="65" customFormat="1" ht="24.75" customHeight="1">
      <c r="A34" s="875" t="s">
        <v>149</v>
      </c>
      <c r="B34" s="876" t="s">
        <v>154</v>
      </c>
      <c r="C34" s="877" t="s">
        <v>649</v>
      </c>
      <c r="D34" s="542">
        <v>64803.18</v>
      </c>
      <c r="E34" s="542">
        <v>335600</v>
      </c>
      <c r="F34" s="542">
        <v>182447.59</v>
      </c>
      <c r="G34" s="542">
        <v>335600</v>
      </c>
      <c r="H34" s="888">
        <v>204549.22</v>
      </c>
      <c r="I34" s="501">
        <v>42701.55</v>
      </c>
      <c r="J34" s="532">
        <f t="shared" si="6"/>
        <v>42701.54999999999</v>
      </c>
      <c r="K34" s="532">
        <f t="shared" si="7"/>
        <v>0</v>
      </c>
    </row>
    <row r="35" spans="1:11" s="65" customFormat="1" ht="24.75" customHeight="1">
      <c r="A35" s="875" t="s">
        <v>149</v>
      </c>
      <c r="B35" s="876" t="s">
        <v>155</v>
      </c>
      <c r="C35" s="877" t="s">
        <v>650</v>
      </c>
      <c r="D35" s="542">
        <v>4724.48</v>
      </c>
      <c r="E35" s="542">
        <v>5962</v>
      </c>
      <c r="F35" s="542">
        <v>2700.24</v>
      </c>
      <c r="G35" s="542">
        <v>5962</v>
      </c>
      <c r="H35" s="888">
        <v>1375.45</v>
      </c>
      <c r="I35" s="501">
        <v>6049.27</v>
      </c>
      <c r="J35" s="532">
        <f t="shared" si="6"/>
        <v>6049.2699999999995</v>
      </c>
      <c r="K35" s="532">
        <f t="shared" si="7"/>
        <v>0</v>
      </c>
    </row>
    <row r="36" spans="1:11" s="65" customFormat="1" ht="24.75" customHeight="1">
      <c r="A36" s="875" t="s">
        <v>149</v>
      </c>
      <c r="B36" s="876" t="s">
        <v>208</v>
      </c>
      <c r="C36" s="877" t="s">
        <v>652</v>
      </c>
      <c r="D36" s="542">
        <f aca="true" t="shared" si="9" ref="D36:I36">SUM(D37)</f>
        <v>10795.01</v>
      </c>
      <c r="E36" s="542">
        <f t="shared" si="9"/>
        <v>405512</v>
      </c>
      <c r="F36" s="542">
        <f t="shared" si="9"/>
        <v>269732.91</v>
      </c>
      <c r="G36" s="542">
        <f t="shared" si="9"/>
        <v>416158</v>
      </c>
      <c r="H36" s="542">
        <f t="shared" si="9"/>
        <v>280378.86</v>
      </c>
      <c r="I36" s="889">
        <f t="shared" si="9"/>
        <v>149.06</v>
      </c>
      <c r="J36" s="532">
        <f t="shared" si="6"/>
        <v>149.05999999999767</v>
      </c>
      <c r="K36" s="532">
        <f t="shared" si="7"/>
        <v>2.3305801732931286E-12</v>
      </c>
    </row>
    <row r="37" spans="1:11" s="92" customFormat="1" ht="24.75" customHeight="1" thickBot="1">
      <c r="A37" s="906" t="s">
        <v>149</v>
      </c>
      <c r="B37" s="907" t="s">
        <v>208</v>
      </c>
      <c r="C37" s="908" t="s">
        <v>1144</v>
      </c>
      <c r="D37" s="909">
        <v>10795.01</v>
      </c>
      <c r="E37" s="909">
        <v>405512</v>
      </c>
      <c r="F37" s="909">
        <v>269732.91</v>
      </c>
      <c r="G37" s="909">
        <v>416158</v>
      </c>
      <c r="H37" s="910">
        <v>280378.86</v>
      </c>
      <c r="I37" s="911">
        <v>149.06</v>
      </c>
      <c r="J37" s="98">
        <f>D37+F37-H37</f>
        <v>149.05999999999767</v>
      </c>
      <c r="K37" s="98">
        <f>I37-J37</f>
        <v>2.3305801732931286E-12</v>
      </c>
    </row>
    <row r="38" spans="1:11" s="531" customFormat="1" ht="24.75" customHeight="1" thickBot="1">
      <c r="A38" s="1661" t="s">
        <v>1133</v>
      </c>
      <c r="B38" s="1662"/>
      <c r="C38" s="1662"/>
      <c r="D38" s="916">
        <f aca="true" t="shared" si="10" ref="D38:I38">SUM(D9,D25)</f>
        <v>1486993.1300000004</v>
      </c>
      <c r="E38" s="916">
        <f t="shared" si="10"/>
        <v>3691059</v>
      </c>
      <c r="F38" s="916">
        <f t="shared" si="10"/>
        <v>2049641.26</v>
      </c>
      <c r="G38" s="916">
        <f t="shared" si="10"/>
        <v>4803207</v>
      </c>
      <c r="H38" s="916">
        <f t="shared" si="10"/>
        <v>1921352.37</v>
      </c>
      <c r="I38" s="917">
        <f t="shared" si="10"/>
        <v>1615282.02</v>
      </c>
      <c r="J38" s="532">
        <f t="shared" si="6"/>
        <v>1615282.0200000005</v>
      </c>
      <c r="K38" s="532">
        <f t="shared" si="7"/>
        <v>0</v>
      </c>
    </row>
  </sheetData>
  <sheetProtection password="CF53" sheet="1" objects="1" scenarios="1" selectLockedCells="1" selectUnlockedCells="1"/>
  <mergeCells count="11">
    <mergeCell ref="A38:C38"/>
    <mergeCell ref="G6:H6"/>
    <mergeCell ref="A6:A7"/>
    <mergeCell ref="B6:B7"/>
    <mergeCell ref="D6:D7"/>
    <mergeCell ref="A25:C25"/>
    <mergeCell ref="A9:C9"/>
    <mergeCell ref="I6:I7"/>
    <mergeCell ref="A4:H4"/>
    <mergeCell ref="C6:C7"/>
    <mergeCell ref="E6:F6"/>
  </mergeCells>
  <printOptions/>
  <pageMargins left="1.1811023622047245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G15"/>
  <sheetViews>
    <sheetView view="pageBreakPreview" zoomScaleSheetLayoutView="100" workbookViewId="0" topLeftCell="A1">
      <selection activeCell="C9" sqref="C9"/>
    </sheetView>
  </sheetViews>
  <sheetFormatPr defaultColWidth="9.00390625" defaultRowHeight="12.75"/>
  <cols>
    <col min="1" max="1" width="3.375" style="15" customWidth="1"/>
    <col min="2" max="2" width="7.25390625" style="16" customWidth="1"/>
    <col min="3" max="3" width="46.125" style="16" customWidth="1"/>
    <col min="4" max="4" width="8.625" style="17" customWidth="1"/>
    <col min="5" max="5" width="11.875" style="16" customWidth="1"/>
    <col min="6" max="6" width="13.375" style="18" customWidth="1"/>
    <col min="7" max="7" width="11.375" style="16" customWidth="1"/>
    <col min="8" max="16384" width="9.125" style="16" customWidth="1"/>
  </cols>
  <sheetData>
    <row r="1" spans="1:7" ht="12.75">
      <c r="A1" s="32"/>
      <c r="B1" s="33"/>
      <c r="C1" s="33"/>
      <c r="D1" s="34"/>
      <c r="E1" s="33"/>
      <c r="F1" s="35"/>
      <c r="G1" s="36" t="s">
        <v>771</v>
      </c>
    </row>
    <row r="2" spans="1:7" ht="12.75">
      <c r="A2" s="32"/>
      <c r="B2" s="33"/>
      <c r="C2" s="33"/>
      <c r="D2" s="34"/>
      <c r="E2" s="33"/>
      <c r="F2" s="35"/>
      <c r="G2" s="33"/>
    </row>
    <row r="3" spans="1:7" ht="12.75">
      <c r="A3" s="1675" t="s">
        <v>467</v>
      </c>
      <c r="B3" s="1675"/>
      <c r="C3" s="1675"/>
      <c r="D3" s="1675"/>
      <c r="E3" s="1675"/>
      <c r="F3" s="1675"/>
      <c r="G3" s="33"/>
    </row>
    <row r="4" spans="1:7" ht="12.75">
      <c r="A4" s="32"/>
      <c r="B4" s="33"/>
      <c r="C4" s="33"/>
      <c r="D4" s="34"/>
      <c r="E4" s="37"/>
      <c r="F4" s="38"/>
      <c r="G4" s="38"/>
    </row>
    <row r="5" spans="1:7" s="19" customFormat="1" ht="56.25" customHeight="1">
      <c r="A5" s="1129" t="s">
        <v>338</v>
      </c>
      <c r="B5" s="1129" t="s">
        <v>68</v>
      </c>
      <c r="C5" s="1129" t="s">
        <v>250</v>
      </c>
      <c r="D5" s="1130" t="s">
        <v>1209</v>
      </c>
      <c r="E5" s="1130" t="s">
        <v>870</v>
      </c>
      <c r="F5" s="1131" t="s">
        <v>479</v>
      </c>
      <c r="G5" s="1130" t="s">
        <v>742</v>
      </c>
    </row>
    <row r="6" spans="1:7" s="20" customFormat="1" ht="14.25" customHeight="1">
      <c r="A6" s="1132">
        <v>1</v>
      </c>
      <c r="B6" s="1132">
        <v>2</v>
      </c>
      <c r="C6" s="1132">
        <v>3</v>
      </c>
      <c r="D6" s="1133">
        <v>4</v>
      </c>
      <c r="E6" s="1133">
        <v>5</v>
      </c>
      <c r="F6" s="1134">
        <v>6</v>
      </c>
      <c r="G6" s="1133">
        <v>7</v>
      </c>
    </row>
    <row r="7" spans="1:7" s="44" customFormat="1" ht="42.75" customHeight="1">
      <c r="A7" s="39" t="s">
        <v>341</v>
      </c>
      <c r="B7" s="39">
        <v>60011</v>
      </c>
      <c r="C7" s="40" t="s">
        <v>468</v>
      </c>
      <c r="D7" s="41" t="s">
        <v>469</v>
      </c>
      <c r="E7" s="42">
        <v>300000</v>
      </c>
      <c r="F7" s="43">
        <v>299868.68</v>
      </c>
      <c r="G7" s="42">
        <f aca="true" t="shared" si="0" ref="G7:G14">E7-F7</f>
        <v>131.32000000000698</v>
      </c>
    </row>
    <row r="8" spans="1:7" s="44" customFormat="1" ht="42.75" customHeight="1">
      <c r="A8" s="39" t="s">
        <v>342</v>
      </c>
      <c r="B8" s="39">
        <v>60015</v>
      </c>
      <c r="C8" s="40" t="s">
        <v>471</v>
      </c>
      <c r="D8" s="41" t="s">
        <v>470</v>
      </c>
      <c r="E8" s="42">
        <v>400000</v>
      </c>
      <c r="F8" s="43">
        <v>71945.84</v>
      </c>
      <c r="G8" s="42">
        <f t="shared" si="0"/>
        <v>328054.16000000003</v>
      </c>
    </row>
    <row r="9" spans="1:7" s="44" customFormat="1" ht="42.75" customHeight="1">
      <c r="A9" s="39" t="s">
        <v>419</v>
      </c>
      <c r="B9" s="39">
        <v>60016</v>
      </c>
      <c r="C9" s="40" t="s">
        <v>472</v>
      </c>
      <c r="D9" s="41" t="s">
        <v>469</v>
      </c>
      <c r="E9" s="42">
        <v>83000</v>
      </c>
      <c r="F9" s="43">
        <v>75814.49</v>
      </c>
      <c r="G9" s="42">
        <f t="shared" si="0"/>
        <v>7185.509999999995</v>
      </c>
    </row>
    <row r="10" spans="1:7" s="44" customFormat="1" ht="42.75" customHeight="1">
      <c r="A10" s="39" t="s">
        <v>426</v>
      </c>
      <c r="B10" s="39">
        <v>60016</v>
      </c>
      <c r="C10" s="40" t="s">
        <v>1201</v>
      </c>
      <c r="D10" s="41" t="s">
        <v>469</v>
      </c>
      <c r="E10" s="42">
        <v>110000</v>
      </c>
      <c r="F10" s="43">
        <v>92151.32</v>
      </c>
      <c r="G10" s="42">
        <f t="shared" si="0"/>
        <v>17848.679999999993</v>
      </c>
    </row>
    <row r="11" spans="1:7" s="44" customFormat="1" ht="42.75" customHeight="1">
      <c r="A11" s="39" t="s">
        <v>427</v>
      </c>
      <c r="B11" s="39">
        <v>75405</v>
      </c>
      <c r="C11" s="40" t="s">
        <v>473</v>
      </c>
      <c r="D11" s="41" t="s">
        <v>474</v>
      </c>
      <c r="E11" s="42">
        <v>57809</v>
      </c>
      <c r="F11" s="43">
        <v>57809</v>
      </c>
      <c r="G11" s="42">
        <f t="shared" si="0"/>
        <v>0</v>
      </c>
    </row>
    <row r="12" spans="1:7" s="44" customFormat="1" ht="42.75" customHeight="1">
      <c r="A12" s="39" t="s">
        <v>428</v>
      </c>
      <c r="B12" s="39">
        <v>80130</v>
      </c>
      <c r="C12" s="40" t="s">
        <v>475</v>
      </c>
      <c r="D12" s="41" t="s">
        <v>476</v>
      </c>
      <c r="E12" s="42">
        <v>415000</v>
      </c>
      <c r="F12" s="43">
        <v>415000</v>
      </c>
      <c r="G12" s="42">
        <f t="shared" si="0"/>
        <v>0</v>
      </c>
    </row>
    <row r="13" spans="1:7" s="44" customFormat="1" ht="42.75" customHeight="1">
      <c r="A13" s="39" t="s">
        <v>526</v>
      </c>
      <c r="B13" s="39">
        <v>85154</v>
      </c>
      <c r="C13" s="40" t="s">
        <v>477</v>
      </c>
      <c r="D13" s="41" t="s">
        <v>469</v>
      </c>
      <c r="E13" s="42">
        <v>345496</v>
      </c>
      <c r="F13" s="43">
        <v>345496</v>
      </c>
      <c r="G13" s="42">
        <f t="shared" si="0"/>
        <v>0</v>
      </c>
    </row>
    <row r="14" spans="1:7" s="44" customFormat="1" ht="42.75" customHeight="1">
      <c r="A14" s="39" t="s">
        <v>527</v>
      </c>
      <c r="B14" s="39">
        <v>85154</v>
      </c>
      <c r="C14" s="40" t="s">
        <v>478</v>
      </c>
      <c r="D14" s="41" t="s">
        <v>469</v>
      </c>
      <c r="E14" s="42">
        <v>100000</v>
      </c>
      <c r="F14" s="45">
        <v>0</v>
      </c>
      <c r="G14" s="46">
        <f t="shared" si="0"/>
        <v>100000</v>
      </c>
    </row>
    <row r="15" spans="1:7" s="44" customFormat="1" ht="27" customHeight="1">
      <c r="A15" s="1672" t="s">
        <v>1210</v>
      </c>
      <c r="B15" s="1673"/>
      <c r="C15" s="1673"/>
      <c r="D15" s="1674"/>
      <c r="E15" s="1135">
        <f>SUM(E7:E14)</f>
        <v>1811305</v>
      </c>
      <c r="F15" s="1135">
        <f>SUM(F7:F14)</f>
        <v>1358085.33</v>
      </c>
      <c r="G15" s="1135">
        <f>SUM(G7:G14)</f>
        <v>453219.67000000004</v>
      </c>
    </row>
  </sheetData>
  <sheetProtection password="CF53" sheet="1" objects="1" scenarios="1" selectLockedCells="1" selectUnlockedCells="1"/>
  <mergeCells count="2">
    <mergeCell ref="A15:D15"/>
    <mergeCell ref="A3:F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13"/>
  <sheetViews>
    <sheetView view="pageBreakPreview" zoomScaleSheetLayoutView="100" workbookViewId="0" topLeftCell="A1">
      <selection activeCell="A5" sqref="A5:F7"/>
    </sheetView>
  </sheetViews>
  <sheetFormatPr defaultColWidth="9.00390625" defaultRowHeight="12.75"/>
  <cols>
    <col min="1" max="1" width="14.375" style="49" customWidth="1"/>
    <col min="2" max="2" width="17.00390625" style="49" customWidth="1"/>
    <col min="3" max="3" width="13.75390625" style="48" customWidth="1"/>
    <col min="4" max="4" width="13.875" style="48" customWidth="1"/>
    <col min="5" max="5" width="14.25390625" style="48" customWidth="1"/>
    <col min="6" max="6" width="13.625" style="48" customWidth="1"/>
    <col min="7" max="7" width="17.25390625" style="48" customWidth="1"/>
    <col min="8" max="8" width="16.375" style="48" customWidth="1"/>
    <col min="9" max="16384" width="9.125" style="48" customWidth="1"/>
  </cols>
  <sheetData>
    <row r="1" ht="23.25" customHeight="1">
      <c r="F1" s="1014" t="s">
        <v>761</v>
      </c>
    </row>
    <row r="2" ht="23.25" customHeight="1">
      <c r="F2" s="50"/>
    </row>
    <row r="3" spans="1:6" ht="30.75" customHeight="1">
      <c r="A3" s="1523" t="s">
        <v>46</v>
      </c>
      <c r="B3" s="1523"/>
      <c r="C3" s="1523"/>
      <c r="D3" s="1523"/>
      <c r="E3" s="1523"/>
      <c r="F3" s="1523"/>
    </row>
    <row r="4" ht="16.5" customHeight="1" thickBot="1">
      <c r="F4" s="50" t="s">
        <v>67</v>
      </c>
    </row>
    <row r="5" spans="1:6" s="52" customFormat="1" ht="18" customHeight="1">
      <c r="A5" s="1526" t="s">
        <v>630</v>
      </c>
      <c r="B5" s="1528" t="s">
        <v>60</v>
      </c>
      <c r="C5" s="1530" t="s">
        <v>534</v>
      </c>
      <c r="D5" s="1531"/>
      <c r="E5" s="1530" t="s">
        <v>535</v>
      </c>
      <c r="F5" s="1508"/>
    </row>
    <row r="6" spans="1:6" s="52" customFormat="1" ht="18" customHeight="1">
      <c r="A6" s="1527"/>
      <c r="B6" s="1529"/>
      <c r="C6" s="1011" t="s">
        <v>631</v>
      </c>
      <c r="D6" s="1011" t="s">
        <v>632</v>
      </c>
      <c r="E6" s="1011" t="s">
        <v>631</v>
      </c>
      <c r="F6" s="1012" t="s">
        <v>632</v>
      </c>
    </row>
    <row r="7" spans="1:6" s="52" customFormat="1" ht="13.5" customHeight="1">
      <c r="A7" s="1013">
        <v>1</v>
      </c>
      <c r="B7" s="1013">
        <v>2</v>
      </c>
      <c r="C7" s="1011">
        <v>3</v>
      </c>
      <c r="D7" s="1011">
        <v>4</v>
      </c>
      <c r="E7" s="1011">
        <v>5</v>
      </c>
      <c r="F7" s="1011">
        <v>6</v>
      </c>
    </row>
    <row r="8" spans="1:6" s="52" customFormat="1" ht="18" customHeight="1">
      <c r="A8" s="1522" t="s">
        <v>633</v>
      </c>
      <c r="B8" s="1504"/>
      <c r="C8" s="1524">
        <v>10802410</v>
      </c>
      <c r="D8" s="1521"/>
      <c r="E8" s="1524">
        <v>23287965</v>
      </c>
      <c r="F8" s="1525"/>
    </row>
    <row r="9" spans="1:6" ht="18" customHeight="1">
      <c r="A9" s="53" t="s">
        <v>488</v>
      </c>
      <c r="B9" s="54" t="s">
        <v>489</v>
      </c>
      <c r="C9" s="55">
        <v>0</v>
      </c>
      <c r="D9" s="55">
        <v>2692661</v>
      </c>
      <c r="E9" s="55">
        <v>0</v>
      </c>
      <c r="F9" s="56">
        <v>0</v>
      </c>
    </row>
    <row r="10" spans="1:6" ht="18" customHeight="1">
      <c r="A10" s="57" t="s">
        <v>501</v>
      </c>
      <c r="B10" s="54" t="s">
        <v>502</v>
      </c>
      <c r="C10" s="55">
        <v>0</v>
      </c>
      <c r="D10" s="55">
        <v>23622933</v>
      </c>
      <c r="E10" s="55">
        <v>0</v>
      </c>
      <c r="F10" s="56">
        <v>165350</v>
      </c>
    </row>
    <row r="11" spans="1:6" s="52" customFormat="1" ht="18" customHeight="1">
      <c r="A11" s="1513" t="s">
        <v>334</v>
      </c>
      <c r="B11" s="1514"/>
      <c r="C11" s="1004">
        <f>SUM(C9:C10)</f>
        <v>0</v>
      </c>
      <c r="D11" s="1004">
        <f>SUM(D9:D10)</f>
        <v>26315594</v>
      </c>
      <c r="E11" s="1004">
        <f>SUM(E9:E10)</f>
        <v>0</v>
      </c>
      <c r="F11" s="1005">
        <f>SUM(F9:F10)</f>
        <v>165350</v>
      </c>
    </row>
    <row r="12" spans="1:6" s="52" customFormat="1" ht="18" customHeight="1">
      <c r="A12" s="1515" t="s">
        <v>634</v>
      </c>
      <c r="B12" s="1516"/>
      <c r="C12" s="1511">
        <f>SUM(C11:D11)</f>
        <v>26315594</v>
      </c>
      <c r="D12" s="1512"/>
      <c r="E12" s="1511">
        <f>SUM(E11:F11)</f>
        <v>165350</v>
      </c>
      <c r="F12" s="1517"/>
    </row>
    <row r="13" spans="1:6" s="52" customFormat="1" ht="18" customHeight="1" thickBot="1">
      <c r="A13" s="1509" t="s">
        <v>635</v>
      </c>
      <c r="B13" s="1510"/>
      <c r="C13" s="1532">
        <f>SUM(C8,C12)</f>
        <v>37118004</v>
      </c>
      <c r="D13" s="1533"/>
      <c r="E13" s="1532">
        <f>SUM(E8,E12)</f>
        <v>23453315</v>
      </c>
      <c r="F13" s="1520"/>
    </row>
  </sheetData>
  <sheetProtection password="CF53" sheet="1" objects="1" scenarios="1" selectLockedCells="1" selectUnlockedCells="1"/>
  <mergeCells count="15">
    <mergeCell ref="A3:F3"/>
    <mergeCell ref="A11:B11"/>
    <mergeCell ref="A12:B12"/>
    <mergeCell ref="E8:F8"/>
    <mergeCell ref="E5:F5"/>
    <mergeCell ref="E12:F12"/>
    <mergeCell ref="E13:F13"/>
    <mergeCell ref="A13:B13"/>
    <mergeCell ref="A5:A6"/>
    <mergeCell ref="A8:B8"/>
    <mergeCell ref="C8:D8"/>
    <mergeCell ref="C5:D5"/>
    <mergeCell ref="C12:D12"/>
    <mergeCell ref="C13:D13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5">
    <tabColor indexed="42"/>
  </sheetPr>
  <dimension ref="A1:G56"/>
  <sheetViews>
    <sheetView view="pageBreakPreview" zoomScaleSheetLayoutView="100" workbookViewId="0" topLeftCell="A12">
      <selection activeCell="A23" sqref="A23"/>
    </sheetView>
  </sheetViews>
  <sheetFormatPr defaultColWidth="9.00390625" defaultRowHeight="12.75"/>
  <cols>
    <col min="1" max="1" width="3.625" style="3" customWidth="1"/>
    <col min="2" max="2" width="4.375" style="3" customWidth="1"/>
    <col min="3" max="3" width="49.375" style="3" customWidth="1"/>
    <col min="4" max="5" width="12.00390625" style="3" customWidth="1"/>
    <col min="6" max="6" width="5.00390625" style="3" customWidth="1"/>
    <col min="7" max="16384" width="9.125" style="3" customWidth="1"/>
  </cols>
  <sheetData>
    <row r="1" spans="5:6" s="65" customFormat="1" ht="12" customHeight="1">
      <c r="E1" s="1580" t="s">
        <v>782</v>
      </c>
      <c r="F1" s="1580"/>
    </row>
    <row r="2" s="65" customFormat="1" ht="12.75"/>
    <row r="3" spans="1:6" s="65" customFormat="1" ht="12.75">
      <c r="A3" s="1483" t="s">
        <v>857</v>
      </c>
      <c r="B3" s="1483"/>
      <c r="C3" s="1483"/>
      <c r="D3" s="1483"/>
      <c r="E3" s="1483"/>
      <c r="F3" s="1483"/>
    </row>
    <row r="4" spans="1:6" s="65" customFormat="1" ht="12.75">
      <c r="A4" s="31"/>
      <c r="B4" s="31"/>
      <c r="C4" s="31"/>
      <c r="D4" s="31"/>
      <c r="E4" s="31"/>
      <c r="F4" s="31"/>
    </row>
    <row r="5" spans="1:6" s="531" customFormat="1" ht="12.75" customHeight="1" thickBot="1">
      <c r="A5" s="1678" t="s">
        <v>858</v>
      </c>
      <c r="B5" s="1678"/>
      <c r="C5" s="1678"/>
      <c r="F5" s="36" t="s">
        <v>67</v>
      </c>
    </row>
    <row r="6" spans="1:6" s="31" customFormat="1" ht="12.75">
      <c r="A6" s="1136" t="s">
        <v>338</v>
      </c>
      <c r="B6" s="1137" t="s">
        <v>254</v>
      </c>
      <c r="C6" s="1137" t="s">
        <v>69</v>
      </c>
      <c r="D6" s="1138" t="s">
        <v>70</v>
      </c>
      <c r="E6" s="1138" t="s">
        <v>71</v>
      </c>
      <c r="F6" s="1139" t="s">
        <v>653</v>
      </c>
    </row>
    <row r="7" spans="1:6" s="923" customFormat="1" ht="12.75" customHeight="1" thickBot="1">
      <c r="A7" s="1140">
        <v>1</v>
      </c>
      <c r="B7" s="1141">
        <v>2</v>
      </c>
      <c r="C7" s="1141">
        <v>3</v>
      </c>
      <c r="D7" s="1142">
        <v>4</v>
      </c>
      <c r="E7" s="1142">
        <v>5</v>
      </c>
      <c r="F7" s="1143">
        <v>6</v>
      </c>
    </row>
    <row r="8" spans="1:6" s="531" customFormat="1" ht="27.75" customHeight="1">
      <c r="A8" s="968" t="s">
        <v>654</v>
      </c>
      <c r="B8" s="969"/>
      <c r="C8" s="970" t="s">
        <v>997</v>
      </c>
      <c r="D8" s="971">
        <v>770026</v>
      </c>
      <c r="E8" s="971">
        <v>477568.94</v>
      </c>
      <c r="F8" s="972" t="s">
        <v>346</v>
      </c>
    </row>
    <row r="9" spans="1:6" s="531" customFormat="1" ht="18.75" customHeight="1">
      <c r="A9" s="973" t="s">
        <v>659</v>
      </c>
      <c r="B9" s="974"/>
      <c r="C9" s="974" t="s">
        <v>329</v>
      </c>
      <c r="D9" s="975">
        <f>SUM(D10,D11,D12,)+D13+D14</f>
        <v>10204500</v>
      </c>
      <c r="E9" s="975">
        <f>SUM(E10,E11,E12,)+E13+E14</f>
        <v>5216227.08</v>
      </c>
      <c r="F9" s="976">
        <f aca="true" t="shared" si="0" ref="F9:F19">E9/D9*100</f>
        <v>51.116929589886816</v>
      </c>
    </row>
    <row r="10" spans="1:6" s="65" customFormat="1" ht="18.75" customHeight="1">
      <c r="A10" s="924" t="s">
        <v>341</v>
      </c>
      <c r="B10" s="925" t="s">
        <v>570</v>
      </c>
      <c r="C10" s="926" t="s">
        <v>660</v>
      </c>
      <c r="D10" s="927">
        <v>8786200</v>
      </c>
      <c r="E10" s="927">
        <v>4224978.21</v>
      </c>
      <c r="F10" s="928">
        <f t="shared" si="0"/>
        <v>48.08652443604744</v>
      </c>
    </row>
    <row r="11" spans="1:6" s="65" customFormat="1" ht="18.75" customHeight="1">
      <c r="A11" s="924" t="s">
        <v>342</v>
      </c>
      <c r="B11" s="925" t="s">
        <v>571</v>
      </c>
      <c r="C11" s="926" t="s">
        <v>263</v>
      </c>
      <c r="D11" s="927">
        <v>240300</v>
      </c>
      <c r="E11" s="927">
        <v>165346.76</v>
      </c>
      <c r="F11" s="928">
        <f t="shared" si="0"/>
        <v>68.80847274240534</v>
      </c>
    </row>
    <row r="12" spans="1:6" s="65" customFormat="1" ht="18.75" customHeight="1">
      <c r="A12" s="924" t="s">
        <v>419</v>
      </c>
      <c r="B12" s="925" t="s">
        <v>572</v>
      </c>
      <c r="C12" s="926" t="s">
        <v>262</v>
      </c>
      <c r="D12" s="927">
        <v>128000</v>
      </c>
      <c r="E12" s="927">
        <v>128807.69</v>
      </c>
      <c r="F12" s="928">
        <f t="shared" si="0"/>
        <v>100.6310078125</v>
      </c>
    </row>
    <row r="13" spans="1:6" s="65" customFormat="1" ht="27" customHeight="1">
      <c r="A13" s="924" t="s">
        <v>426</v>
      </c>
      <c r="B13" s="925" t="s">
        <v>661</v>
      </c>
      <c r="C13" s="931" t="s">
        <v>663</v>
      </c>
      <c r="D13" s="927">
        <v>550000</v>
      </c>
      <c r="E13" s="927">
        <v>420000</v>
      </c>
      <c r="F13" s="928">
        <f t="shared" si="0"/>
        <v>76.36363636363637</v>
      </c>
    </row>
    <row r="14" spans="1:6" s="65" customFormat="1" ht="18.75" customHeight="1" thickBot="1">
      <c r="A14" s="924"/>
      <c r="B14" s="925"/>
      <c r="C14" s="926" t="s">
        <v>664</v>
      </c>
      <c r="D14" s="927">
        <v>500000</v>
      </c>
      <c r="E14" s="927">
        <v>277094.42</v>
      </c>
      <c r="F14" s="928">
        <f t="shared" si="0"/>
        <v>55.418884</v>
      </c>
    </row>
    <row r="15" spans="1:6" s="531" customFormat="1" ht="18" customHeight="1" thickBot="1">
      <c r="A15" s="1676" t="s">
        <v>665</v>
      </c>
      <c r="B15" s="1677"/>
      <c r="C15" s="1677"/>
      <c r="D15" s="984">
        <f>D9+D8</f>
        <v>10974526</v>
      </c>
      <c r="E15" s="984">
        <f>E9+E8</f>
        <v>5693796.0200000005</v>
      </c>
      <c r="F15" s="985">
        <f t="shared" si="0"/>
        <v>51.88193111939413</v>
      </c>
    </row>
    <row r="16" spans="1:6" s="531" customFormat="1" ht="18" customHeight="1">
      <c r="A16" s="973" t="s">
        <v>666</v>
      </c>
      <c r="B16" s="974"/>
      <c r="C16" s="974" t="s">
        <v>667</v>
      </c>
      <c r="D16" s="975">
        <f>SUM(D17,D18,D19,D22,D20,D21,D23,D24,D25,D26,D27,D28,D29,D30,D31,D32,D33,D34,D35,D36,D39,D40,D41,D42,D43,D44,D45,D46,D47,D48)+D49+D50+D51+D52</f>
        <v>10408526</v>
      </c>
      <c r="E16" s="975">
        <f>SUM(E17,E18,E19,E22,E20,E21,E23,E24,E25,E26,E27,E28,E29,E30,E31,E32,E33,E34,E35,E36,E39,E40,E41,E42,E43,E44,E45,E46,E47,E48)+E49+E50+E51+E52</f>
        <v>4515070.87</v>
      </c>
      <c r="F16" s="976">
        <f t="shared" si="0"/>
        <v>43.37858088647711</v>
      </c>
    </row>
    <row r="17" spans="1:6" s="65" customFormat="1" ht="18.75" customHeight="1">
      <c r="A17" s="924" t="s">
        <v>341</v>
      </c>
      <c r="B17" s="930">
        <v>3020</v>
      </c>
      <c r="C17" s="931" t="s">
        <v>668</v>
      </c>
      <c r="D17" s="941">
        <v>55000</v>
      </c>
      <c r="E17" s="927">
        <v>30362.47</v>
      </c>
      <c r="F17" s="1195">
        <f t="shared" si="0"/>
        <v>55.20449090909091</v>
      </c>
    </row>
    <row r="18" spans="1:7" s="65" customFormat="1" ht="18.75" customHeight="1">
      <c r="A18" s="924" t="s">
        <v>342</v>
      </c>
      <c r="B18" s="930">
        <v>4010</v>
      </c>
      <c r="C18" s="931" t="s">
        <v>669</v>
      </c>
      <c r="D18" s="927">
        <v>1261000</v>
      </c>
      <c r="E18" s="927">
        <v>603739.8</v>
      </c>
      <c r="F18" s="928">
        <f t="shared" si="0"/>
        <v>47.87785884218874</v>
      </c>
      <c r="G18" s="532"/>
    </row>
    <row r="19" spans="1:6" s="65" customFormat="1" ht="18.75" customHeight="1">
      <c r="A19" s="924" t="s">
        <v>419</v>
      </c>
      <c r="B19" s="930">
        <v>4040</v>
      </c>
      <c r="C19" s="931" t="s">
        <v>670</v>
      </c>
      <c r="D19" s="927">
        <v>102000</v>
      </c>
      <c r="E19" s="927">
        <v>0</v>
      </c>
      <c r="F19" s="928">
        <f t="shared" si="0"/>
        <v>0</v>
      </c>
    </row>
    <row r="20" spans="1:6" s="65" customFormat="1" ht="18.75" customHeight="1">
      <c r="A20" s="924" t="s">
        <v>426</v>
      </c>
      <c r="B20" s="930">
        <v>4110</v>
      </c>
      <c r="C20" s="931" t="s">
        <v>677</v>
      </c>
      <c r="D20" s="927">
        <v>202000</v>
      </c>
      <c r="E20" s="927">
        <v>92946.68</v>
      </c>
      <c r="F20" s="928">
        <f aca="true" t="shared" si="1" ref="F20:F42">E20/D20*100</f>
        <v>46.01320792079208</v>
      </c>
    </row>
    <row r="21" spans="1:6" s="65" customFormat="1" ht="18.75" customHeight="1">
      <c r="A21" s="924" t="s">
        <v>427</v>
      </c>
      <c r="B21" s="930">
        <v>4120</v>
      </c>
      <c r="C21" s="931" t="s">
        <v>678</v>
      </c>
      <c r="D21" s="927">
        <v>32000</v>
      </c>
      <c r="E21" s="927">
        <v>14716.17</v>
      </c>
      <c r="F21" s="928">
        <f t="shared" si="1"/>
        <v>45.98803125</v>
      </c>
    </row>
    <row r="22" spans="1:6" s="65" customFormat="1" ht="28.5" customHeight="1">
      <c r="A22" s="924" t="s">
        <v>428</v>
      </c>
      <c r="B22" s="930">
        <v>4140</v>
      </c>
      <c r="C22" s="931" t="s">
        <v>722</v>
      </c>
      <c r="D22" s="927">
        <v>20000</v>
      </c>
      <c r="E22" s="927">
        <v>0</v>
      </c>
      <c r="F22" s="928">
        <f>E22/D22*100</f>
        <v>0</v>
      </c>
    </row>
    <row r="23" spans="1:6" s="65" customFormat="1" ht="18.75" customHeight="1">
      <c r="A23" s="924" t="s">
        <v>526</v>
      </c>
      <c r="B23" s="930">
        <v>4170</v>
      </c>
      <c r="C23" s="931" t="s">
        <v>679</v>
      </c>
      <c r="D23" s="927">
        <v>15000</v>
      </c>
      <c r="E23" s="927">
        <v>7232</v>
      </c>
      <c r="F23" s="928">
        <f t="shared" si="1"/>
        <v>48.21333333333334</v>
      </c>
    </row>
    <row r="24" spans="1:6" s="65" customFormat="1" ht="18.75" customHeight="1">
      <c r="A24" s="924" t="s">
        <v>527</v>
      </c>
      <c r="B24" s="930">
        <v>4210</v>
      </c>
      <c r="C24" s="931" t="s">
        <v>680</v>
      </c>
      <c r="D24" s="927">
        <v>120000</v>
      </c>
      <c r="E24" s="927">
        <v>53486.49</v>
      </c>
      <c r="F24" s="928">
        <f t="shared" si="1"/>
        <v>44.572075</v>
      </c>
    </row>
    <row r="25" spans="1:6" s="65" customFormat="1" ht="18.75" customHeight="1">
      <c r="A25" s="924" t="s">
        <v>429</v>
      </c>
      <c r="B25" s="930">
        <v>4260</v>
      </c>
      <c r="C25" s="931" t="s">
        <v>681</v>
      </c>
      <c r="D25" s="927">
        <v>1818000</v>
      </c>
      <c r="E25" s="927">
        <v>780278.12</v>
      </c>
      <c r="F25" s="928">
        <f t="shared" si="1"/>
        <v>42.919588558855885</v>
      </c>
    </row>
    <row r="26" spans="1:6" s="65" customFormat="1" ht="18.75" customHeight="1">
      <c r="A26" s="924" t="s">
        <v>431</v>
      </c>
      <c r="B26" s="930">
        <v>4270</v>
      </c>
      <c r="C26" s="931" t="s">
        <v>682</v>
      </c>
      <c r="D26" s="927">
        <v>3082200</v>
      </c>
      <c r="E26" s="927">
        <v>889721.81</v>
      </c>
      <c r="F26" s="928">
        <f t="shared" si="1"/>
        <v>28.866452858347934</v>
      </c>
    </row>
    <row r="27" spans="1:6" s="65" customFormat="1" ht="18.75" customHeight="1">
      <c r="A27" s="924" t="s">
        <v>528</v>
      </c>
      <c r="B27" s="930">
        <v>4280</v>
      </c>
      <c r="C27" s="931" t="s">
        <v>720</v>
      </c>
      <c r="D27" s="927">
        <v>2000</v>
      </c>
      <c r="E27" s="927">
        <v>766.8</v>
      </c>
      <c r="F27" s="928">
        <f t="shared" si="1"/>
        <v>38.339999999999996</v>
      </c>
    </row>
    <row r="28" spans="1:6" s="65" customFormat="1" ht="18.75" customHeight="1">
      <c r="A28" s="924" t="s">
        <v>432</v>
      </c>
      <c r="B28" s="930">
        <v>4300</v>
      </c>
      <c r="C28" s="931" t="s">
        <v>686</v>
      </c>
      <c r="D28" s="927">
        <v>2504400</v>
      </c>
      <c r="E28" s="927">
        <v>1263578.38</v>
      </c>
      <c r="F28" s="928">
        <f t="shared" si="1"/>
        <v>50.454335569397855</v>
      </c>
    </row>
    <row r="29" spans="1:6" s="65" customFormat="1" ht="18.75" customHeight="1">
      <c r="A29" s="924" t="s">
        <v>433</v>
      </c>
      <c r="B29" s="930">
        <v>4350</v>
      </c>
      <c r="C29" s="1196" t="s">
        <v>687</v>
      </c>
      <c r="D29" s="927">
        <v>1700</v>
      </c>
      <c r="E29" s="927">
        <v>420</v>
      </c>
      <c r="F29" s="928">
        <f t="shared" si="1"/>
        <v>24.705882352941178</v>
      </c>
    </row>
    <row r="30" spans="1:6" s="65" customFormat="1" ht="28.5" customHeight="1">
      <c r="A30" s="924" t="s">
        <v>529</v>
      </c>
      <c r="B30" s="930">
        <v>4360</v>
      </c>
      <c r="C30" s="1196" t="s">
        <v>688</v>
      </c>
      <c r="D30" s="927">
        <v>10500</v>
      </c>
      <c r="E30" s="927">
        <v>4368.48</v>
      </c>
      <c r="F30" s="928">
        <f t="shared" si="1"/>
        <v>41.604571428571425</v>
      </c>
    </row>
    <row r="31" spans="1:6" s="65" customFormat="1" ht="28.5" customHeight="1">
      <c r="A31" s="924" t="s">
        <v>434</v>
      </c>
      <c r="B31" s="930">
        <v>4370</v>
      </c>
      <c r="C31" s="1196" t="s">
        <v>689</v>
      </c>
      <c r="D31" s="927">
        <v>13000</v>
      </c>
      <c r="E31" s="927">
        <v>3298.08</v>
      </c>
      <c r="F31" s="928">
        <f t="shared" si="1"/>
        <v>25.369846153846154</v>
      </c>
    </row>
    <row r="32" spans="1:6" s="65" customFormat="1" ht="19.5" customHeight="1">
      <c r="A32" s="924" t="s">
        <v>435</v>
      </c>
      <c r="B32" s="930">
        <v>4390</v>
      </c>
      <c r="C32" s="1196" t="s">
        <v>723</v>
      </c>
      <c r="D32" s="927">
        <v>2000</v>
      </c>
      <c r="E32" s="927">
        <v>0</v>
      </c>
      <c r="F32" s="928">
        <f t="shared" si="1"/>
        <v>0</v>
      </c>
    </row>
    <row r="33" spans="1:6" s="65" customFormat="1" ht="30" customHeight="1">
      <c r="A33" s="924" t="s">
        <v>436</v>
      </c>
      <c r="B33" s="930">
        <v>4400</v>
      </c>
      <c r="C33" s="1196" t="s">
        <v>690</v>
      </c>
      <c r="D33" s="927">
        <v>6500</v>
      </c>
      <c r="E33" s="927">
        <v>2899.26</v>
      </c>
      <c r="F33" s="928">
        <f t="shared" si="1"/>
        <v>44.604000000000006</v>
      </c>
    </row>
    <row r="34" spans="1:6" s="65" customFormat="1" ht="18.75" customHeight="1">
      <c r="A34" s="924" t="s">
        <v>437</v>
      </c>
      <c r="B34" s="930">
        <v>4410</v>
      </c>
      <c r="C34" s="931" t="s">
        <v>691</v>
      </c>
      <c r="D34" s="927">
        <v>8000</v>
      </c>
      <c r="E34" s="927">
        <v>3436.23</v>
      </c>
      <c r="F34" s="928">
        <f t="shared" si="1"/>
        <v>42.952875</v>
      </c>
    </row>
    <row r="35" spans="1:6" s="65" customFormat="1" ht="18.75" customHeight="1">
      <c r="A35" s="924" t="s">
        <v>440</v>
      </c>
      <c r="B35" s="930">
        <v>4430</v>
      </c>
      <c r="C35" s="931" t="s">
        <v>692</v>
      </c>
      <c r="D35" s="927">
        <v>15000</v>
      </c>
      <c r="E35" s="927">
        <v>13169.61</v>
      </c>
      <c r="F35" s="928">
        <f t="shared" si="1"/>
        <v>87.79740000000001</v>
      </c>
    </row>
    <row r="36" spans="1:6" s="65" customFormat="1" ht="18.75" customHeight="1" thickBot="1">
      <c r="A36" s="833" t="s">
        <v>441</v>
      </c>
      <c r="B36" s="1197">
        <v>4440</v>
      </c>
      <c r="C36" s="1198" t="s">
        <v>693</v>
      </c>
      <c r="D36" s="1199">
        <v>45000</v>
      </c>
      <c r="E36" s="1199">
        <v>21985.5</v>
      </c>
      <c r="F36" s="1018">
        <f t="shared" si="1"/>
        <v>48.85666666666666</v>
      </c>
    </row>
    <row r="37" spans="1:6" s="485" customFormat="1" ht="25.5" customHeight="1" thickBot="1">
      <c r="A37" s="484"/>
      <c r="B37" s="484"/>
      <c r="C37" s="870"/>
      <c r="D37" s="536"/>
      <c r="E37" s="536"/>
      <c r="F37" s="823"/>
    </row>
    <row r="38" spans="1:6" s="485" customFormat="1" ht="11.25" customHeight="1" thickBot="1">
      <c r="A38" s="1200">
        <v>1</v>
      </c>
      <c r="B38" s="1201">
        <v>2</v>
      </c>
      <c r="C38" s="1201">
        <v>3</v>
      </c>
      <c r="D38" s="1202">
        <v>4</v>
      </c>
      <c r="E38" s="1202">
        <v>5</v>
      </c>
      <c r="F38" s="1203">
        <v>6</v>
      </c>
    </row>
    <row r="39" spans="1:6" s="65" customFormat="1" ht="18.75" customHeight="1">
      <c r="A39" s="924" t="s">
        <v>442</v>
      </c>
      <c r="B39" s="930">
        <v>4480</v>
      </c>
      <c r="C39" s="931" t="s">
        <v>273</v>
      </c>
      <c r="D39" s="927">
        <v>548000</v>
      </c>
      <c r="E39" s="927">
        <v>276350</v>
      </c>
      <c r="F39" s="928">
        <f t="shared" si="1"/>
        <v>50.42883211678833</v>
      </c>
    </row>
    <row r="40" spans="1:6" s="65" customFormat="1" ht="28.5" customHeight="1">
      <c r="A40" s="924" t="s">
        <v>443</v>
      </c>
      <c r="B40" s="930">
        <v>4500</v>
      </c>
      <c r="C40" s="931" t="s">
        <v>792</v>
      </c>
      <c r="D40" s="927">
        <v>1926</v>
      </c>
      <c r="E40" s="927">
        <v>1925.7</v>
      </c>
      <c r="F40" s="928">
        <f t="shared" si="1"/>
        <v>99.98442367601247</v>
      </c>
    </row>
    <row r="41" spans="1:6" s="65" customFormat="1" ht="23.25" customHeight="1">
      <c r="A41" s="924" t="s">
        <v>285</v>
      </c>
      <c r="B41" s="930">
        <v>4510</v>
      </c>
      <c r="C41" s="931" t="s">
        <v>146</v>
      </c>
      <c r="D41" s="927">
        <v>80000</v>
      </c>
      <c r="E41" s="927">
        <v>7903.97</v>
      </c>
      <c r="F41" s="928">
        <f t="shared" si="1"/>
        <v>9.8799625</v>
      </c>
    </row>
    <row r="42" spans="1:6" s="65" customFormat="1" ht="27" customHeight="1">
      <c r="A42" s="924" t="s">
        <v>286</v>
      </c>
      <c r="B42" s="930">
        <v>4570</v>
      </c>
      <c r="C42" s="931" t="s">
        <v>694</v>
      </c>
      <c r="D42" s="927">
        <v>1000</v>
      </c>
      <c r="E42" s="927">
        <v>0</v>
      </c>
      <c r="F42" s="928">
        <f t="shared" si="1"/>
        <v>0</v>
      </c>
    </row>
    <row r="43" spans="1:6" s="65" customFormat="1" ht="18" customHeight="1">
      <c r="A43" s="924" t="s">
        <v>287</v>
      </c>
      <c r="B43" s="930">
        <v>4580</v>
      </c>
      <c r="C43" s="931" t="s">
        <v>263</v>
      </c>
      <c r="D43" s="927">
        <v>60000</v>
      </c>
      <c r="E43" s="927">
        <v>0.76</v>
      </c>
      <c r="F43" s="928">
        <f aca="true" t="shared" si="2" ref="F43:F51">E43/D43*100</f>
        <v>0.0012666666666666666</v>
      </c>
    </row>
    <row r="44" spans="1:6" s="65" customFormat="1" ht="18" customHeight="1">
      <c r="A44" s="924" t="s">
        <v>288</v>
      </c>
      <c r="B44" s="930">
        <v>4590</v>
      </c>
      <c r="C44" s="931" t="s">
        <v>695</v>
      </c>
      <c r="D44" s="927">
        <v>58000</v>
      </c>
      <c r="E44" s="927">
        <v>0</v>
      </c>
      <c r="F44" s="928">
        <f t="shared" si="2"/>
        <v>0</v>
      </c>
    </row>
    <row r="45" spans="1:6" s="65" customFormat="1" ht="19.5" customHeight="1">
      <c r="A45" s="924" t="s">
        <v>962</v>
      </c>
      <c r="B45" s="930">
        <v>4610</v>
      </c>
      <c r="C45" s="931" t="s">
        <v>696</v>
      </c>
      <c r="D45" s="927">
        <v>50000</v>
      </c>
      <c r="E45" s="927">
        <v>22241.46</v>
      </c>
      <c r="F45" s="928">
        <f t="shared" si="2"/>
        <v>44.48292</v>
      </c>
    </row>
    <row r="46" spans="1:6" s="65" customFormat="1" ht="26.25" customHeight="1">
      <c r="A46" s="924" t="s">
        <v>963</v>
      </c>
      <c r="B46" s="930">
        <v>4700</v>
      </c>
      <c r="C46" s="931" t="s">
        <v>697</v>
      </c>
      <c r="D46" s="927">
        <v>6000</v>
      </c>
      <c r="E46" s="927">
        <v>3051</v>
      </c>
      <c r="F46" s="928">
        <f t="shared" si="2"/>
        <v>50.849999999999994</v>
      </c>
    </row>
    <row r="47" spans="1:6" s="65" customFormat="1" ht="28.5" customHeight="1">
      <c r="A47" s="924" t="s">
        <v>964</v>
      </c>
      <c r="B47" s="930">
        <v>4740</v>
      </c>
      <c r="C47" s="931" t="s">
        <v>698</v>
      </c>
      <c r="D47" s="927">
        <v>7000</v>
      </c>
      <c r="E47" s="927">
        <v>4584.86</v>
      </c>
      <c r="F47" s="928">
        <f t="shared" si="2"/>
        <v>65.498</v>
      </c>
    </row>
    <row r="48" spans="1:6" s="65" customFormat="1" ht="19.5" customHeight="1">
      <c r="A48" s="924" t="s">
        <v>1215</v>
      </c>
      <c r="B48" s="930">
        <v>4750</v>
      </c>
      <c r="C48" s="931" t="s">
        <v>699</v>
      </c>
      <c r="D48" s="927">
        <v>15000</v>
      </c>
      <c r="E48" s="927">
        <v>7343.62</v>
      </c>
      <c r="F48" s="928">
        <f t="shared" si="2"/>
        <v>48.95746666666667</v>
      </c>
    </row>
    <row r="49" spans="1:6" s="65" customFormat="1" ht="19.5" customHeight="1">
      <c r="A49" s="924" t="s">
        <v>1216</v>
      </c>
      <c r="B49" s="930">
        <v>6070</v>
      </c>
      <c r="C49" s="931" t="s">
        <v>700</v>
      </c>
      <c r="D49" s="927">
        <v>185800</v>
      </c>
      <c r="E49" s="927">
        <v>62804.39</v>
      </c>
      <c r="F49" s="928">
        <f t="shared" si="2"/>
        <v>33.802147470398275</v>
      </c>
    </row>
    <row r="50" spans="1:6" s="65" customFormat="1" ht="19.5" customHeight="1">
      <c r="A50" s="924" t="s">
        <v>986</v>
      </c>
      <c r="B50" s="930">
        <v>6080</v>
      </c>
      <c r="C50" s="931" t="s">
        <v>701</v>
      </c>
      <c r="D50" s="927">
        <v>80500</v>
      </c>
      <c r="E50" s="927">
        <v>13413.22</v>
      </c>
      <c r="F50" s="928">
        <f t="shared" si="2"/>
        <v>16.6623850931677</v>
      </c>
    </row>
    <row r="51" spans="1:6" s="65" customFormat="1" ht="18" customHeight="1">
      <c r="A51" s="924"/>
      <c r="B51" s="930"/>
      <c r="C51" s="931" t="s">
        <v>702</v>
      </c>
      <c r="D51" s="927">
        <v>500000</v>
      </c>
      <c r="E51" s="927">
        <v>277094.42</v>
      </c>
      <c r="F51" s="928">
        <f t="shared" si="2"/>
        <v>55.418884</v>
      </c>
    </row>
    <row r="52" spans="1:6" s="65" customFormat="1" ht="19.5" customHeight="1">
      <c r="A52" s="69"/>
      <c r="B52" s="822"/>
      <c r="C52" s="70" t="s">
        <v>703</v>
      </c>
      <c r="D52" s="817">
        <v>-500000</v>
      </c>
      <c r="E52" s="817">
        <v>51951.59</v>
      </c>
      <c r="F52" s="819"/>
    </row>
    <row r="53" spans="1:6" s="531" customFormat="1" ht="19.5" customHeight="1">
      <c r="A53" s="1204" t="s">
        <v>704</v>
      </c>
      <c r="B53" s="1205"/>
      <c r="C53" s="1206" t="s">
        <v>313</v>
      </c>
      <c r="D53" s="1207">
        <v>300000</v>
      </c>
      <c r="E53" s="1207">
        <v>131230</v>
      </c>
      <c r="F53" s="1208" t="s">
        <v>346</v>
      </c>
    </row>
    <row r="54" spans="1:6" s="531" customFormat="1" ht="25.5" customHeight="1" thickBot="1">
      <c r="A54" s="977" t="s">
        <v>727</v>
      </c>
      <c r="B54" s="978"/>
      <c r="C54" s="979" t="s">
        <v>998</v>
      </c>
      <c r="D54" s="980">
        <f>D8+D9-D16-D53</f>
        <v>266000</v>
      </c>
      <c r="E54" s="980">
        <f>E8+E9-E16-E53</f>
        <v>1047495.1500000004</v>
      </c>
      <c r="F54" s="981" t="s">
        <v>346</v>
      </c>
    </row>
    <row r="55" spans="1:6" s="65" customFormat="1" ht="18" customHeight="1" thickBot="1">
      <c r="A55" s="1676" t="s">
        <v>734</v>
      </c>
      <c r="B55" s="1677"/>
      <c r="C55" s="1677"/>
      <c r="D55" s="984">
        <f>SUM(D16,D53,D54)</f>
        <v>10974526</v>
      </c>
      <c r="E55" s="984">
        <f>SUM(E16,E53,E54)</f>
        <v>5693796.0200000005</v>
      </c>
      <c r="F55" s="985">
        <f>E55/D55*100</f>
        <v>51.88193111939413</v>
      </c>
    </row>
    <row r="56" spans="3:5" s="65" customFormat="1" ht="12.75">
      <c r="C56" s="66" t="s">
        <v>194</v>
      </c>
      <c r="D56" s="532">
        <f>D15-D55</f>
        <v>0</v>
      </c>
      <c r="E56" s="532">
        <f>E15-E55</f>
        <v>0</v>
      </c>
    </row>
    <row r="57" s="65" customFormat="1" ht="12.75"/>
    <row r="58" s="65" customFormat="1" ht="12.75"/>
    <row r="59" s="65" customFormat="1" ht="12.75"/>
    <row r="60" s="65" customFormat="1" ht="12.75"/>
    <row r="61" s="65" customFormat="1" ht="12.75"/>
  </sheetData>
  <sheetProtection password="CF53" sheet="1" objects="1" scenarios="1" selectLockedCells="1" selectUnlockedCells="1"/>
  <mergeCells count="5">
    <mergeCell ref="A15:C15"/>
    <mergeCell ref="A55:C55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17">
    <tabColor indexed="42"/>
  </sheetPr>
  <dimension ref="A1:F45"/>
  <sheetViews>
    <sheetView view="pageBreakPreview" zoomScaleSheetLayoutView="100" workbookViewId="0" topLeftCell="A24">
      <selection activeCell="H33" sqref="H33"/>
    </sheetView>
  </sheetViews>
  <sheetFormatPr defaultColWidth="9.00390625" defaultRowHeight="12.75"/>
  <cols>
    <col min="1" max="1" width="3.625" style="65" customWidth="1"/>
    <col min="2" max="2" width="4.375" style="65" customWidth="1"/>
    <col min="3" max="3" width="49.75390625" style="65" customWidth="1"/>
    <col min="4" max="4" width="11.875" style="65" customWidth="1"/>
    <col min="5" max="5" width="11.25390625" style="65" bestFit="1" customWidth="1"/>
    <col min="6" max="6" width="5.125" style="65" customWidth="1"/>
    <col min="7" max="16384" width="9.125" style="65" customWidth="1"/>
  </cols>
  <sheetData>
    <row r="1" spans="5:6" ht="27" customHeight="1">
      <c r="E1" s="1580" t="s">
        <v>781</v>
      </c>
      <c r="F1" s="1580"/>
    </row>
    <row r="2" spans="1:6" ht="31.5" customHeight="1">
      <c r="A2" s="1483" t="s">
        <v>706</v>
      </c>
      <c r="B2" s="1483"/>
      <c r="C2" s="1483"/>
      <c r="D2" s="1483"/>
      <c r="E2" s="1483"/>
      <c r="F2" s="1483"/>
    </row>
    <row r="3" spans="1:6" ht="19.5" customHeight="1" thickBot="1">
      <c r="A3" s="1678" t="s">
        <v>859</v>
      </c>
      <c r="B3" s="1678"/>
      <c r="C3" s="1678"/>
      <c r="F3" s="66" t="s">
        <v>67</v>
      </c>
    </row>
    <row r="4" spans="1:6" s="31" customFormat="1" ht="12.75">
      <c r="A4" s="1136" t="s">
        <v>338</v>
      </c>
      <c r="B4" s="1137" t="s">
        <v>254</v>
      </c>
      <c r="C4" s="1137" t="s">
        <v>69</v>
      </c>
      <c r="D4" s="1138" t="s">
        <v>70</v>
      </c>
      <c r="E4" s="1138" t="s">
        <v>71</v>
      </c>
      <c r="F4" s="1139" t="s">
        <v>653</v>
      </c>
    </row>
    <row r="5" spans="1:6" s="923" customFormat="1" ht="9.75" customHeight="1" thickBot="1">
      <c r="A5" s="1140">
        <v>1</v>
      </c>
      <c r="B5" s="1141">
        <v>2</v>
      </c>
      <c r="C5" s="1141">
        <v>3</v>
      </c>
      <c r="D5" s="1142">
        <v>4</v>
      </c>
      <c r="E5" s="1142">
        <v>5</v>
      </c>
      <c r="F5" s="1143">
        <v>6</v>
      </c>
    </row>
    <row r="6" spans="1:6" s="531" customFormat="1" ht="24" customHeight="1">
      <c r="A6" s="968" t="s">
        <v>654</v>
      </c>
      <c r="B6" s="969"/>
      <c r="C6" s="970" t="s">
        <v>997</v>
      </c>
      <c r="D6" s="971">
        <v>58000</v>
      </c>
      <c r="E6" s="971">
        <v>233896.69</v>
      </c>
      <c r="F6" s="972" t="s">
        <v>346</v>
      </c>
    </row>
    <row r="7" spans="1:6" s="531" customFormat="1" ht="19.5" customHeight="1">
      <c r="A7" s="973" t="s">
        <v>659</v>
      </c>
      <c r="B7" s="974"/>
      <c r="C7" s="974" t="s">
        <v>329</v>
      </c>
      <c r="D7" s="975">
        <f>SUM(D8:D13)</f>
        <v>7054160.04</v>
      </c>
      <c r="E7" s="975">
        <f>SUM(E8:E13)</f>
        <v>3747146.87</v>
      </c>
      <c r="F7" s="976">
        <f aca="true" t="shared" si="0" ref="F7:F12">E7/D7*100</f>
        <v>53.119674755777154</v>
      </c>
    </row>
    <row r="8" spans="1:6" ht="54" customHeight="1">
      <c r="A8" s="924" t="s">
        <v>341</v>
      </c>
      <c r="B8" s="925" t="s">
        <v>575</v>
      </c>
      <c r="C8" s="931" t="s">
        <v>629</v>
      </c>
      <c r="D8" s="927">
        <v>11000</v>
      </c>
      <c r="E8" s="927">
        <v>8722</v>
      </c>
      <c r="F8" s="928">
        <f t="shared" si="0"/>
        <v>79.2909090909091</v>
      </c>
    </row>
    <row r="9" spans="1:6" ht="16.5" customHeight="1">
      <c r="A9" s="924" t="s">
        <v>342</v>
      </c>
      <c r="B9" s="925" t="s">
        <v>570</v>
      </c>
      <c r="C9" s="926" t="s">
        <v>660</v>
      </c>
      <c r="D9" s="927">
        <v>1887533</v>
      </c>
      <c r="E9" s="927">
        <v>1114852.48</v>
      </c>
      <c r="F9" s="928">
        <f t="shared" si="0"/>
        <v>59.063999410871226</v>
      </c>
    </row>
    <row r="10" spans="1:6" ht="16.5" customHeight="1">
      <c r="A10" s="924" t="s">
        <v>419</v>
      </c>
      <c r="B10" s="925" t="s">
        <v>571</v>
      </c>
      <c r="C10" s="926" t="s">
        <v>263</v>
      </c>
      <c r="D10" s="927">
        <v>2200</v>
      </c>
      <c r="E10" s="927">
        <v>2123.68</v>
      </c>
      <c r="F10" s="928">
        <f t="shared" si="0"/>
        <v>96.53090909090908</v>
      </c>
    </row>
    <row r="11" spans="1:6" ht="16.5" customHeight="1">
      <c r="A11" s="924" t="s">
        <v>426</v>
      </c>
      <c r="B11" s="925" t="s">
        <v>572</v>
      </c>
      <c r="C11" s="926" t="s">
        <v>262</v>
      </c>
      <c r="D11" s="927">
        <v>430</v>
      </c>
      <c r="E11" s="927">
        <v>3632.54</v>
      </c>
      <c r="F11" s="928">
        <f t="shared" si="0"/>
        <v>844.7767441860466</v>
      </c>
    </row>
    <row r="12" spans="1:6" ht="26.25" customHeight="1">
      <c r="A12" s="924" t="s">
        <v>427</v>
      </c>
      <c r="B12" s="925" t="s">
        <v>708</v>
      </c>
      <c r="C12" s="931" t="s">
        <v>717</v>
      </c>
      <c r="D12" s="927">
        <v>5095323</v>
      </c>
      <c r="E12" s="927">
        <v>2589202</v>
      </c>
      <c r="F12" s="928">
        <f t="shared" si="0"/>
        <v>50.81526725587368</v>
      </c>
    </row>
    <row r="13" spans="1:6" ht="16.5" customHeight="1" thickBot="1">
      <c r="A13" s="924"/>
      <c r="B13" s="925"/>
      <c r="C13" s="926" t="s">
        <v>664</v>
      </c>
      <c r="D13" s="927">
        <v>57674.04</v>
      </c>
      <c r="E13" s="927">
        <v>28614.17</v>
      </c>
      <c r="F13" s="928">
        <f aca="true" t="shared" si="1" ref="F13:F18">E13/D13*100</f>
        <v>49.61360431833802</v>
      </c>
    </row>
    <row r="14" spans="1:6" s="531" customFormat="1" ht="18.75" customHeight="1" thickBot="1">
      <c r="A14" s="1676" t="s">
        <v>665</v>
      </c>
      <c r="B14" s="1677"/>
      <c r="C14" s="1677"/>
      <c r="D14" s="984">
        <f>D7+D6</f>
        <v>7112160.04</v>
      </c>
      <c r="E14" s="984">
        <f>E7+E6</f>
        <v>3981043.56</v>
      </c>
      <c r="F14" s="985">
        <f t="shared" si="1"/>
        <v>55.97516841029916</v>
      </c>
    </row>
    <row r="15" spans="1:6" s="531" customFormat="1" ht="18.75" customHeight="1">
      <c r="A15" s="973" t="s">
        <v>666</v>
      </c>
      <c r="B15" s="974"/>
      <c r="C15" s="974" t="s">
        <v>667</v>
      </c>
      <c r="D15" s="975">
        <f>SUM(D16,D17,D18,D19,D20,D21,D22,D23,D24,D25,D26,D27,D28,D29,D30,D31,D32,D33,D34,D37,D38,D39,D40,D41,D42)</f>
        <v>7052160.04</v>
      </c>
      <c r="E15" s="975">
        <f>SUM(E16,E17,E18,E19,E20,E21,E22,E23,E24,E25,E26,E27,E28,E29,E30,E31,E32,E33,E34,E37,E38,E39,E40,E41,E42)</f>
        <v>3365126.84</v>
      </c>
      <c r="F15" s="976">
        <f t="shared" si="1"/>
        <v>47.717675448556605</v>
      </c>
    </row>
    <row r="16" spans="1:6" ht="16.5" customHeight="1">
      <c r="A16" s="924" t="s">
        <v>341</v>
      </c>
      <c r="B16" s="930">
        <v>3020</v>
      </c>
      <c r="C16" s="926" t="s">
        <v>668</v>
      </c>
      <c r="D16" s="927">
        <v>9803</v>
      </c>
      <c r="E16" s="927">
        <v>3792.51</v>
      </c>
      <c r="F16" s="928">
        <f t="shared" si="1"/>
        <v>38.687238600428444</v>
      </c>
    </row>
    <row r="17" spans="1:6" ht="16.5" customHeight="1">
      <c r="A17" s="924" t="s">
        <v>342</v>
      </c>
      <c r="B17" s="930">
        <v>4010</v>
      </c>
      <c r="C17" s="926" t="s">
        <v>669</v>
      </c>
      <c r="D17" s="927">
        <v>3934126</v>
      </c>
      <c r="E17" s="927">
        <v>2023877.21</v>
      </c>
      <c r="F17" s="928">
        <f t="shared" si="1"/>
        <v>51.444138037266725</v>
      </c>
    </row>
    <row r="18" spans="1:6" ht="16.5" customHeight="1">
      <c r="A18" s="924" t="s">
        <v>419</v>
      </c>
      <c r="B18" s="930">
        <v>4040</v>
      </c>
      <c r="C18" s="926" t="s">
        <v>670</v>
      </c>
      <c r="D18" s="927">
        <v>367411</v>
      </c>
      <c r="E18" s="927">
        <v>0</v>
      </c>
      <c r="F18" s="928">
        <f t="shared" si="1"/>
        <v>0</v>
      </c>
    </row>
    <row r="19" spans="1:6" ht="16.5" customHeight="1">
      <c r="A19" s="924" t="s">
        <v>426</v>
      </c>
      <c r="B19" s="930">
        <v>4110</v>
      </c>
      <c r="C19" s="926" t="s">
        <v>677</v>
      </c>
      <c r="D19" s="927">
        <v>644281</v>
      </c>
      <c r="E19" s="927">
        <v>294506.93</v>
      </c>
      <c r="F19" s="928">
        <f aca="true" t="shared" si="2" ref="F19:F41">E19/D19*100</f>
        <v>45.71094444815228</v>
      </c>
    </row>
    <row r="20" spans="1:6" ht="16.5" customHeight="1">
      <c r="A20" s="924" t="s">
        <v>427</v>
      </c>
      <c r="B20" s="930">
        <v>4120</v>
      </c>
      <c r="C20" s="926" t="s">
        <v>678</v>
      </c>
      <c r="D20" s="927">
        <v>92861</v>
      </c>
      <c r="E20" s="927">
        <v>47407.56</v>
      </c>
      <c r="F20" s="928">
        <f t="shared" si="2"/>
        <v>51.05217475581784</v>
      </c>
    </row>
    <row r="21" spans="1:6" ht="29.25" customHeight="1">
      <c r="A21" s="924" t="s">
        <v>428</v>
      </c>
      <c r="B21" s="930">
        <v>4140</v>
      </c>
      <c r="C21" s="931" t="s">
        <v>722</v>
      </c>
      <c r="D21" s="927">
        <v>14100</v>
      </c>
      <c r="E21" s="927">
        <v>5521</v>
      </c>
      <c r="F21" s="928">
        <f t="shared" si="2"/>
        <v>39.156028368794324</v>
      </c>
    </row>
    <row r="22" spans="1:6" ht="16.5" customHeight="1">
      <c r="A22" s="924" t="s">
        <v>526</v>
      </c>
      <c r="B22" s="930">
        <v>4210</v>
      </c>
      <c r="C22" s="926" t="s">
        <v>680</v>
      </c>
      <c r="D22" s="927">
        <v>195417</v>
      </c>
      <c r="E22" s="927">
        <v>99825.21</v>
      </c>
      <c r="F22" s="928">
        <f t="shared" si="2"/>
        <v>51.08317597752499</v>
      </c>
    </row>
    <row r="23" spans="1:6" ht="16.5" customHeight="1">
      <c r="A23" s="924" t="s">
        <v>527</v>
      </c>
      <c r="B23" s="930">
        <v>4220</v>
      </c>
      <c r="C23" s="926" t="s">
        <v>718</v>
      </c>
      <c r="D23" s="927">
        <v>457958</v>
      </c>
      <c r="E23" s="927">
        <v>324451.56</v>
      </c>
      <c r="F23" s="928">
        <f t="shared" si="2"/>
        <v>70.84744889269322</v>
      </c>
    </row>
    <row r="24" spans="1:6" ht="16.5" customHeight="1">
      <c r="A24" s="924" t="s">
        <v>429</v>
      </c>
      <c r="B24" s="930">
        <v>4240</v>
      </c>
      <c r="C24" s="926" t="s">
        <v>719</v>
      </c>
      <c r="D24" s="927">
        <v>31000</v>
      </c>
      <c r="E24" s="927">
        <v>8737.11</v>
      </c>
      <c r="F24" s="928">
        <f t="shared" si="2"/>
        <v>28.184225806451614</v>
      </c>
    </row>
    <row r="25" spans="1:6" ht="16.5" customHeight="1">
      <c r="A25" s="924" t="s">
        <v>431</v>
      </c>
      <c r="B25" s="930">
        <v>4260</v>
      </c>
      <c r="C25" s="926" t="s">
        <v>681</v>
      </c>
      <c r="D25" s="927">
        <v>351360</v>
      </c>
      <c r="E25" s="927">
        <v>207972.23</v>
      </c>
      <c r="F25" s="928">
        <f t="shared" si="2"/>
        <v>59.19063923041895</v>
      </c>
    </row>
    <row r="26" spans="1:6" ht="16.5" customHeight="1">
      <c r="A26" s="924" t="s">
        <v>528</v>
      </c>
      <c r="B26" s="930">
        <v>4270</v>
      </c>
      <c r="C26" s="926" t="s">
        <v>682</v>
      </c>
      <c r="D26" s="927">
        <v>316000</v>
      </c>
      <c r="E26" s="927">
        <v>47180.84</v>
      </c>
      <c r="F26" s="928">
        <f t="shared" si="2"/>
        <v>14.930645569620252</v>
      </c>
    </row>
    <row r="27" spans="1:6" ht="16.5" customHeight="1">
      <c r="A27" s="924" t="s">
        <v>432</v>
      </c>
      <c r="B27" s="930">
        <v>4280</v>
      </c>
      <c r="C27" s="926" t="s">
        <v>720</v>
      </c>
      <c r="D27" s="927">
        <v>6000</v>
      </c>
      <c r="E27" s="927">
        <v>2006</v>
      </c>
      <c r="F27" s="928">
        <f t="shared" si="2"/>
        <v>33.43333333333333</v>
      </c>
    </row>
    <row r="28" spans="1:6" ht="16.5" customHeight="1">
      <c r="A28" s="924" t="s">
        <v>433</v>
      </c>
      <c r="B28" s="930">
        <v>4300</v>
      </c>
      <c r="C28" s="926" t="s">
        <v>686</v>
      </c>
      <c r="D28" s="927">
        <v>172874</v>
      </c>
      <c r="E28" s="927">
        <v>102671.93</v>
      </c>
      <c r="F28" s="928">
        <f t="shared" si="2"/>
        <v>59.39119242916806</v>
      </c>
    </row>
    <row r="29" spans="1:6" ht="16.5" customHeight="1">
      <c r="A29" s="924" t="s">
        <v>529</v>
      </c>
      <c r="B29" s="930">
        <v>4350</v>
      </c>
      <c r="C29" s="926" t="s">
        <v>687</v>
      </c>
      <c r="D29" s="927">
        <v>5400</v>
      </c>
      <c r="E29" s="927">
        <v>2147.55</v>
      </c>
      <c r="F29" s="928">
        <f t="shared" si="2"/>
        <v>39.769444444444446</v>
      </c>
    </row>
    <row r="30" spans="1:6" ht="27.75" customHeight="1">
      <c r="A30" s="924" t="s">
        <v>434</v>
      </c>
      <c r="B30" s="930">
        <v>4370</v>
      </c>
      <c r="C30" s="931" t="s">
        <v>689</v>
      </c>
      <c r="D30" s="927">
        <v>17700</v>
      </c>
      <c r="E30" s="927">
        <v>7747.3</v>
      </c>
      <c r="F30" s="928">
        <f t="shared" si="2"/>
        <v>43.77005649717514</v>
      </c>
    </row>
    <row r="31" spans="1:6" ht="16.5" customHeight="1">
      <c r="A31" s="924" t="s">
        <v>435</v>
      </c>
      <c r="B31" s="930">
        <v>4390</v>
      </c>
      <c r="C31" s="926" t="s">
        <v>723</v>
      </c>
      <c r="D31" s="927">
        <v>4000</v>
      </c>
      <c r="E31" s="927">
        <v>2773.98</v>
      </c>
      <c r="F31" s="928">
        <f t="shared" si="2"/>
        <v>69.34949999999999</v>
      </c>
    </row>
    <row r="32" spans="1:6" ht="16.5" customHeight="1">
      <c r="A32" s="924" t="s">
        <v>436</v>
      </c>
      <c r="B32" s="930">
        <v>4410</v>
      </c>
      <c r="C32" s="926" t="s">
        <v>691</v>
      </c>
      <c r="D32" s="927">
        <v>1600</v>
      </c>
      <c r="E32" s="927">
        <v>0</v>
      </c>
      <c r="F32" s="928">
        <f t="shared" si="2"/>
        <v>0</v>
      </c>
    </row>
    <row r="33" spans="1:6" ht="16.5" customHeight="1">
      <c r="A33" s="924" t="s">
        <v>437</v>
      </c>
      <c r="B33" s="930">
        <v>4430</v>
      </c>
      <c r="C33" s="926" t="s">
        <v>692</v>
      </c>
      <c r="D33" s="927">
        <v>13400</v>
      </c>
      <c r="E33" s="927">
        <v>11158.16</v>
      </c>
      <c r="F33" s="928">
        <f t="shared" si="2"/>
        <v>83.26985074626866</v>
      </c>
    </row>
    <row r="34" spans="1:6" ht="16.5" customHeight="1" thickBot="1">
      <c r="A34" s="833" t="s">
        <v>440</v>
      </c>
      <c r="B34" s="1197">
        <v>4440</v>
      </c>
      <c r="C34" s="1457" t="s">
        <v>693</v>
      </c>
      <c r="D34" s="1199">
        <v>257195</v>
      </c>
      <c r="E34" s="1199">
        <v>134778</v>
      </c>
      <c r="F34" s="1018">
        <f t="shared" si="2"/>
        <v>52.403040494566376</v>
      </c>
    </row>
    <row r="35" spans="1:6" s="485" customFormat="1" ht="33.75" customHeight="1" thickBot="1">
      <c r="A35" s="484"/>
      <c r="B35" s="484"/>
      <c r="D35" s="536"/>
      <c r="E35" s="536"/>
      <c r="F35" s="823"/>
    </row>
    <row r="36" spans="1:6" s="923" customFormat="1" ht="13.5" customHeight="1" thickBot="1">
      <c r="A36" s="1200">
        <v>1</v>
      </c>
      <c r="B36" s="1201">
        <v>2</v>
      </c>
      <c r="C36" s="1201">
        <v>3</v>
      </c>
      <c r="D36" s="1202">
        <v>4</v>
      </c>
      <c r="E36" s="1202">
        <v>5</v>
      </c>
      <c r="F36" s="1203">
        <v>6</v>
      </c>
    </row>
    <row r="37" spans="1:6" ht="16.5" customHeight="1">
      <c r="A37" s="924" t="s">
        <v>441</v>
      </c>
      <c r="B37" s="930">
        <v>4480</v>
      </c>
      <c r="C37" s="926" t="s">
        <v>273</v>
      </c>
      <c r="D37" s="927">
        <v>100</v>
      </c>
      <c r="E37" s="927">
        <v>16</v>
      </c>
      <c r="F37" s="928">
        <f t="shared" si="2"/>
        <v>16</v>
      </c>
    </row>
    <row r="38" spans="1:6" ht="30" customHeight="1">
      <c r="A38" s="924" t="s">
        <v>442</v>
      </c>
      <c r="B38" s="930">
        <v>4700</v>
      </c>
      <c r="C38" s="931" t="s">
        <v>697</v>
      </c>
      <c r="D38" s="927">
        <v>4900</v>
      </c>
      <c r="E38" s="927">
        <v>3560</v>
      </c>
      <c r="F38" s="928">
        <f t="shared" si="2"/>
        <v>72.6530612244898</v>
      </c>
    </row>
    <row r="39" spans="1:6" ht="25.5" customHeight="1">
      <c r="A39" s="924" t="s">
        <v>443</v>
      </c>
      <c r="B39" s="930">
        <v>4740</v>
      </c>
      <c r="C39" s="931" t="s">
        <v>698</v>
      </c>
      <c r="D39" s="927">
        <v>6000</v>
      </c>
      <c r="E39" s="927">
        <v>1366.18</v>
      </c>
      <c r="F39" s="928">
        <f t="shared" si="2"/>
        <v>22.76966666666667</v>
      </c>
    </row>
    <row r="40" spans="1:6" ht="16.5" customHeight="1">
      <c r="A40" s="924" t="s">
        <v>285</v>
      </c>
      <c r="B40" s="930">
        <v>4750</v>
      </c>
      <c r="C40" s="926" t="s">
        <v>699</v>
      </c>
      <c r="D40" s="927">
        <v>10000</v>
      </c>
      <c r="E40" s="927">
        <v>5015.41</v>
      </c>
      <c r="F40" s="928">
        <f t="shared" si="2"/>
        <v>50.1541</v>
      </c>
    </row>
    <row r="41" spans="1:6" ht="16.5" customHeight="1">
      <c r="A41" s="924" t="s">
        <v>286</v>
      </c>
      <c r="B41" s="930">
        <v>6080</v>
      </c>
      <c r="C41" s="926" t="s">
        <v>701</v>
      </c>
      <c r="D41" s="927">
        <v>81000</v>
      </c>
      <c r="E41" s="927">
        <v>0</v>
      </c>
      <c r="F41" s="928">
        <f t="shared" si="2"/>
        <v>0</v>
      </c>
    </row>
    <row r="42" spans="1:6" ht="16.5" customHeight="1">
      <c r="A42" s="69"/>
      <c r="B42" s="71"/>
      <c r="C42" s="822" t="s">
        <v>702</v>
      </c>
      <c r="D42" s="817">
        <v>57674.04</v>
      </c>
      <c r="E42" s="817">
        <v>28614.17</v>
      </c>
      <c r="F42" s="819">
        <f>E42/D42*100</f>
        <v>49.61360431833802</v>
      </c>
    </row>
    <row r="43" spans="1:6" s="531" customFormat="1" ht="30" customHeight="1" thickBot="1">
      <c r="A43" s="977" t="s">
        <v>704</v>
      </c>
      <c r="B43" s="978"/>
      <c r="C43" s="979" t="s">
        <v>998</v>
      </c>
      <c r="D43" s="980">
        <f>D6+D7-D15</f>
        <v>60000</v>
      </c>
      <c r="E43" s="980">
        <f>E6+E7-E15</f>
        <v>615916.7200000002</v>
      </c>
      <c r="F43" s="981" t="s">
        <v>346</v>
      </c>
    </row>
    <row r="44" spans="1:6" ht="18.75" customHeight="1" thickBot="1">
      <c r="A44" s="1676" t="s">
        <v>705</v>
      </c>
      <c r="B44" s="1677"/>
      <c r="C44" s="1677"/>
      <c r="D44" s="984">
        <f>D43+D15</f>
        <v>7112160.04</v>
      </c>
      <c r="E44" s="984">
        <f>E43+E15</f>
        <v>3981043.56</v>
      </c>
      <c r="F44" s="985">
        <f>E44/D44*100</f>
        <v>55.97516841029916</v>
      </c>
    </row>
    <row r="45" spans="3:5" ht="12.75">
      <c r="C45" s="66" t="s">
        <v>194</v>
      </c>
      <c r="D45" s="532">
        <f>D14-D44</f>
        <v>0</v>
      </c>
      <c r="E45" s="532">
        <f>E14-E44</f>
        <v>0</v>
      </c>
    </row>
  </sheetData>
  <sheetProtection password="CF53" sheet="1" objects="1" scenarios="1" selectLockedCells="1" selectUnlockedCells="1"/>
  <mergeCells count="5">
    <mergeCell ref="A14:C14"/>
    <mergeCell ref="A44:C44"/>
    <mergeCell ref="A2:F2"/>
    <mergeCell ref="E1:F1"/>
    <mergeCell ref="A3:C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18">
    <tabColor indexed="42"/>
  </sheetPr>
  <dimension ref="A1:F52"/>
  <sheetViews>
    <sheetView view="pageBreakPreview" zoomScaleSheetLayoutView="100" workbookViewId="0" topLeftCell="A1">
      <selection activeCell="J38" sqref="I38:J38"/>
    </sheetView>
  </sheetViews>
  <sheetFormatPr defaultColWidth="9.00390625" defaultRowHeight="12.75"/>
  <cols>
    <col min="1" max="1" width="3.625" style="65" customWidth="1"/>
    <col min="2" max="2" width="4.375" style="65" customWidth="1"/>
    <col min="3" max="3" width="50.625" style="65" customWidth="1"/>
    <col min="4" max="4" width="11.25390625" style="65" customWidth="1"/>
    <col min="5" max="5" width="11.25390625" style="65" bestFit="1" customWidth="1"/>
    <col min="6" max="6" width="5.625" style="65" customWidth="1"/>
    <col min="7" max="16384" width="9.125" style="65" customWidth="1"/>
  </cols>
  <sheetData>
    <row r="1" spans="5:6" ht="12.75">
      <c r="E1" s="1580" t="s">
        <v>780</v>
      </c>
      <c r="F1" s="1580"/>
    </row>
    <row r="3" spans="1:6" ht="12" customHeight="1">
      <c r="A3" s="1483" t="s">
        <v>721</v>
      </c>
      <c r="B3" s="1483"/>
      <c r="C3" s="1483"/>
      <c r="D3" s="1483"/>
      <c r="E3" s="1483"/>
      <c r="F3" s="1483"/>
    </row>
    <row r="4" spans="1:6" ht="12" customHeight="1">
      <c r="A4" s="31"/>
      <c r="B4" s="31"/>
      <c r="C4" s="31"/>
      <c r="D4" s="31"/>
      <c r="E4" s="31"/>
      <c r="F4" s="31"/>
    </row>
    <row r="5" spans="1:6" ht="14.25" customHeight="1" thickBot="1">
      <c r="A5" s="1678" t="s">
        <v>860</v>
      </c>
      <c r="B5" s="1678"/>
      <c r="C5" s="1678"/>
      <c r="F5" s="66" t="s">
        <v>67</v>
      </c>
    </row>
    <row r="6" spans="1:6" s="31" customFormat="1" ht="22.5" customHeight="1">
      <c r="A6" s="1136" t="s">
        <v>338</v>
      </c>
      <c r="B6" s="1137" t="s">
        <v>254</v>
      </c>
      <c r="C6" s="1137" t="s">
        <v>69</v>
      </c>
      <c r="D6" s="1138" t="s">
        <v>70</v>
      </c>
      <c r="E6" s="1138" t="s">
        <v>71</v>
      </c>
      <c r="F6" s="1139" t="s">
        <v>653</v>
      </c>
    </row>
    <row r="7" spans="1:6" s="923" customFormat="1" ht="12" customHeight="1" thickBot="1">
      <c r="A7" s="1140">
        <v>1</v>
      </c>
      <c r="B7" s="1141">
        <v>2</v>
      </c>
      <c r="C7" s="1141">
        <v>3</v>
      </c>
      <c r="D7" s="1142">
        <v>4</v>
      </c>
      <c r="E7" s="1142">
        <v>5</v>
      </c>
      <c r="F7" s="1143">
        <v>6</v>
      </c>
    </row>
    <row r="8" spans="1:6" s="531" customFormat="1" ht="27" customHeight="1">
      <c r="A8" s="968" t="s">
        <v>654</v>
      </c>
      <c r="B8" s="969"/>
      <c r="C8" s="970" t="s">
        <v>997</v>
      </c>
      <c r="D8" s="971">
        <v>365571</v>
      </c>
      <c r="E8" s="971">
        <v>365570.56</v>
      </c>
      <c r="F8" s="1209" t="s">
        <v>346</v>
      </c>
    </row>
    <row r="9" spans="1:6" s="531" customFormat="1" ht="19.5" customHeight="1">
      <c r="A9" s="973" t="s">
        <v>659</v>
      </c>
      <c r="B9" s="974"/>
      <c r="C9" s="974" t="s">
        <v>329</v>
      </c>
      <c r="D9" s="975">
        <f>SUM(D10,D11,D12,D13,D14)</f>
        <v>4381077</v>
      </c>
      <c r="E9" s="975">
        <f>SUM(E10,E11,E12,E13,E14)</f>
        <v>2334811.6799999997</v>
      </c>
      <c r="F9" s="976">
        <f aca="true" t="shared" si="0" ref="F9:F20">E9/D9*100</f>
        <v>53.293098477840026</v>
      </c>
    </row>
    <row r="10" spans="1:6" ht="53.25" customHeight="1">
      <c r="A10" s="924" t="s">
        <v>341</v>
      </c>
      <c r="B10" s="925" t="s">
        <v>575</v>
      </c>
      <c r="C10" s="931" t="s">
        <v>707</v>
      </c>
      <c r="D10" s="927">
        <v>733000</v>
      </c>
      <c r="E10" s="927">
        <v>444237.6</v>
      </c>
      <c r="F10" s="928">
        <f t="shared" si="0"/>
        <v>60.60540245566166</v>
      </c>
    </row>
    <row r="11" spans="1:6" ht="18.75" customHeight="1">
      <c r="A11" s="924" t="s">
        <v>342</v>
      </c>
      <c r="B11" s="925" t="s">
        <v>570</v>
      </c>
      <c r="C11" s="926" t="s">
        <v>660</v>
      </c>
      <c r="D11" s="927">
        <v>2380000</v>
      </c>
      <c r="E11" s="927">
        <v>830981.7</v>
      </c>
      <c r="F11" s="928">
        <f t="shared" si="0"/>
        <v>34.915197478991594</v>
      </c>
    </row>
    <row r="12" spans="1:6" ht="18.75" customHeight="1">
      <c r="A12" s="924" t="s">
        <v>419</v>
      </c>
      <c r="B12" s="925" t="s">
        <v>571</v>
      </c>
      <c r="C12" s="926" t="s">
        <v>263</v>
      </c>
      <c r="D12" s="927">
        <v>13946</v>
      </c>
      <c r="E12" s="927">
        <v>3125.45</v>
      </c>
      <c r="F12" s="928">
        <f t="shared" si="0"/>
        <v>22.411085615947222</v>
      </c>
    </row>
    <row r="13" spans="1:6" ht="31.5" customHeight="1">
      <c r="A13" s="924" t="s">
        <v>426</v>
      </c>
      <c r="B13" s="925" t="s">
        <v>661</v>
      </c>
      <c r="C13" s="931" t="s">
        <v>663</v>
      </c>
      <c r="D13" s="927">
        <v>450000</v>
      </c>
      <c r="E13" s="927">
        <v>252336.43</v>
      </c>
      <c r="F13" s="928">
        <f t="shared" si="0"/>
        <v>56.07476222222222</v>
      </c>
    </row>
    <row r="14" spans="1:6" ht="18.75" customHeight="1">
      <c r="A14" s="924"/>
      <c r="B14" s="925"/>
      <c r="C14" s="926" t="s">
        <v>664</v>
      </c>
      <c r="D14" s="927">
        <v>804131</v>
      </c>
      <c r="E14" s="927">
        <v>804130.5</v>
      </c>
      <c r="F14" s="928">
        <f t="shared" si="0"/>
        <v>99.99993782107641</v>
      </c>
    </row>
    <row r="15" spans="1:6" ht="5.25" customHeight="1" thickBot="1">
      <c r="A15" s="924"/>
      <c r="B15" s="925"/>
      <c r="C15" s="926"/>
      <c r="D15" s="927"/>
      <c r="E15" s="927"/>
      <c r="F15" s="928"/>
    </row>
    <row r="16" spans="1:6" s="531" customFormat="1" ht="18.75" customHeight="1" thickBot="1">
      <c r="A16" s="1676" t="s">
        <v>665</v>
      </c>
      <c r="B16" s="1677"/>
      <c r="C16" s="1677"/>
      <c r="D16" s="984">
        <f>D9+D8</f>
        <v>4746648</v>
      </c>
      <c r="E16" s="984">
        <f>E9+E8</f>
        <v>2700382.2399999998</v>
      </c>
      <c r="F16" s="985">
        <f t="shared" si="0"/>
        <v>56.890299006793846</v>
      </c>
    </row>
    <row r="17" spans="1:6" s="531" customFormat="1" ht="18.75" customHeight="1">
      <c r="A17" s="968" t="s">
        <v>666</v>
      </c>
      <c r="B17" s="969"/>
      <c r="C17" s="969" t="s">
        <v>667</v>
      </c>
      <c r="D17" s="971">
        <f>SUM(D18,D19,D20,D21,D22,D23,D24,D25,D26,D27,D28,D29,D30,D31,D32,D33,D34,D37,D38,D39,D40,D41,D42,D43,D44,D45,D46)+D47+D48</f>
        <v>4381077</v>
      </c>
      <c r="E17" s="971">
        <f>SUM(E18,E19,E20,E21,E22,E23,E24,E25,E26,E27,E28,E29,E30,E31,E32,E33,E34,E37,E38,E39,E40,E41,E42,E43,E44,E45,E46)+E47+E48</f>
        <v>2450028.3400000003</v>
      </c>
      <c r="F17" s="1026">
        <f t="shared" si="0"/>
        <v>55.92296916945308</v>
      </c>
    </row>
    <row r="18" spans="1:6" ht="18.75" customHeight="1">
      <c r="A18" s="924" t="s">
        <v>341</v>
      </c>
      <c r="B18" s="930">
        <v>3020</v>
      </c>
      <c r="C18" s="926" t="s">
        <v>668</v>
      </c>
      <c r="D18" s="927">
        <v>8000</v>
      </c>
      <c r="E18" s="927">
        <v>2987.75</v>
      </c>
      <c r="F18" s="928">
        <f t="shared" si="0"/>
        <v>37.346875000000004</v>
      </c>
    </row>
    <row r="19" spans="1:6" ht="18.75" customHeight="1">
      <c r="A19" s="924" t="s">
        <v>342</v>
      </c>
      <c r="B19" s="930">
        <v>4010</v>
      </c>
      <c r="C19" s="926" t="s">
        <v>669</v>
      </c>
      <c r="D19" s="927">
        <v>1440000</v>
      </c>
      <c r="E19" s="927">
        <v>614208.66</v>
      </c>
      <c r="F19" s="928">
        <f t="shared" si="0"/>
        <v>42.65337916666667</v>
      </c>
    </row>
    <row r="20" spans="1:6" ht="18.75" customHeight="1">
      <c r="A20" s="924" t="s">
        <v>419</v>
      </c>
      <c r="B20" s="930">
        <v>4040</v>
      </c>
      <c r="C20" s="926" t="s">
        <v>670</v>
      </c>
      <c r="D20" s="927">
        <v>115900</v>
      </c>
      <c r="E20" s="927">
        <v>0</v>
      </c>
      <c r="F20" s="928">
        <f t="shared" si="0"/>
        <v>0</v>
      </c>
    </row>
    <row r="21" spans="1:6" ht="18.75" customHeight="1">
      <c r="A21" s="924" t="s">
        <v>426</v>
      </c>
      <c r="B21" s="930">
        <v>4110</v>
      </c>
      <c r="C21" s="926" t="s">
        <v>677</v>
      </c>
      <c r="D21" s="927">
        <v>238500</v>
      </c>
      <c r="E21" s="927">
        <v>100039.18</v>
      </c>
      <c r="F21" s="928">
        <f aca="true" t="shared" si="1" ref="F21:F38">E21/D21*100</f>
        <v>41.945148846960166</v>
      </c>
    </row>
    <row r="22" spans="1:6" ht="18.75" customHeight="1">
      <c r="A22" s="924" t="s">
        <v>427</v>
      </c>
      <c r="B22" s="930">
        <v>4120</v>
      </c>
      <c r="C22" s="926" t="s">
        <v>678</v>
      </c>
      <c r="D22" s="927">
        <v>36000</v>
      </c>
      <c r="E22" s="927">
        <v>15804.45</v>
      </c>
      <c r="F22" s="928">
        <f t="shared" si="1"/>
        <v>43.901250000000005</v>
      </c>
    </row>
    <row r="23" spans="1:6" ht="30" customHeight="1">
      <c r="A23" s="924" t="s">
        <v>428</v>
      </c>
      <c r="B23" s="930">
        <v>4140</v>
      </c>
      <c r="C23" s="931" t="s">
        <v>722</v>
      </c>
      <c r="D23" s="927">
        <v>7300</v>
      </c>
      <c r="E23" s="927">
        <v>4497</v>
      </c>
      <c r="F23" s="928">
        <f t="shared" si="1"/>
        <v>61.6027397260274</v>
      </c>
    </row>
    <row r="24" spans="1:6" ht="18.75" customHeight="1">
      <c r="A24" s="924" t="s">
        <v>526</v>
      </c>
      <c r="B24" s="930">
        <v>4170</v>
      </c>
      <c r="C24" s="926" t="s">
        <v>679</v>
      </c>
      <c r="D24" s="927">
        <v>256000</v>
      </c>
      <c r="E24" s="927">
        <v>94170.32</v>
      </c>
      <c r="F24" s="928">
        <f t="shared" si="1"/>
        <v>36.785281250000004</v>
      </c>
    </row>
    <row r="25" spans="1:6" ht="18.75" customHeight="1">
      <c r="A25" s="924" t="s">
        <v>527</v>
      </c>
      <c r="B25" s="930">
        <v>4210</v>
      </c>
      <c r="C25" s="926" t="s">
        <v>680</v>
      </c>
      <c r="D25" s="927">
        <v>409193</v>
      </c>
      <c r="E25" s="927">
        <v>254600.33</v>
      </c>
      <c r="F25" s="928">
        <f t="shared" si="1"/>
        <v>62.22010884839183</v>
      </c>
    </row>
    <row r="26" spans="1:6" ht="18.75" customHeight="1">
      <c r="A26" s="924" t="s">
        <v>429</v>
      </c>
      <c r="B26" s="930">
        <v>4260</v>
      </c>
      <c r="C26" s="926" t="s">
        <v>681</v>
      </c>
      <c r="D26" s="927">
        <v>500000</v>
      </c>
      <c r="E26" s="927">
        <v>239323.68</v>
      </c>
      <c r="F26" s="928">
        <f t="shared" si="1"/>
        <v>47.86473599999999</v>
      </c>
    </row>
    <row r="27" spans="1:6" ht="18.75" customHeight="1">
      <c r="A27" s="924" t="s">
        <v>431</v>
      </c>
      <c r="B27" s="930">
        <v>4270</v>
      </c>
      <c r="C27" s="926" t="s">
        <v>682</v>
      </c>
      <c r="D27" s="927">
        <v>37500</v>
      </c>
      <c r="E27" s="927">
        <v>22016.9</v>
      </c>
      <c r="F27" s="928">
        <f t="shared" si="1"/>
        <v>58.711733333333335</v>
      </c>
    </row>
    <row r="28" spans="1:6" ht="18.75" customHeight="1">
      <c r="A28" s="924" t="s">
        <v>528</v>
      </c>
      <c r="B28" s="930">
        <v>4280</v>
      </c>
      <c r="C28" s="926" t="s">
        <v>720</v>
      </c>
      <c r="D28" s="927">
        <v>2250</v>
      </c>
      <c r="E28" s="927">
        <v>1617.1</v>
      </c>
      <c r="F28" s="928">
        <f t="shared" si="1"/>
        <v>71.8711111111111</v>
      </c>
    </row>
    <row r="29" spans="1:6" ht="18.75" customHeight="1">
      <c r="A29" s="924" t="s">
        <v>432</v>
      </c>
      <c r="B29" s="930">
        <v>4300</v>
      </c>
      <c r="C29" s="926" t="s">
        <v>686</v>
      </c>
      <c r="D29" s="927">
        <v>309000</v>
      </c>
      <c r="E29" s="927">
        <v>174179.21</v>
      </c>
      <c r="F29" s="928">
        <f t="shared" si="1"/>
        <v>56.368676375404526</v>
      </c>
    </row>
    <row r="30" spans="1:6" ht="18.75" customHeight="1">
      <c r="A30" s="924" t="s">
        <v>433</v>
      </c>
      <c r="B30" s="930">
        <v>4350</v>
      </c>
      <c r="C30" s="926" t="s">
        <v>687</v>
      </c>
      <c r="D30" s="927">
        <v>2750</v>
      </c>
      <c r="E30" s="927">
        <v>682</v>
      </c>
      <c r="F30" s="928">
        <f t="shared" si="1"/>
        <v>24.8</v>
      </c>
    </row>
    <row r="31" spans="1:6" ht="27.75" customHeight="1">
      <c r="A31" s="924" t="s">
        <v>529</v>
      </c>
      <c r="B31" s="930">
        <v>4360</v>
      </c>
      <c r="C31" s="931" t="s">
        <v>688</v>
      </c>
      <c r="D31" s="927">
        <v>12000</v>
      </c>
      <c r="E31" s="927">
        <v>4869.37</v>
      </c>
      <c r="F31" s="928">
        <f t="shared" si="1"/>
        <v>40.57808333333333</v>
      </c>
    </row>
    <row r="32" spans="1:6" ht="30.75" customHeight="1">
      <c r="A32" s="924" t="s">
        <v>434</v>
      </c>
      <c r="B32" s="930">
        <v>4370</v>
      </c>
      <c r="C32" s="931" t="s">
        <v>689</v>
      </c>
      <c r="D32" s="927">
        <v>16000</v>
      </c>
      <c r="E32" s="927">
        <v>7505.85</v>
      </c>
      <c r="F32" s="928">
        <f t="shared" si="1"/>
        <v>46.9115625</v>
      </c>
    </row>
    <row r="33" spans="1:6" ht="18.75" customHeight="1">
      <c r="A33" s="924" t="s">
        <v>435</v>
      </c>
      <c r="B33" s="930">
        <v>4390</v>
      </c>
      <c r="C33" s="926" t="s">
        <v>723</v>
      </c>
      <c r="D33" s="927">
        <v>10300</v>
      </c>
      <c r="E33" s="927">
        <v>2434.6</v>
      </c>
      <c r="F33" s="928">
        <f t="shared" si="1"/>
        <v>23.636893203883496</v>
      </c>
    </row>
    <row r="34" spans="1:6" ht="27.75" customHeight="1" thickBot="1">
      <c r="A34" s="833" t="s">
        <v>436</v>
      </c>
      <c r="B34" s="1197">
        <v>4400</v>
      </c>
      <c r="C34" s="1198" t="s">
        <v>690</v>
      </c>
      <c r="D34" s="1199">
        <v>4500</v>
      </c>
      <c r="E34" s="1199">
        <v>1552.04</v>
      </c>
      <c r="F34" s="1018">
        <f t="shared" si="1"/>
        <v>34.489777777777775</v>
      </c>
    </row>
    <row r="35" spans="1:6" s="485" customFormat="1" ht="27.75" customHeight="1" thickBot="1">
      <c r="A35" s="484"/>
      <c r="B35" s="484"/>
      <c r="C35" s="870"/>
      <c r="D35" s="536"/>
      <c r="E35" s="536"/>
      <c r="F35" s="823"/>
    </row>
    <row r="36" spans="1:6" s="923" customFormat="1" ht="12" customHeight="1" thickBot="1">
      <c r="A36" s="1200">
        <v>1</v>
      </c>
      <c r="B36" s="1201">
        <v>2</v>
      </c>
      <c r="C36" s="1201">
        <v>3</v>
      </c>
      <c r="D36" s="1202">
        <v>4</v>
      </c>
      <c r="E36" s="1202">
        <v>5</v>
      </c>
      <c r="F36" s="1203">
        <v>6</v>
      </c>
    </row>
    <row r="37" spans="1:6" ht="18.75" customHeight="1">
      <c r="A37" s="924" t="s">
        <v>437</v>
      </c>
      <c r="B37" s="930">
        <v>4410</v>
      </c>
      <c r="C37" s="926" t="s">
        <v>691</v>
      </c>
      <c r="D37" s="927">
        <v>13550</v>
      </c>
      <c r="E37" s="927">
        <v>5749.5</v>
      </c>
      <c r="F37" s="928">
        <f t="shared" si="1"/>
        <v>42.43173431734317</v>
      </c>
    </row>
    <row r="38" spans="1:6" ht="18.75" customHeight="1">
      <c r="A38" s="924" t="s">
        <v>440</v>
      </c>
      <c r="B38" s="930">
        <v>4420</v>
      </c>
      <c r="C38" s="926" t="s">
        <v>724</v>
      </c>
      <c r="D38" s="927">
        <v>1600</v>
      </c>
      <c r="E38" s="927">
        <v>0</v>
      </c>
      <c r="F38" s="928">
        <f t="shared" si="1"/>
        <v>0</v>
      </c>
    </row>
    <row r="39" spans="1:6" ht="18.75" customHeight="1">
      <c r="A39" s="924" t="s">
        <v>441</v>
      </c>
      <c r="B39" s="930">
        <v>4430</v>
      </c>
      <c r="C39" s="926" t="s">
        <v>692</v>
      </c>
      <c r="D39" s="927">
        <v>29000</v>
      </c>
      <c r="E39" s="927">
        <v>19284.57</v>
      </c>
      <c r="F39" s="928">
        <f aca="true" t="shared" si="2" ref="F39:F48">E39/D39*100</f>
        <v>66.4985172413793</v>
      </c>
    </row>
    <row r="40" spans="1:6" ht="18.75" customHeight="1">
      <c r="A40" s="924" t="s">
        <v>442</v>
      </c>
      <c r="B40" s="930">
        <v>4440</v>
      </c>
      <c r="C40" s="926" t="s">
        <v>693</v>
      </c>
      <c r="D40" s="927">
        <v>41100</v>
      </c>
      <c r="E40" s="927">
        <v>32000</v>
      </c>
      <c r="F40" s="928">
        <f t="shared" si="2"/>
        <v>77.85888077858881</v>
      </c>
    </row>
    <row r="41" spans="1:6" ht="18.75" customHeight="1">
      <c r="A41" s="924" t="s">
        <v>443</v>
      </c>
      <c r="B41" s="930">
        <v>4480</v>
      </c>
      <c r="C41" s="926" t="s">
        <v>273</v>
      </c>
      <c r="D41" s="927">
        <v>68500</v>
      </c>
      <c r="E41" s="927">
        <v>38126.65</v>
      </c>
      <c r="F41" s="928">
        <f t="shared" si="2"/>
        <v>55.659343065693434</v>
      </c>
    </row>
    <row r="42" spans="1:6" ht="30.75" customHeight="1">
      <c r="A42" s="924" t="s">
        <v>285</v>
      </c>
      <c r="B42" s="930">
        <v>4500</v>
      </c>
      <c r="C42" s="931" t="s">
        <v>792</v>
      </c>
      <c r="D42" s="927">
        <v>3000</v>
      </c>
      <c r="E42" s="927">
        <v>2000</v>
      </c>
      <c r="F42" s="928">
        <f t="shared" si="2"/>
        <v>66.66666666666666</v>
      </c>
    </row>
    <row r="43" spans="1:6" ht="18.75" customHeight="1">
      <c r="A43" s="924" t="s">
        <v>286</v>
      </c>
      <c r="B43" s="930">
        <v>4520</v>
      </c>
      <c r="C43" s="931" t="s">
        <v>725</v>
      </c>
      <c r="D43" s="927">
        <v>2600</v>
      </c>
      <c r="E43" s="927">
        <v>1157.74</v>
      </c>
      <c r="F43" s="928">
        <f t="shared" si="2"/>
        <v>44.52846153846154</v>
      </c>
    </row>
    <row r="44" spans="1:6" ht="27" customHeight="1">
      <c r="A44" s="924" t="s">
        <v>287</v>
      </c>
      <c r="B44" s="930">
        <v>4700</v>
      </c>
      <c r="C44" s="931" t="s">
        <v>697</v>
      </c>
      <c r="D44" s="927">
        <v>3600</v>
      </c>
      <c r="E44" s="927">
        <v>2613.14</v>
      </c>
      <c r="F44" s="928">
        <f t="shared" si="2"/>
        <v>72.58722222222221</v>
      </c>
    </row>
    <row r="45" spans="1:6" ht="30" customHeight="1">
      <c r="A45" s="924" t="s">
        <v>288</v>
      </c>
      <c r="B45" s="930">
        <v>4740</v>
      </c>
      <c r="C45" s="931" t="s">
        <v>698</v>
      </c>
      <c r="D45" s="927">
        <v>2000</v>
      </c>
      <c r="E45" s="927">
        <v>570.57</v>
      </c>
      <c r="F45" s="928">
        <f t="shared" si="2"/>
        <v>28.5285</v>
      </c>
    </row>
    <row r="46" spans="1:6" ht="18.75" customHeight="1">
      <c r="A46" s="924" t="s">
        <v>962</v>
      </c>
      <c r="B46" s="930">
        <v>4750</v>
      </c>
      <c r="C46" s="931" t="s">
        <v>699</v>
      </c>
      <c r="D46" s="927">
        <v>6200</v>
      </c>
      <c r="E46" s="927">
        <v>3303.81</v>
      </c>
      <c r="F46" s="928">
        <f t="shared" si="2"/>
        <v>53.28725806451613</v>
      </c>
    </row>
    <row r="47" spans="1:6" ht="18.75" customHeight="1">
      <c r="A47" s="924"/>
      <c r="B47" s="930"/>
      <c r="C47" s="926" t="s">
        <v>702</v>
      </c>
      <c r="D47" s="927">
        <v>804131</v>
      </c>
      <c r="E47" s="927">
        <v>804130.5</v>
      </c>
      <c r="F47" s="928">
        <f t="shared" si="2"/>
        <v>99.99993782107641</v>
      </c>
    </row>
    <row r="48" spans="1:6" ht="18.75" customHeight="1">
      <c r="A48" s="69"/>
      <c r="B48" s="822"/>
      <c r="C48" s="822" t="s">
        <v>703</v>
      </c>
      <c r="D48" s="817">
        <v>603</v>
      </c>
      <c r="E48" s="817">
        <v>603.42</v>
      </c>
      <c r="F48" s="819">
        <f t="shared" si="2"/>
        <v>100.06965174129351</v>
      </c>
    </row>
    <row r="49" spans="1:6" s="531" customFormat="1" ht="22.5" customHeight="1">
      <c r="A49" s="1210" t="s">
        <v>704</v>
      </c>
      <c r="B49" s="974"/>
      <c r="C49" s="974" t="s">
        <v>726</v>
      </c>
      <c r="D49" s="975">
        <v>0</v>
      </c>
      <c r="E49" s="975">
        <v>0</v>
      </c>
      <c r="F49" s="976">
        <v>0</v>
      </c>
    </row>
    <row r="50" spans="1:6" s="531" customFormat="1" ht="30.75" customHeight="1" thickBot="1">
      <c r="A50" s="977" t="s">
        <v>727</v>
      </c>
      <c r="B50" s="978"/>
      <c r="C50" s="979" t="s">
        <v>998</v>
      </c>
      <c r="D50" s="980">
        <f>D8+D9-D17</f>
        <v>365571</v>
      </c>
      <c r="E50" s="980">
        <f>E8+E9-E17</f>
        <v>250353.89999999944</v>
      </c>
      <c r="F50" s="981" t="s">
        <v>346</v>
      </c>
    </row>
    <row r="51" spans="1:6" ht="18.75" customHeight="1" thickBot="1">
      <c r="A51" s="1676" t="s">
        <v>734</v>
      </c>
      <c r="B51" s="1677"/>
      <c r="C51" s="1677"/>
      <c r="D51" s="984">
        <f>D49+D50+D17</f>
        <v>4746648</v>
      </c>
      <c r="E51" s="984">
        <f>E49+E50+E17</f>
        <v>2700382.2399999998</v>
      </c>
      <c r="F51" s="985">
        <f>E51/D51*100</f>
        <v>56.890299006793846</v>
      </c>
    </row>
    <row r="52" spans="3:5" ht="12.75">
      <c r="C52" s="66" t="s">
        <v>194</v>
      </c>
      <c r="D52" s="532">
        <f>D16-D51</f>
        <v>0</v>
      </c>
      <c r="E52" s="532">
        <f>E16-E51</f>
        <v>0</v>
      </c>
    </row>
  </sheetData>
  <sheetProtection password="CF53" sheet="1" objects="1" scenarios="1" selectLockedCells="1" selectUnlockedCells="1"/>
  <mergeCells count="5">
    <mergeCell ref="A16:C16"/>
    <mergeCell ref="A51:C51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usz21">
    <tabColor indexed="42"/>
  </sheetPr>
  <dimension ref="A1:F30"/>
  <sheetViews>
    <sheetView view="pageBreakPreview" zoomScaleSheetLayoutView="100" workbookViewId="0" topLeftCell="A1">
      <selection activeCell="I11" sqref="I11"/>
    </sheetView>
  </sheetViews>
  <sheetFormatPr defaultColWidth="9.00390625" defaultRowHeight="12.75"/>
  <cols>
    <col min="1" max="1" width="3.625" style="65" customWidth="1"/>
    <col min="2" max="2" width="4.375" style="65" customWidth="1"/>
    <col min="3" max="3" width="52.125" style="65" customWidth="1"/>
    <col min="4" max="5" width="10.75390625" style="65" customWidth="1"/>
    <col min="6" max="6" width="5.125" style="65" customWidth="1"/>
    <col min="7" max="16384" width="9.125" style="65" customWidth="1"/>
  </cols>
  <sheetData>
    <row r="1" spans="5:6" ht="12.75">
      <c r="E1" s="1580" t="s">
        <v>779</v>
      </c>
      <c r="F1" s="1580"/>
    </row>
    <row r="2" ht="28.5" customHeight="1"/>
    <row r="3" spans="1:6" ht="12.75">
      <c r="A3" s="1681" t="s">
        <v>735</v>
      </c>
      <c r="B3" s="1681"/>
      <c r="C3" s="1681"/>
      <c r="D3" s="1681"/>
      <c r="E3" s="1681"/>
      <c r="F3" s="1681"/>
    </row>
    <row r="4" spans="1:6" ht="20.25" customHeight="1">
      <c r="A4" s="922"/>
      <c r="B4" s="922"/>
      <c r="C4" s="922"/>
      <c r="D4" s="922"/>
      <c r="E4" s="922"/>
      <c r="F4" s="922"/>
    </row>
    <row r="5" spans="1:6" ht="15" customHeight="1" thickBot="1">
      <c r="A5" s="1678" t="s">
        <v>861</v>
      </c>
      <c r="B5" s="1678"/>
      <c r="C5" s="1678"/>
      <c r="F5" s="66" t="s">
        <v>67</v>
      </c>
    </row>
    <row r="6" spans="1:6" s="965" customFormat="1" ht="22.5" customHeight="1">
      <c r="A6" s="1136" t="s">
        <v>338</v>
      </c>
      <c r="B6" s="1137" t="s">
        <v>254</v>
      </c>
      <c r="C6" s="1137" t="s">
        <v>69</v>
      </c>
      <c r="D6" s="1138" t="s">
        <v>70</v>
      </c>
      <c r="E6" s="1138" t="s">
        <v>71</v>
      </c>
      <c r="F6" s="1139" t="s">
        <v>653</v>
      </c>
    </row>
    <row r="7" spans="1:6" s="967" customFormat="1" ht="9.75" customHeight="1" thickBot="1">
      <c r="A7" s="1140">
        <v>1</v>
      </c>
      <c r="B7" s="1141">
        <v>2</v>
      </c>
      <c r="C7" s="1141">
        <v>3</v>
      </c>
      <c r="D7" s="1142">
        <v>4</v>
      </c>
      <c r="E7" s="1142">
        <v>5</v>
      </c>
      <c r="F7" s="1143">
        <v>6</v>
      </c>
    </row>
    <row r="8" spans="1:6" s="531" customFormat="1" ht="29.25" customHeight="1">
      <c r="A8" s="968" t="s">
        <v>654</v>
      </c>
      <c r="B8" s="969"/>
      <c r="C8" s="970" t="s">
        <v>997</v>
      </c>
      <c r="D8" s="971">
        <v>252602</v>
      </c>
      <c r="E8" s="971">
        <v>240521.87</v>
      </c>
      <c r="F8" s="972" t="s">
        <v>346</v>
      </c>
    </row>
    <row r="9" spans="1:6" s="531" customFormat="1" ht="18" customHeight="1">
      <c r="A9" s="973" t="s">
        <v>659</v>
      </c>
      <c r="B9" s="974"/>
      <c r="C9" s="974" t="s">
        <v>329</v>
      </c>
      <c r="D9" s="975">
        <f>SUM(D10,D11,D12)</f>
        <v>260000</v>
      </c>
      <c r="E9" s="975">
        <f>SUM(E10,E11,E12)</f>
        <v>185456.65999999997</v>
      </c>
      <c r="F9" s="976">
        <f aca="true" t="shared" si="0" ref="F9:F14">E9/D9*100</f>
        <v>71.32948461538462</v>
      </c>
    </row>
    <row r="10" spans="1:6" ht="18" customHeight="1">
      <c r="A10" s="924" t="s">
        <v>341</v>
      </c>
      <c r="B10" s="925" t="s">
        <v>570</v>
      </c>
      <c r="C10" s="926" t="s">
        <v>660</v>
      </c>
      <c r="D10" s="927">
        <v>248000</v>
      </c>
      <c r="E10" s="927">
        <v>159374.86</v>
      </c>
      <c r="F10" s="928">
        <f t="shared" si="0"/>
        <v>64.26405645161289</v>
      </c>
    </row>
    <row r="11" spans="1:6" ht="18" customHeight="1">
      <c r="A11" s="924" t="s">
        <v>342</v>
      </c>
      <c r="B11" s="925" t="s">
        <v>571</v>
      </c>
      <c r="C11" s="926" t="s">
        <v>263</v>
      </c>
      <c r="D11" s="927">
        <v>12000</v>
      </c>
      <c r="E11" s="927">
        <v>6081.8</v>
      </c>
      <c r="F11" s="928">
        <f t="shared" si="0"/>
        <v>50.68166666666667</v>
      </c>
    </row>
    <row r="12" spans="1:6" ht="18" customHeight="1" thickBot="1">
      <c r="A12" s="924" t="s">
        <v>419</v>
      </c>
      <c r="B12" s="925" t="s">
        <v>736</v>
      </c>
      <c r="C12" s="926" t="s">
        <v>737</v>
      </c>
      <c r="D12" s="927">
        <v>0</v>
      </c>
      <c r="E12" s="927">
        <v>20000</v>
      </c>
      <c r="F12" s="929" t="s">
        <v>312</v>
      </c>
    </row>
    <row r="13" spans="1:6" s="531" customFormat="1" ht="18" customHeight="1" thickBot="1">
      <c r="A13" s="1676" t="s">
        <v>665</v>
      </c>
      <c r="B13" s="1677"/>
      <c r="C13" s="1677"/>
      <c r="D13" s="984">
        <f>D9+D8</f>
        <v>512602</v>
      </c>
      <c r="E13" s="984">
        <f>E9+E8</f>
        <v>425978.52999999997</v>
      </c>
      <c r="F13" s="985">
        <f t="shared" si="0"/>
        <v>83.10122278102699</v>
      </c>
    </row>
    <row r="14" spans="1:6" s="531" customFormat="1" ht="18" customHeight="1">
      <c r="A14" s="973" t="s">
        <v>666</v>
      </c>
      <c r="B14" s="974"/>
      <c r="C14" s="974" t="s">
        <v>667</v>
      </c>
      <c r="D14" s="975">
        <f>SUM(D15:D27)</f>
        <v>512602</v>
      </c>
      <c r="E14" s="975">
        <f>SUM(E15:E27)</f>
        <v>103658.82</v>
      </c>
      <c r="F14" s="976">
        <f t="shared" si="0"/>
        <v>20.22208653107089</v>
      </c>
    </row>
    <row r="15" spans="1:6" ht="18" customHeight="1">
      <c r="A15" s="924" t="s">
        <v>341</v>
      </c>
      <c r="B15" s="930">
        <v>2960</v>
      </c>
      <c r="C15" s="931" t="s">
        <v>737</v>
      </c>
      <c r="D15" s="927">
        <v>52000</v>
      </c>
      <c r="E15" s="927">
        <v>33083.78</v>
      </c>
      <c r="F15" s="928">
        <f aca="true" t="shared" si="1" ref="F15:F27">E15/D15*100</f>
        <v>63.622653846153845</v>
      </c>
    </row>
    <row r="16" spans="1:6" ht="18" customHeight="1">
      <c r="A16" s="924" t="s">
        <v>342</v>
      </c>
      <c r="B16" s="930">
        <v>4110</v>
      </c>
      <c r="C16" s="926" t="s">
        <v>677</v>
      </c>
      <c r="D16" s="927">
        <v>1700</v>
      </c>
      <c r="E16" s="927">
        <v>0</v>
      </c>
      <c r="F16" s="928">
        <f t="shared" si="1"/>
        <v>0</v>
      </c>
    </row>
    <row r="17" spans="1:6" ht="18" customHeight="1">
      <c r="A17" s="924" t="s">
        <v>419</v>
      </c>
      <c r="B17" s="930">
        <v>4120</v>
      </c>
      <c r="C17" s="931" t="s">
        <v>678</v>
      </c>
      <c r="D17" s="927">
        <v>250</v>
      </c>
      <c r="E17" s="927">
        <v>0</v>
      </c>
      <c r="F17" s="928">
        <f t="shared" si="1"/>
        <v>0</v>
      </c>
    </row>
    <row r="18" spans="1:6" ht="18" customHeight="1">
      <c r="A18" s="924" t="s">
        <v>426</v>
      </c>
      <c r="B18" s="930">
        <v>4170</v>
      </c>
      <c r="C18" s="931" t="s">
        <v>679</v>
      </c>
      <c r="D18" s="927">
        <v>10000</v>
      </c>
      <c r="E18" s="927">
        <v>0</v>
      </c>
      <c r="F18" s="928">
        <f t="shared" si="1"/>
        <v>0</v>
      </c>
    </row>
    <row r="19" spans="1:6" ht="18" customHeight="1">
      <c r="A19" s="924" t="s">
        <v>427</v>
      </c>
      <c r="B19" s="930">
        <v>4210</v>
      </c>
      <c r="C19" s="926" t="s">
        <v>680</v>
      </c>
      <c r="D19" s="927">
        <v>40000</v>
      </c>
      <c r="E19" s="927">
        <v>10399.54</v>
      </c>
      <c r="F19" s="928">
        <f t="shared" si="1"/>
        <v>25.99885</v>
      </c>
    </row>
    <row r="20" spans="1:6" ht="18" customHeight="1">
      <c r="A20" s="924" t="s">
        <v>428</v>
      </c>
      <c r="B20" s="930">
        <v>4240</v>
      </c>
      <c r="C20" s="926" t="s">
        <v>719</v>
      </c>
      <c r="D20" s="927">
        <v>1000</v>
      </c>
      <c r="E20" s="927">
        <v>0</v>
      </c>
      <c r="F20" s="928">
        <f t="shared" si="1"/>
        <v>0</v>
      </c>
    </row>
    <row r="21" spans="1:6" ht="18" customHeight="1">
      <c r="A21" s="924" t="s">
        <v>526</v>
      </c>
      <c r="B21" s="930">
        <v>4270</v>
      </c>
      <c r="C21" s="926" t="s">
        <v>682</v>
      </c>
      <c r="D21" s="927">
        <v>4000</v>
      </c>
      <c r="E21" s="927">
        <v>0</v>
      </c>
      <c r="F21" s="928">
        <f t="shared" si="1"/>
        <v>0</v>
      </c>
    </row>
    <row r="22" spans="1:6" ht="18" customHeight="1">
      <c r="A22" s="924" t="s">
        <v>527</v>
      </c>
      <c r="B22" s="930">
        <v>4300</v>
      </c>
      <c r="C22" s="926" t="s">
        <v>686</v>
      </c>
      <c r="D22" s="927">
        <v>277652</v>
      </c>
      <c r="E22" s="927">
        <v>4061.29</v>
      </c>
      <c r="F22" s="928">
        <f t="shared" si="1"/>
        <v>1.4627267226600205</v>
      </c>
    </row>
    <row r="23" spans="1:6" ht="18" customHeight="1">
      <c r="A23" s="924" t="s">
        <v>429</v>
      </c>
      <c r="B23" s="930">
        <v>4430</v>
      </c>
      <c r="C23" s="926" t="s">
        <v>692</v>
      </c>
      <c r="D23" s="927">
        <v>1000</v>
      </c>
      <c r="E23" s="927">
        <v>0</v>
      </c>
      <c r="F23" s="928">
        <f t="shared" si="1"/>
        <v>0</v>
      </c>
    </row>
    <row r="24" spans="1:6" ht="30" customHeight="1">
      <c r="A24" s="924" t="s">
        <v>431</v>
      </c>
      <c r="B24" s="930">
        <v>4700</v>
      </c>
      <c r="C24" s="931" t="s">
        <v>697</v>
      </c>
      <c r="D24" s="927">
        <v>5000</v>
      </c>
      <c r="E24" s="927">
        <v>950</v>
      </c>
      <c r="F24" s="928">
        <f t="shared" si="1"/>
        <v>19</v>
      </c>
    </row>
    <row r="25" spans="1:6" ht="27" customHeight="1">
      <c r="A25" s="924" t="s">
        <v>528</v>
      </c>
      <c r="B25" s="930">
        <v>4740</v>
      </c>
      <c r="C25" s="931" t="s">
        <v>698</v>
      </c>
      <c r="D25" s="927">
        <v>30000</v>
      </c>
      <c r="E25" s="927">
        <v>2624.02</v>
      </c>
      <c r="F25" s="928">
        <f t="shared" si="1"/>
        <v>8.746733333333333</v>
      </c>
    </row>
    <row r="26" spans="1:6" ht="18" customHeight="1">
      <c r="A26" s="924" t="s">
        <v>432</v>
      </c>
      <c r="B26" s="930">
        <v>4750</v>
      </c>
      <c r="C26" s="931" t="s">
        <v>699</v>
      </c>
      <c r="D26" s="927">
        <v>20000</v>
      </c>
      <c r="E26" s="927">
        <v>5729.79</v>
      </c>
      <c r="F26" s="928">
        <f t="shared" si="1"/>
        <v>28.64895</v>
      </c>
    </row>
    <row r="27" spans="1:6" ht="18" customHeight="1">
      <c r="A27" s="69" t="s">
        <v>433</v>
      </c>
      <c r="B27" s="71">
        <v>6120</v>
      </c>
      <c r="C27" s="70" t="s">
        <v>738</v>
      </c>
      <c r="D27" s="817">
        <v>70000</v>
      </c>
      <c r="E27" s="817">
        <v>46810.4</v>
      </c>
      <c r="F27" s="819">
        <f t="shared" si="1"/>
        <v>66.872</v>
      </c>
    </row>
    <row r="28" spans="1:6" s="531" customFormat="1" ht="33" customHeight="1">
      <c r="A28" s="977" t="s">
        <v>704</v>
      </c>
      <c r="B28" s="978"/>
      <c r="C28" s="979" t="s">
        <v>998</v>
      </c>
      <c r="D28" s="980">
        <f>SUM(D8+D9-D14)</f>
        <v>0</v>
      </c>
      <c r="E28" s="980">
        <f>SUM(E8+E9-E14)</f>
        <v>322319.70999999996</v>
      </c>
      <c r="F28" s="981" t="s">
        <v>346</v>
      </c>
    </row>
    <row r="29" spans="1:6" ht="18" customHeight="1" thickBot="1">
      <c r="A29" s="1679" t="s">
        <v>705</v>
      </c>
      <c r="B29" s="1680"/>
      <c r="C29" s="1680"/>
      <c r="D29" s="982">
        <f>D28+D14</f>
        <v>512602</v>
      </c>
      <c r="E29" s="982">
        <f>E28+E14</f>
        <v>425978.52999999997</v>
      </c>
      <c r="F29" s="983">
        <f>E29/D29*100</f>
        <v>83.10122278102699</v>
      </c>
    </row>
    <row r="30" spans="3:5" ht="12.75">
      <c r="C30" s="65" t="s">
        <v>194</v>
      </c>
      <c r="D30" s="532">
        <f>D13-D29</f>
        <v>0</v>
      </c>
      <c r="E30" s="532">
        <f>E13-E29</f>
        <v>0</v>
      </c>
    </row>
  </sheetData>
  <sheetProtection password="CF53" sheet="1" objects="1" scenarios="1" selectLockedCells="1" selectUnlockedCells="1"/>
  <mergeCells count="5">
    <mergeCell ref="A13:C13"/>
    <mergeCell ref="A29:C29"/>
    <mergeCell ref="A3:F3"/>
    <mergeCell ref="E1:F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usz22">
    <tabColor indexed="42"/>
  </sheetPr>
  <dimension ref="A1:F28"/>
  <sheetViews>
    <sheetView workbookViewId="0" topLeftCell="A1">
      <selection activeCell="I8" sqref="I8"/>
    </sheetView>
  </sheetViews>
  <sheetFormatPr defaultColWidth="9.00390625" defaultRowHeight="12.75"/>
  <cols>
    <col min="1" max="1" width="3.625" style="65" customWidth="1"/>
    <col min="2" max="2" width="4.375" style="65" customWidth="1"/>
    <col min="3" max="3" width="49.125" style="65" customWidth="1"/>
    <col min="4" max="5" width="11.25390625" style="65" bestFit="1" customWidth="1"/>
    <col min="6" max="6" width="7.125" style="65" customWidth="1"/>
    <col min="7" max="16384" width="9.125" style="65" customWidth="1"/>
  </cols>
  <sheetData>
    <row r="1" spans="5:6" ht="12.75">
      <c r="E1" s="1580" t="s">
        <v>778</v>
      </c>
      <c r="F1" s="1580"/>
    </row>
    <row r="2" ht="26.25" customHeight="1"/>
    <row r="3" spans="1:6" ht="12.75">
      <c r="A3" s="1483" t="s">
        <v>739</v>
      </c>
      <c r="B3" s="1483"/>
      <c r="C3" s="1483"/>
      <c r="D3" s="1483"/>
      <c r="E3" s="1483"/>
      <c r="F3" s="1483"/>
    </row>
    <row r="4" spans="1:6" ht="21" customHeight="1">
      <c r="A4" s="31"/>
      <c r="B4" s="31"/>
      <c r="C4" s="31"/>
      <c r="D4" s="31"/>
      <c r="E4" s="31"/>
      <c r="F4" s="31"/>
    </row>
    <row r="5" spans="1:6" s="531" customFormat="1" ht="15" customHeight="1" thickBot="1">
      <c r="A5" s="1678" t="s">
        <v>862</v>
      </c>
      <c r="B5" s="1678"/>
      <c r="C5" s="1678"/>
      <c r="F5" s="36" t="s">
        <v>67</v>
      </c>
    </row>
    <row r="6" spans="1:6" s="31" customFormat="1" ht="21.75" customHeight="1">
      <c r="A6" s="1136" t="s">
        <v>338</v>
      </c>
      <c r="B6" s="1137" t="s">
        <v>254</v>
      </c>
      <c r="C6" s="1137" t="s">
        <v>69</v>
      </c>
      <c r="D6" s="1138" t="s">
        <v>70</v>
      </c>
      <c r="E6" s="1138" t="s">
        <v>71</v>
      </c>
      <c r="F6" s="1139" t="s">
        <v>653</v>
      </c>
    </row>
    <row r="7" spans="1:6" s="923" customFormat="1" ht="9.75" customHeight="1" thickBot="1">
      <c r="A7" s="1140">
        <v>1</v>
      </c>
      <c r="B7" s="1141">
        <v>2</v>
      </c>
      <c r="C7" s="1141">
        <v>3</v>
      </c>
      <c r="D7" s="1142">
        <v>4</v>
      </c>
      <c r="E7" s="1142">
        <v>5</v>
      </c>
      <c r="F7" s="1143">
        <v>6</v>
      </c>
    </row>
    <row r="8" spans="1:6" s="531" customFormat="1" ht="27" customHeight="1">
      <c r="A8" s="968" t="s">
        <v>654</v>
      </c>
      <c r="B8" s="969"/>
      <c r="C8" s="970" t="s">
        <v>997</v>
      </c>
      <c r="D8" s="971">
        <v>1224397</v>
      </c>
      <c r="E8" s="971">
        <v>1224397.29</v>
      </c>
      <c r="F8" s="972" t="s">
        <v>346</v>
      </c>
    </row>
    <row r="9" spans="1:6" s="531" customFormat="1" ht="24" customHeight="1">
      <c r="A9" s="973" t="s">
        <v>659</v>
      </c>
      <c r="B9" s="974"/>
      <c r="C9" s="974" t="s">
        <v>329</v>
      </c>
      <c r="D9" s="975">
        <f>SUM(D10,D11,D12)</f>
        <v>2522284</v>
      </c>
      <c r="E9" s="975">
        <f>SUM(E10,E11,E12)</f>
        <v>2128553.8400000003</v>
      </c>
      <c r="F9" s="976">
        <f aca="true" t="shared" si="0" ref="F9:F14">E9/D9*100</f>
        <v>84.38993547118406</v>
      </c>
    </row>
    <row r="10" spans="1:6" ht="18" customHeight="1">
      <c r="A10" s="924" t="s">
        <v>341</v>
      </c>
      <c r="B10" s="925" t="s">
        <v>574</v>
      </c>
      <c r="C10" s="926" t="s">
        <v>259</v>
      </c>
      <c r="D10" s="927">
        <v>2511284</v>
      </c>
      <c r="E10" s="927">
        <v>1934520.12</v>
      </c>
      <c r="F10" s="928">
        <f t="shared" si="0"/>
        <v>77.03310816299552</v>
      </c>
    </row>
    <row r="11" spans="1:6" ht="18" customHeight="1">
      <c r="A11" s="924" t="s">
        <v>342</v>
      </c>
      <c r="B11" s="925" t="s">
        <v>571</v>
      </c>
      <c r="C11" s="926" t="s">
        <v>263</v>
      </c>
      <c r="D11" s="927">
        <v>10000</v>
      </c>
      <c r="E11" s="927">
        <v>62963.56</v>
      </c>
      <c r="F11" s="928">
        <f t="shared" si="0"/>
        <v>629.6356</v>
      </c>
    </row>
    <row r="12" spans="1:6" ht="20.25" customHeight="1" thickBot="1">
      <c r="A12" s="924" t="s">
        <v>419</v>
      </c>
      <c r="B12" s="925" t="s">
        <v>740</v>
      </c>
      <c r="C12" s="926" t="s">
        <v>741</v>
      </c>
      <c r="D12" s="927">
        <v>1000</v>
      </c>
      <c r="E12" s="927">
        <v>131070.16</v>
      </c>
      <c r="F12" s="928">
        <f t="shared" si="0"/>
        <v>13107.016000000001</v>
      </c>
    </row>
    <row r="13" spans="1:6" s="531" customFormat="1" ht="23.25" customHeight="1" thickBot="1">
      <c r="A13" s="1676" t="s">
        <v>665</v>
      </c>
      <c r="B13" s="1677"/>
      <c r="C13" s="1677"/>
      <c r="D13" s="984">
        <f>D9+D8</f>
        <v>3746681</v>
      </c>
      <c r="E13" s="984">
        <f>E9+E8</f>
        <v>3352951.1300000004</v>
      </c>
      <c r="F13" s="985">
        <f t="shared" si="0"/>
        <v>89.4912358431369</v>
      </c>
    </row>
    <row r="14" spans="1:6" s="531" customFormat="1" ht="22.5" customHeight="1">
      <c r="A14" s="973" t="s">
        <v>666</v>
      </c>
      <c r="B14" s="974"/>
      <c r="C14" s="974" t="s">
        <v>667</v>
      </c>
      <c r="D14" s="975">
        <f>SUM(D15,D16,D17,D18,D19,D20,D21)</f>
        <v>3543000</v>
      </c>
      <c r="E14" s="975">
        <f>SUM(E15,E16,E17,E18,E19,E20,E21)</f>
        <v>365552.58</v>
      </c>
      <c r="F14" s="976">
        <f t="shared" si="0"/>
        <v>10.317600338696021</v>
      </c>
    </row>
    <row r="15" spans="1:6" ht="37.5" customHeight="1">
      <c r="A15" s="924" t="s">
        <v>341</v>
      </c>
      <c r="B15" s="930">
        <v>2440</v>
      </c>
      <c r="C15" s="931" t="s">
        <v>746</v>
      </c>
      <c r="D15" s="927">
        <v>20000</v>
      </c>
      <c r="E15" s="927">
        <v>5900</v>
      </c>
      <c r="F15" s="928">
        <f aca="true" t="shared" si="1" ref="F15:F21">E15/D15*100</f>
        <v>29.5</v>
      </c>
    </row>
    <row r="16" spans="1:6" ht="51.75" customHeight="1">
      <c r="A16" s="924" t="s">
        <v>342</v>
      </c>
      <c r="B16" s="932">
        <v>2450</v>
      </c>
      <c r="C16" s="931" t="s">
        <v>747</v>
      </c>
      <c r="D16" s="927">
        <v>40000</v>
      </c>
      <c r="E16" s="927">
        <v>32862.43</v>
      </c>
      <c r="F16" s="928">
        <f t="shared" si="1"/>
        <v>82.156075</v>
      </c>
    </row>
    <row r="17" spans="1:6" ht="18" customHeight="1">
      <c r="A17" s="924" t="s">
        <v>419</v>
      </c>
      <c r="B17" s="930">
        <v>4210</v>
      </c>
      <c r="C17" s="926" t="s">
        <v>680</v>
      </c>
      <c r="D17" s="927">
        <v>34000</v>
      </c>
      <c r="E17" s="927">
        <v>6344</v>
      </c>
      <c r="F17" s="928">
        <f t="shared" si="1"/>
        <v>18.658823529411762</v>
      </c>
    </row>
    <row r="18" spans="1:6" ht="18" customHeight="1">
      <c r="A18" s="924" t="s">
        <v>426</v>
      </c>
      <c r="B18" s="930">
        <v>4240</v>
      </c>
      <c r="C18" s="926" t="s">
        <v>719</v>
      </c>
      <c r="D18" s="927">
        <v>1000</v>
      </c>
      <c r="E18" s="927">
        <v>0</v>
      </c>
      <c r="F18" s="928">
        <f t="shared" si="1"/>
        <v>0</v>
      </c>
    </row>
    <row r="19" spans="1:6" ht="18" customHeight="1">
      <c r="A19" s="924" t="s">
        <v>427</v>
      </c>
      <c r="B19" s="930">
        <v>4300</v>
      </c>
      <c r="C19" s="926" t="s">
        <v>686</v>
      </c>
      <c r="D19" s="927">
        <v>325000</v>
      </c>
      <c r="E19" s="927">
        <v>35906.15</v>
      </c>
      <c r="F19" s="928">
        <f t="shared" si="1"/>
        <v>11.048046153846155</v>
      </c>
    </row>
    <row r="20" spans="1:6" ht="18" customHeight="1">
      <c r="A20" s="924" t="s">
        <v>428</v>
      </c>
      <c r="B20" s="930">
        <v>4390</v>
      </c>
      <c r="C20" s="926" t="s">
        <v>723</v>
      </c>
      <c r="D20" s="927">
        <v>120000</v>
      </c>
      <c r="E20" s="927">
        <v>5124</v>
      </c>
      <c r="F20" s="928">
        <f t="shared" si="1"/>
        <v>4.2700000000000005</v>
      </c>
    </row>
    <row r="21" spans="1:6" ht="18" customHeight="1">
      <c r="A21" s="69" t="s">
        <v>526</v>
      </c>
      <c r="B21" s="71">
        <v>6110</v>
      </c>
      <c r="C21" s="822" t="s">
        <v>748</v>
      </c>
      <c r="D21" s="817">
        <v>3003000</v>
      </c>
      <c r="E21" s="817">
        <v>279416</v>
      </c>
      <c r="F21" s="819">
        <f t="shared" si="1"/>
        <v>9.304562104562104</v>
      </c>
    </row>
    <row r="22" spans="1:6" s="531" customFormat="1" ht="28.5" customHeight="1">
      <c r="A22" s="977" t="s">
        <v>704</v>
      </c>
      <c r="B22" s="978"/>
      <c r="C22" s="979" t="s">
        <v>998</v>
      </c>
      <c r="D22" s="980">
        <f>SUM(D8+D9-D14)</f>
        <v>203681</v>
      </c>
      <c r="E22" s="980">
        <f>SUM(E8+E9-E14)</f>
        <v>2987398.5500000003</v>
      </c>
      <c r="F22" s="981" t="s">
        <v>346</v>
      </c>
    </row>
    <row r="23" spans="1:6" ht="29.25" customHeight="1" hidden="1">
      <c r="A23" s="79" t="s">
        <v>341</v>
      </c>
      <c r="B23" s="933"/>
      <c r="C23" s="935" t="s">
        <v>655</v>
      </c>
      <c r="D23" s="936"/>
      <c r="E23" s="936">
        <v>66440</v>
      </c>
      <c r="F23" s="937"/>
    </row>
    <row r="24" spans="1:6" ht="29.25" customHeight="1" hidden="1">
      <c r="A24" s="938" t="s">
        <v>342</v>
      </c>
      <c r="B24" s="939"/>
      <c r="C24" s="940" t="s">
        <v>656</v>
      </c>
      <c r="D24" s="941"/>
      <c r="E24" s="941">
        <v>2057626</v>
      </c>
      <c r="F24" s="942"/>
    </row>
    <row r="25" spans="1:6" ht="29.25" customHeight="1" hidden="1">
      <c r="A25" s="924" t="s">
        <v>419</v>
      </c>
      <c r="B25" s="485"/>
      <c r="C25" s="940" t="s">
        <v>657</v>
      </c>
      <c r="D25" s="941"/>
      <c r="E25" s="941"/>
      <c r="F25" s="943"/>
    </row>
    <row r="26" spans="1:6" ht="29.25" customHeight="1" hidden="1">
      <c r="A26" s="944" t="s">
        <v>419</v>
      </c>
      <c r="B26" s="945"/>
      <c r="C26" s="946" t="s">
        <v>658</v>
      </c>
      <c r="D26" s="818"/>
      <c r="E26" s="818">
        <v>97</v>
      </c>
      <c r="F26" s="947"/>
    </row>
    <row r="27" spans="1:6" ht="25.5" customHeight="1" thickBot="1">
      <c r="A27" s="1679" t="s">
        <v>705</v>
      </c>
      <c r="B27" s="1680"/>
      <c r="C27" s="1680"/>
      <c r="D27" s="982">
        <f>D22+D14</f>
        <v>3746681</v>
      </c>
      <c r="E27" s="982">
        <f>E22+E14</f>
        <v>3352951.1300000004</v>
      </c>
      <c r="F27" s="983">
        <f>E27/D27*100</f>
        <v>89.4912358431369</v>
      </c>
    </row>
    <row r="28" spans="3:5" ht="12.75">
      <c r="C28" s="65" t="s">
        <v>194</v>
      </c>
      <c r="D28" s="532">
        <f>D13-D27</f>
        <v>0</v>
      </c>
      <c r="E28" s="532">
        <f>E13-E27</f>
        <v>0</v>
      </c>
    </row>
  </sheetData>
  <sheetProtection password="CF53" sheet="1" objects="1" scenarios="1" selectLockedCells="1" selectUnlockedCells="1"/>
  <mergeCells count="5">
    <mergeCell ref="A13:C13"/>
    <mergeCell ref="A27:C27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usz23">
    <tabColor indexed="42"/>
  </sheetPr>
  <dimension ref="A1:F21"/>
  <sheetViews>
    <sheetView workbookViewId="0" topLeftCell="A6">
      <selection activeCell="J11" sqref="J11"/>
    </sheetView>
  </sheetViews>
  <sheetFormatPr defaultColWidth="9.00390625" defaultRowHeight="12.75"/>
  <cols>
    <col min="1" max="1" width="3.625" style="948" customWidth="1"/>
    <col min="2" max="2" width="4.375" style="948" customWidth="1"/>
    <col min="3" max="3" width="51.875" style="948" customWidth="1"/>
    <col min="4" max="5" width="10.75390625" style="948" customWidth="1"/>
    <col min="6" max="6" width="5.25390625" style="948" customWidth="1"/>
    <col min="7" max="16384" width="9.125" style="948" customWidth="1"/>
  </cols>
  <sheetData>
    <row r="1" spans="5:6" ht="12.75">
      <c r="E1" s="1580" t="s">
        <v>777</v>
      </c>
      <c r="F1" s="1580"/>
    </row>
    <row r="2" ht="33.75" customHeight="1"/>
    <row r="3" spans="1:6" ht="12.75">
      <c r="A3" s="1483" t="s">
        <v>790</v>
      </c>
      <c r="B3" s="1483"/>
      <c r="C3" s="1483"/>
      <c r="D3" s="1483"/>
      <c r="E3" s="1483"/>
      <c r="F3" s="1483"/>
    </row>
    <row r="4" spans="1:6" ht="12.75">
      <c r="A4" s="31"/>
      <c r="B4" s="31"/>
      <c r="C4" s="31"/>
      <c r="D4" s="31"/>
      <c r="E4" s="31"/>
      <c r="F4" s="31"/>
    </row>
    <row r="5" spans="1:6" ht="27" customHeight="1" thickBot="1">
      <c r="A5" s="1678" t="s">
        <v>862</v>
      </c>
      <c r="B5" s="1678"/>
      <c r="C5" s="1678"/>
      <c r="F5" s="949" t="s">
        <v>67</v>
      </c>
    </row>
    <row r="6" spans="1:6" s="922" customFormat="1" ht="18.75" customHeight="1">
      <c r="A6" s="1144" t="s">
        <v>338</v>
      </c>
      <c r="B6" s="1145" t="s">
        <v>254</v>
      </c>
      <c r="C6" s="1145" t="s">
        <v>69</v>
      </c>
      <c r="D6" s="1146" t="s">
        <v>70</v>
      </c>
      <c r="E6" s="1146" t="s">
        <v>71</v>
      </c>
      <c r="F6" s="1147" t="s">
        <v>653</v>
      </c>
    </row>
    <row r="7" spans="1:6" s="950" customFormat="1" ht="9.75" customHeight="1" thickBot="1">
      <c r="A7" s="1148">
        <v>1</v>
      </c>
      <c r="B7" s="1149">
        <v>2</v>
      </c>
      <c r="C7" s="1149">
        <v>3</v>
      </c>
      <c r="D7" s="1150">
        <v>4</v>
      </c>
      <c r="E7" s="1150">
        <v>5</v>
      </c>
      <c r="F7" s="1151">
        <v>6</v>
      </c>
    </row>
    <row r="8" spans="1:6" s="951" customFormat="1" ht="29.25" customHeight="1">
      <c r="A8" s="986" t="s">
        <v>654</v>
      </c>
      <c r="B8" s="987"/>
      <c r="C8" s="988" t="s">
        <v>997</v>
      </c>
      <c r="D8" s="989">
        <v>65129</v>
      </c>
      <c r="E8" s="989">
        <v>65129.34</v>
      </c>
      <c r="F8" s="990" t="s">
        <v>346</v>
      </c>
    </row>
    <row r="9" spans="1:6" s="951" customFormat="1" ht="22.5" customHeight="1">
      <c r="A9" s="991" t="s">
        <v>659</v>
      </c>
      <c r="B9" s="992"/>
      <c r="C9" s="992" t="s">
        <v>329</v>
      </c>
      <c r="D9" s="993">
        <f>SUM(D10,D11)</f>
        <v>160000</v>
      </c>
      <c r="E9" s="993">
        <f>SUM(E10,E11)</f>
        <v>62559.68</v>
      </c>
      <c r="F9" s="994">
        <f aca="true" t="shared" si="0" ref="F9:F17">E9/D9*100</f>
        <v>39.0998</v>
      </c>
    </row>
    <row r="10" spans="1:6" ht="21" customHeight="1">
      <c r="A10" s="952" t="s">
        <v>341</v>
      </c>
      <c r="B10" s="953" t="s">
        <v>574</v>
      </c>
      <c r="C10" s="954" t="s">
        <v>259</v>
      </c>
      <c r="D10" s="955">
        <v>160000</v>
      </c>
      <c r="E10" s="955">
        <v>61544.87</v>
      </c>
      <c r="F10" s="956">
        <f t="shared" si="0"/>
        <v>38.46554375</v>
      </c>
    </row>
    <row r="11" spans="1:6" ht="21" customHeight="1" thickBot="1">
      <c r="A11" s="952" t="s">
        <v>342</v>
      </c>
      <c r="B11" s="925" t="s">
        <v>571</v>
      </c>
      <c r="C11" s="926" t="s">
        <v>263</v>
      </c>
      <c r="D11" s="927">
        <v>0</v>
      </c>
      <c r="E11" s="927">
        <v>1014.81</v>
      </c>
      <c r="F11" s="929" t="s">
        <v>312</v>
      </c>
    </row>
    <row r="12" spans="1:6" s="951" customFormat="1" ht="22.5" customHeight="1" thickBot="1">
      <c r="A12" s="1682" t="s">
        <v>665</v>
      </c>
      <c r="B12" s="1683"/>
      <c r="C12" s="1683"/>
      <c r="D12" s="995">
        <f>D9+D8</f>
        <v>225129</v>
      </c>
      <c r="E12" s="995">
        <f>E9+E8</f>
        <v>127689.01999999999</v>
      </c>
      <c r="F12" s="996">
        <f t="shared" si="0"/>
        <v>56.718157145458825</v>
      </c>
    </row>
    <row r="13" spans="1:6" s="951" customFormat="1" ht="24.75" customHeight="1">
      <c r="A13" s="991" t="s">
        <v>666</v>
      </c>
      <c r="B13" s="992"/>
      <c r="C13" s="992" t="s">
        <v>667</v>
      </c>
      <c r="D13" s="993">
        <f>SUM(D14,D15,D16,D17)</f>
        <v>224829</v>
      </c>
      <c r="E13" s="993">
        <f>SUM(E14,E15,E16,E17)</f>
        <v>74303.31</v>
      </c>
      <c r="F13" s="994">
        <f t="shared" si="0"/>
        <v>33.04881042925957</v>
      </c>
    </row>
    <row r="14" spans="1:6" ht="33" customHeight="1">
      <c r="A14" s="952" t="s">
        <v>341</v>
      </c>
      <c r="B14" s="957">
        <v>2440</v>
      </c>
      <c r="C14" s="958" t="s">
        <v>746</v>
      </c>
      <c r="D14" s="955">
        <v>52700</v>
      </c>
      <c r="E14" s="955">
        <v>23076.36</v>
      </c>
      <c r="F14" s="956">
        <f t="shared" si="0"/>
        <v>43.788159392789375</v>
      </c>
    </row>
    <row r="15" spans="1:6" ht="40.5" customHeight="1">
      <c r="A15" s="952" t="s">
        <v>342</v>
      </c>
      <c r="B15" s="957">
        <v>2450</v>
      </c>
      <c r="C15" s="958" t="s">
        <v>747</v>
      </c>
      <c r="D15" s="955">
        <v>20000</v>
      </c>
      <c r="E15" s="955">
        <v>0</v>
      </c>
      <c r="F15" s="956">
        <f t="shared" si="0"/>
        <v>0</v>
      </c>
    </row>
    <row r="16" spans="1:6" ht="24" customHeight="1">
      <c r="A16" s="952" t="s">
        <v>419</v>
      </c>
      <c r="B16" s="957">
        <v>4210</v>
      </c>
      <c r="C16" s="926" t="s">
        <v>680</v>
      </c>
      <c r="D16" s="955">
        <v>40000</v>
      </c>
      <c r="E16" s="955">
        <v>0</v>
      </c>
      <c r="F16" s="956">
        <f t="shared" si="0"/>
        <v>0</v>
      </c>
    </row>
    <row r="17" spans="1:6" ht="23.25" customHeight="1">
      <c r="A17" s="959" t="s">
        <v>426</v>
      </c>
      <c r="B17" s="960">
        <v>4300</v>
      </c>
      <c r="C17" s="961" t="s">
        <v>686</v>
      </c>
      <c r="D17" s="962">
        <v>112129</v>
      </c>
      <c r="E17" s="962">
        <v>51226.95</v>
      </c>
      <c r="F17" s="963">
        <f t="shared" si="0"/>
        <v>45.68572804537631</v>
      </c>
    </row>
    <row r="18" spans="1:6" s="951" customFormat="1" ht="28.5" customHeight="1">
      <c r="A18" s="997" t="s">
        <v>704</v>
      </c>
      <c r="B18" s="998"/>
      <c r="C18" s="999" t="s">
        <v>998</v>
      </c>
      <c r="D18" s="1000">
        <f>SUM(D8+D9-D13)</f>
        <v>300</v>
      </c>
      <c r="E18" s="1000">
        <f>SUM(E8+E9-E13)</f>
        <v>53385.70999999999</v>
      </c>
      <c r="F18" s="1001" t="s">
        <v>346</v>
      </c>
    </row>
    <row r="19" spans="1:6" ht="22.5" customHeight="1" thickBot="1">
      <c r="A19" s="1684" t="s">
        <v>705</v>
      </c>
      <c r="B19" s="1685"/>
      <c r="C19" s="1685"/>
      <c r="D19" s="1002">
        <f>D18+D13</f>
        <v>225129</v>
      </c>
      <c r="E19" s="1002">
        <f>E18+E13</f>
        <v>127689.01999999999</v>
      </c>
      <c r="F19" s="1003">
        <f>E19/D19*100</f>
        <v>56.718157145458825</v>
      </c>
    </row>
    <row r="21" spans="3:5" ht="12.75">
      <c r="C21" s="949" t="s">
        <v>194</v>
      </c>
      <c r="D21" s="964">
        <f>D12-D19</f>
        <v>0</v>
      </c>
      <c r="E21" s="964">
        <f>E12-E19</f>
        <v>0</v>
      </c>
    </row>
  </sheetData>
  <sheetProtection password="CF53" sheet="1" objects="1" scenarios="1" selectLockedCells="1" selectUnlockedCells="1"/>
  <mergeCells count="5">
    <mergeCell ref="A12:C12"/>
    <mergeCell ref="A19:C19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</sheetPr>
  <dimension ref="A1:E34"/>
  <sheetViews>
    <sheetView view="pageBreakPreview" zoomScaleSheetLayoutView="100" workbookViewId="0" topLeftCell="A14">
      <selection activeCell="F32" sqref="F32"/>
    </sheetView>
  </sheetViews>
  <sheetFormatPr defaultColWidth="9.00390625" defaultRowHeight="15.75" customHeight="1"/>
  <cols>
    <col min="1" max="1" width="4.875" style="64" customWidth="1"/>
    <col min="2" max="2" width="53.75390625" style="65" customWidth="1"/>
    <col min="3" max="3" width="11.75390625" style="65" customWidth="1"/>
    <col min="4" max="4" width="11.125" style="65" customWidth="1"/>
    <col min="5" max="5" width="5.375" style="65" customWidth="1"/>
    <col min="6" max="16384" width="9.125" style="65" customWidth="1"/>
  </cols>
  <sheetData>
    <row r="1" spans="4:5" ht="15.75" customHeight="1">
      <c r="D1" s="1580" t="s">
        <v>776</v>
      </c>
      <c r="E1" s="1580"/>
    </row>
    <row r="3" spans="1:5" ht="15.75" customHeight="1">
      <c r="A3" s="1483" t="s">
        <v>193</v>
      </c>
      <c r="B3" s="1483"/>
      <c r="C3" s="1483"/>
      <c r="D3" s="1483"/>
      <c r="E3" s="1483"/>
    </row>
    <row r="4" ht="17.25" customHeight="1"/>
    <row r="5" spans="1:5" ht="12.75" customHeight="1" thickBot="1">
      <c r="A5" s="1678" t="s">
        <v>863</v>
      </c>
      <c r="B5" s="1678"/>
      <c r="E5" s="66" t="s">
        <v>67</v>
      </c>
    </row>
    <row r="6" spans="1:5" s="31" customFormat="1" ht="15.75" customHeight="1">
      <c r="A6" s="871" t="s">
        <v>338</v>
      </c>
      <c r="B6" s="872" t="s">
        <v>69</v>
      </c>
      <c r="C6" s="872" t="s">
        <v>70</v>
      </c>
      <c r="D6" s="872" t="s">
        <v>71</v>
      </c>
      <c r="E6" s="1152" t="s">
        <v>72</v>
      </c>
    </row>
    <row r="7" spans="1:5" s="531" customFormat="1" ht="10.5" customHeight="1" thickBot="1">
      <c r="A7" s="1153">
        <v>1</v>
      </c>
      <c r="B7" s="1154">
        <v>2</v>
      </c>
      <c r="C7" s="1154">
        <v>3</v>
      </c>
      <c r="D7" s="1154">
        <v>4</v>
      </c>
      <c r="E7" s="1155">
        <v>5</v>
      </c>
    </row>
    <row r="8" spans="1:5" s="531" customFormat="1" ht="19.5" customHeight="1" thickBot="1">
      <c r="A8" s="1319" t="s">
        <v>654</v>
      </c>
      <c r="B8" s="1320" t="s">
        <v>644</v>
      </c>
      <c r="C8" s="1321">
        <v>88033</v>
      </c>
      <c r="D8" s="1321">
        <v>149138.96</v>
      </c>
      <c r="E8" s="1322">
        <f>D8/C8*100</f>
        <v>169.4125611986414</v>
      </c>
    </row>
    <row r="9" spans="1:5" ht="19.5" customHeight="1">
      <c r="A9" s="771" t="s">
        <v>659</v>
      </c>
      <c r="B9" s="1025" t="s">
        <v>329</v>
      </c>
      <c r="C9" s="919">
        <f>SUM(C10:C11)</f>
        <v>1604900</v>
      </c>
      <c r="D9" s="919">
        <f>SUM(D10:D11)</f>
        <v>827788</v>
      </c>
      <c r="E9" s="1026">
        <f>D9/C9*100</f>
        <v>51.578789955760485</v>
      </c>
    </row>
    <row r="10" spans="1:5" ht="19.5" customHeight="1">
      <c r="A10" s="938" t="s">
        <v>341</v>
      </c>
      <c r="B10" s="940" t="s">
        <v>1147</v>
      </c>
      <c r="C10" s="1015">
        <v>1277900</v>
      </c>
      <c r="D10" s="1015">
        <v>657900</v>
      </c>
      <c r="E10" s="928">
        <f>D10/C10*100</f>
        <v>51.482901635495736</v>
      </c>
    </row>
    <row r="11" spans="1:5" ht="19.5" customHeight="1" thickBot="1">
      <c r="A11" s="1303" t="s">
        <v>342</v>
      </c>
      <c r="B11" s="1016" t="s">
        <v>1148</v>
      </c>
      <c r="C11" s="1017">
        <v>327000</v>
      </c>
      <c r="D11" s="1017">
        <v>169888</v>
      </c>
      <c r="E11" s="1018">
        <f>D11/C11*100</f>
        <v>51.95351681957187</v>
      </c>
    </row>
    <row r="12" spans="1:5" s="531" customFormat="1" ht="19.5" customHeight="1" thickBot="1">
      <c r="A12" s="1661" t="s">
        <v>665</v>
      </c>
      <c r="B12" s="1662"/>
      <c r="C12" s="1318">
        <f>SUM(C8,C9)</f>
        <v>1692933</v>
      </c>
      <c r="D12" s="916">
        <f>SUM(D8,D9)</f>
        <v>976926.96</v>
      </c>
      <c r="E12" s="838">
        <f aca="true" t="shared" si="0" ref="E12:E24">D12/C12*100</f>
        <v>57.70617974840114</v>
      </c>
    </row>
    <row r="13" spans="1:5" s="531" customFormat="1" ht="19.5" customHeight="1">
      <c r="A13" s="771" t="s">
        <v>666</v>
      </c>
      <c r="B13" s="1025" t="s">
        <v>992</v>
      </c>
      <c r="C13" s="919">
        <f>SUM(C14,C15,C16,C17,C18,C19,C20,C21,C22,C23,C24)</f>
        <v>1608800</v>
      </c>
      <c r="D13" s="919">
        <f>SUM(D14,D15,D16,D17,D18,D19,D20,D21,D22,D23,D24)</f>
        <v>831621</v>
      </c>
      <c r="E13" s="1026">
        <f t="shared" si="0"/>
        <v>51.69200646444555</v>
      </c>
    </row>
    <row r="14" spans="1:5" ht="19.5" customHeight="1">
      <c r="A14" s="938" t="s">
        <v>341</v>
      </c>
      <c r="B14" s="939" t="s">
        <v>669</v>
      </c>
      <c r="C14" s="1015">
        <v>880600</v>
      </c>
      <c r="D14" s="1015">
        <v>448767</v>
      </c>
      <c r="E14" s="928">
        <f t="shared" si="0"/>
        <v>50.96150352032704</v>
      </c>
    </row>
    <row r="15" spans="1:5" ht="19.5" customHeight="1">
      <c r="A15" s="938" t="s">
        <v>342</v>
      </c>
      <c r="B15" s="939" t="s">
        <v>1072</v>
      </c>
      <c r="C15" s="1015">
        <v>179027</v>
      </c>
      <c r="D15" s="1015">
        <v>76776</v>
      </c>
      <c r="E15" s="928">
        <f t="shared" si="0"/>
        <v>42.88515140174387</v>
      </c>
    </row>
    <row r="16" spans="1:5" ht="19.5" customHeight="1">
      <c r="A16" s="938" t="s">
        <v>419</v>
      </c>
      <c r="B16" s="939" t="s">
        <v>693</v>
      </c>
      <c r="C16" s="1015">
        <v>18000</v>
      </c>
      <c r="D16" s="1015">
        <v>18000</v>
      </c>
      <c r="E16" s="928">
        <f t="shared" si="0"/>
        <v>100</v>
      </c>
    </row>
    <row r="17" spans="1:5" ht="19.5" customHeight="1">
      <c r="A17" s="938" t="s">
        <v>426</v>
      </c>
      <c r="B17" s="939" t="s">
        <v>676</v>
      </c>
      <c r="C17" s="1015">
        <v>102650</v>
      </c>
      <c r="D17" s="1015">
        <v>24731</v>
      </c>
      <c r="E17" s="928">
        <f t="shared" si="0"/>
        <v>24.092547491475887</v>
      </c>
    </row>
    <row r="18" spans="1:5" ht="19.5" customHeight="1">
      <c r="A18" s="938" t="s">
        <v>427</v>
      </c>
      <c r="B18" s="939" t="s">
        <v>1149</v>
      </c>
      <c r="C18" s="1015">
        <v>190000</v>
      </c>
      <c r="D18" s="1015">
        <v>149685</v>
      </c>
      <c r="E18" s="928">
        <f t="shared" si="0"/>
        <v>78.78157894736843</v>
      </c>
    </row>
    <row r="19" spans="1:5" ht="19.5" customHeight="1">
      <c r="A19" s="938" t="s">
        <v>428</v>
      </c>
      <c r="B19" s="939" t="s">
        <v>1150</v>
      </c>
      <c r="C19" s="1015">
        <v>5000</v>
      </c>
      <c r="D19" s="1015">
        <v>5457</v>
      </c>
      <c r="E19" s="928">
        <f t="shared" si="0"/>
        <v>109.13999999999999</v>
      </c>
    </row>
    <row r="20" spans="1:5" ht="19.5" customHeight="1">
      <c r="A20" s="938" t="s">
        <v>526</v>
      </c>
      <c r="B20" s="939" t="s">
        <v>1151</v>
      </c>
      <c r="C20" s="1015">
        <v>87000</v>
      </c>
      <c r="D20" s="1015">
        <v>46188</v>
      </c>
      <c r="E20" s="928">
        <f t="shared" si="0"/>
        <v>53.0896551724138</v>
      </c>
    </row>
    <row r="21" spans="1:5" ht="19.5" customHeight="1">
      <c r="A21" s="938" t="s">
        <v>527</v>
      </c>
      <c r="B21" s="939" t="s">
        <v>691</v>
      </c>
      <c r="C21" s="1015">
        <v>7200</v>
      </c>
      <c r="D21" s="1015">
        <v>1432</v>
      </c>
      <c r="E21" s="928">
        <f t="shared" si="0"/>
        <v>19.88888888888889</v>
      </c>
    </row>
    <row r="22" spans="1:5" ht="19.5" customHeight="1">
      <c r="A22" s="938" t="s">
        <v>429</v>
      </c>
      <c r="B22" s="939" t="s">
        <v>692</v>
      </c>
      <c r="C22" s="1015">
        <v>43823</v>
      </c>
      <c r="D22" s="1015">
        <v>20203</v>
      </c>
      <c r="E22" s="928">
        <f t="shared" si="0"/>
        <v>46.10136229833649</v>
      </c>
    </row>
    <row r="23" spans="1:5" ht="19.5" customHeight="1">
      <c r="A23" s="938" t="s">
        <v>431</v>
      </c>
      <c r="B23" s="939" t="s">
        <v>1152</v>
      </c>
      <c r="C23" s="1015">
        <v>84000</v>
      </c>
      <c r="D23" s="1015">
        <v>35132</v>
      </c>
      <c r="E23" s="928">
        <f t="shared" si="0"/>
        <v>41.82380952380952</v>
      </c>
    </row>
    <row r="24" spans="1:5" ht="19.5" customHeight="1" thickBot="1">
      <c r="A24" s="938" t="s">
        <v>528</v>
      </c>
      <c r="B24" s="939" t="s">
        <v>1153</v>
      </c>
      <c r="C24" s="1015">
        <v>11500</v>
      </c>
      <c r="D24" s="1015">
        <v>5250</v>
      </c>
      <c r="E24" s="928">
        <f t="shared" si="0"/>
        <v>45.65217391304348</v>
      </c>
    </row>
    <row r="25" spans="1:5" s="531" customFormat="1" ht="19.5" customHeight="1" thickBot="1">
      <c r="A25" s="1315" t="s">
        <v>704</v>
      </c>
      <c r="B25" s="1022" t="s">
        <v>645</v>
      </c>
      <c r="C25" s="1316">
        <f>SUM(C8+C9-C13)</f>
        <v>84133</v>
      </c>
      <c r="D25" s="1316">
        <f>SUM(D8+D9-D13)</f>
        <v>145305.95999999996</v>
      </c>
      <c r="E25" s="1317" t="s">
        <v>346</v>
      </c>
    </row>
    <row r="26" spans="1:5" s="531" customFormat="1" ht="20.25" customHeight="1" thickBot="1">
      <c r="A26" s="1676" t="s">
        <v>705</v>
      </c>
      <c r="B26" s="1686"/>
      <c r="C26" s="1307">
        <f>SUM(C13,C25)</f>
        <v>1692933</v>
      </c>
      <c r="D26" s="1307">
        <f>SUM(D13,D25)</f>
        <v>976926.96</v>
      </c>
      <c r="E26" s="1032">
        <f>D26/C26*100</f>
        <v>57.70617974840114</v>
      </c>
    </row>
    <row r="27" spans="2:4" ht="15.75" customHeight="1">
      <c r="B27" s="66" t="s">
        <v>194</v>
      </c>
      <c r="C27" s="1020">
        <f>C12-C26</f>
        <v>0</v>
      </c>
      <c r="D27" s="1020">
        <f>D12-D26</f>
        <v>0</v>
      </c>
    </row>
    <row r="28" spans="3:4" ht="15.75" customHeight="1">
      <c r="C28" s="66"/>
      <c r="D28" s="66"/>
    </row>
    <row r="29" spans="3:4" ht="15.75" customHeight="1">
      <c r="C29" s="66"/>
      <c r="D29" s="66"/>
    </row>
    <row r="30" spans="3:4" ht="15.75" customHeight="1">
      <c r="C30" s="66"/>
      <c r="D30" s="66"/>
    </row>
    <row r="31" spans="3:4" ht="15.75" customHeight="1">
      <c r="C31" s="66"/>
      <c r="D31" s="66"/>
    </row>
    <row r="32" spans="3:4" ht="15.75" customHeight="1">
      <c r="C32" s="66"/>
      <c r="D32" s="66"/>
    </row>
    <row r="33" spans="3:4" ht="15.75" customHeight="1">
      <c r="C33" s="66"/>
      <c r="D33" s="66"/>
    </row>
    <row r="34" spans="3:4" ht="15.75" customHeight="1">
      <c r="C34" s="66"/>
      <c r="D34" s="66"/>
    </row>
  </sheetData>
  <sheetProtection password="CF53" sheet="1" objects="1" scenarios="1" selectLockedCells="1" selectUnlockedCells="1"/>
  <mergeCells count="5">
    <mergeCell ref="A3:E3"/>
    <mergeCell ref="A12:B12"/>
    <mergeCell ref="A26:B26"/>
    <mergeCell ref="D1:E1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</sheetPr>
  <dimension ref="A1:E35"/>
  <sheetViews>
    <sheetView view="pageBreakPreview" zoomScaleSheetLayoutView="100" workbookViewId="0" topLeftCell="A17">
      <selection activeCell="I35" sqref="I35"/>
    </sheetView>
  </sheetViews>
  <sheetFormatPr defaultColWidth="9.00390625" defaultRowHeight="12.75"/>
  <cols>
    <col min="1" max="1" width="4.875" style="2" customWidth="1"/>
    <col min="2" max="2" width="51.625" style="3" customWidth="1"/>
    <col min="3" max="3" width="12.625" style="21" customWidth="1"/>
    <col min="4" max="4" width="11.625" style="21" customWidth="1"/>
    <col min="5" max="5" width="6.375" style="22" customWidth="1"/>
    <col min="6" max="16384" width="9.125" style="3" customWidth="1"/>
  </cols>
  <sheetData>
    <row r="1" spans="1:5" s="65" customFormat="1" ht="12.75">
      <c r="A1" s="64"/>
      <c r="C1" s="1295"/>
      <c r="D1" s="1580" t="s">
        <v>775</v>
      </c>
      <c r="E1" s="1580"/>
    </row>
    <row r="2" spans="1:5" s="65" customFormat="1" ht="12.75">
      <c r="A2" s="64"/>
      <c r="C2" s="1295"/>
      <c r="D2" s="1295"/>
      <c r="E2" s="1296"/>
    </row>
    <row r="3" spans="1:5" s="65" customFormat="1" ht="12.75">
      <c r="A3" s="1483" t="s">
        <v>411</v>
      </c>
      <c r="B3" s="1483"/>
      <c r="C3" s="1483"/>
      <c r="D3" s="1483"/>
      <c r="E3" s="1483"/>
    </row>
    <row r="4" spans="1:5" s="65" customFormat="1" ht="12.75">
      <c r="A4" s="64"/>
      <c r="C4" s="1295"/>
      <c r="D4" s="1295"/>
      <c r="E4" s="1296"/>
    </row>
    <row r="5" spans="1:5" s="65" customFormat="1" ht="13.5" thickBot="1">
      <c r="A5" s="1678" t="s">
        <v>617</v>
      </c>
      <c r="B5" s="1678"/>
      <c r="C5" s="1295"/>
      <c r="D5" s="1295"/>
      <c r="E5" s="1296" t="s">
        <v>67</v>
      </c>
    </row>
    <row r="6" spans="1:5" s="1297" customFormat="1" ht="18" customHeight="1">
      <c r="A6" s="1156" t="s">
        <v>338</v>
      </c>
      <c r="B6" s="1157" t="s">
        <v>69</v>
      </c>
      <c r="C6" s="1158" t="s">
        <v>70</v>
      </c>
      <c r="D6" s="1158" t="s">
        <v>71</v>
      </c>
      <c r="E6" s="1152" t="s">
        <v>72</v>
      </c>
    </row>
    <row r="7" spans="1:5" s="1297" customFormat="1" ht="10.5" customHeight="1" thickBot="1">
      <c r="A7" s="1159">
        <v>1</v>
      </c>
      <c r="B7" s="1160">
        <v>2</v>
      </c>
      <c r="C7" s="1161">
        <v>3</v>
      </c>
      <c r="D7" s="1161">
        <v>4</v>
      </c>
      <c r="E7" s="1162">
        <v>5</v>
      </c>
    </row>
    <row r="8" spans="1:5" s="1297" customFormat="1" ht="18" customHeight="1">
      <c r="A8" s="771" t="s">
        <v>654</v>
      </c>
      <c r="B8" s="1309" t="s">
        <v>644</v>
      </c>
      <c r="C8" s="919">
        <v>3123</v>
      </c>
      <c r="D8" s="919">
        <v>3123</v>
      </c>
      <c r="E8" s="972" t="s">
        <v>346</v>
      </c>
    </row>
    <row r="9" spans="1:5" s="824" customFormat="1" ht="18" customHeight="1">
      <c r="A9" s="1204" t="s">
        <v>659</v>
      </c>
      <c r="B9" s="1310" t="s">
        <v>329</v>
      </c>
      <c r="C9" s="1311">
        <f>SUM(C10,C13,C14)</f>
        <v>1115000</v>
      </c>
      <c r="D9" s="1311">
        <f>SUM(D10,D13,D14)</f>
        <v>650559</v>
      </c>
      <c r="E9" s="1312">
        <v>51.7</v>
      </c>
    </row>
    <row r="10" spans="1:5" s="485" customFormat="1" ht="18" customHeight="1">
      <c r="A10" s="938" t="s">
        <v>341</v>
      </c>
      <c r="B10" s="940" t="s">
        <v>995</v>
      </c>
      <c r="C10" s="1015">
        <f>SUM(C11,C12)</f>
        <v>40000</v>
      </c>
      <c r="D10" s="1015">
        <f>SUM(D11,D12)</f>
        <v>20559</v>
      </c>
      <c r="E10" s="929">
        <f aca="true" t="shared" si="0" ref="E10:E28">D10/C10*100</f>
        <v>51.397499999999994</v>
      </c>
    </row>
    <row r="11" spans="1:5" s="1302" customFormat="1" ht="18" customHeight="1">
      <c r="A11" s="1298" t="s">
        <v>165</v>
      </c>
      <c r="B11" s="1299" t="s">
        <v>1034</v>
      </c>
      <c r="C11" s="1300">
        <v>20000</v>
      </c>
      <c r="D11" s="1300">
        <v>10890</v>
      </c>
      <c r="E11" s="1301">
        <v>54.4</v>
      </c>
    </row>
    <row r="12" spans="1:5" s="1302" customFormat="1" ht="18" customHeight="1">
      <c r="A12" s="1298" t="s">
        <v>166</v>
      </c>
      <c r="B12" s="1299" t="s">
        <v>1071</v>
      </c>
      <c r="C12" s="1300">
        <v>20000</v>
      </c>
      <c r="D12" s="1300">
        <v>9669</v>
      </c>
      <c r="E12" s="1301">
        <f>D12/C12*100</f>
        <v>48.345</v>
      </c>
    </row>
    <row r="13" spans="1:5" s="485" customFormat="1" ht="18" customHeight="1">
      <c r="A13" s="938" t="s">
        <v>342</v>
      </c>
      <c r="B13" s="939" t="s">
        <v>371</v>
      </c>
      <c r="C13" s="1015"/>
      <c r="D13" s="1015"/>
      <c r="E13" s="929" t="e">
        <f>D13/C13*100</f>
        <v>#DIV/0!</v>
      </c>
    </row>
    <row r="14" spans="1:5" s="485" customFormat="1" ht="18" customHeight="1" thickBot="1">
      <c r="A14" s="1303" t="s">
        <v>419</v>
      </c>
      <c r="B14" s="1016" t="s">
        <v>187</v>
      </c>
      <c r="C14" s="1017">
        <v>1075000</v>
      </c>
      <c r="D14" s="1017">
        <v>630000</v>
      </c>
      <c r="E14" s="1304">
        <v>51.8</v>
      </c>
    </row>
    <row r="15" spans="1:5" s="824" customFormat="1" ht="18" customHeight="1" thickBot="1">
      <c r="A15" s="1687" t="s">
        <v>665</v>
      </c>
      <c r="B15" s="1688"/>
      <c r="C15" s="1307">
        <f>SUM(C8,C9)</f>
        <v>1118123</v>
      </c>
      <c r="D15" s="1307">
        <f>SUM(D8,D9)</f>
        <v>653682</v>
      </c>
      <c r="E15" s="1308">
        <f t="shared" si="0"/>
        <v>58.46244107311986</v>
      </c>
    </row>
    <row r="16" spans="1:5" s="824" customFormat="1" ht="18" customHeight="1">
      <c r="A16" s="771" t="s">
        <v>666</v>
      </c>
      <c r="B16" s="1025" t="s">
        <v>992</v>
      </c>
      <c r="C16" s="919">
        <f>SUM(C17,C18,C19,C20,C21,C24,C25,C26,C27,C28,C29,C30)</f>
        <v>1115000</v>
      </c>
      <c r="D16" s="919">
        <f>SUM(D17,D18,D19,D20,D21,D24,D25,D26,D27,D28,D29,D30)</f>
        <v>497660</v>
      </c>
      <c r="E16" s="773">
        <f t="shared" si="0"/>
        <v>44.63318385650224</v>
      </c>
    </row>
    <row r="17" spans="1:5" s="485" customFormat="1" ht="18" customHeight="1">
      <c r="A17" s="938" t="s">
        <v>341</v>
      </c>
      <c r="B17" s="940" t="s">
        <v>188</v>
      </c>
      <c r="C17" s="1015"/>
      <c r="D17" s="1015">
        <v>16141</v>
      </c>
      <c r="E17" s="929"/>
    </row>
    <row r="18" spans="1:5" s="65" customFormat="1" ht="18" customHeight="1">
      <c r="A18" s="938" t="s">
        <v>342</v>
      </c>
      <c r="B18" s="939" t="s">
        <v>1067</v>
      </c>
      <c r="C18" s="1015">
        <v>137000</v>
      </c>
      <c r="D18" s="1015">
        <v>46782</v>
      </c>
      <c r="E18" s="929">
        <f t="shared" si="0"/>
        <v>34.14744525547445</v>
      </c>
    </row>
    <row r="19" spans="1:5" s="65" customFormat="1" ht="18" customHeight="1">
      <c r="A19" s="938" t="s">
        <v>419</v>
      </c>
      <c r="B19" s="939" t="s">
        <v>1068</v>
      </c>
      <c r="C19" s="1015">
        <v>70000</v>
      </c>
      <c r="D19" s="1015">
        <v>33705</v>
      </c>
      <c r="E19" s="929">
        <f t="shared" si="0"/>
        <v>48.15</v>
      </c>
    </row>
    <row r="20" spans="1:5" s="65" customFormat="1" ht="18" customHeight="1">
      <c r="A20" s="938" t="s">
        <v>426</v>
      </c>
      <c r="B20" s="939" t="s">
        <v>189</v>
      </c>
      <c r="C20" s="1015">
        <v>35000</v>
      </c>
      <c r="D20" s="1015">
        <v>9930</v>
      </c>
      <c r="E20" s="929">
        <v>60.9</v>
      </c>
    </row>
    <row r="21" spans="1:5" s="65" customFormat="1" ht="18" customHeight="1">
      <c r="A21" s="938" t="s">
        <v>427</v>
      </c>
      <c r="B21" s="939" t="s">
        <v>190</v>
      </c>
      <c r="C21" s="1015">
        <f>SUM(C22:C23)</f>
        <v>669000</v>
      </c>
      <c r="D21" s="1015">
        <f>SUM(D22:D23)</f>
        <v>299633</v>
      </c>
      <c r="E21" s="929">
        <f t="shared" si="0"/>
        <v>44.78819133034379</v>
      </c>
    </row>
    <row r="22" spans="1:5" s="92" customFormat="1" ht="18" customHeight="1">
      <c r="A22" s="1298" t="s">
        <v>1021</v>
      </c>
      <c r="B22" s="1299" t="s">
        <v>1069</v>
      </c>
      <c r="C22" s="1300">
        <v>658000</v>
      </c>
      <c r="D22" s="1300">
        <v>293033</v>
      </c>
      <c r="E22" s="1301">
        <f t="shared" si="0"/>
        <v>44.5338905775076</v>
      </c>
    </row>
    <row r="23" spans="1:5" s="92" customFormat="1" ht="18" customHeight="1">
      <c r="A23" s="1298" t="s">
        <v>1023</v>
      </c>
      <c r="B23" s="1299" t="s">
        <v>1070</v>
      </c>
      <c r="C23" s="1300">
        <v>11000</v>
      </c>
      <c r="D23" s="1300">
        <v>6600</v>
      </c>
      <c r="E23" s="1301">
        <f t="shared" si="0"/>
        <v>60</v>
      </c>
    </row>
    <row r="24" spans="1:5" s="65" customFormat="1" ht="18" customHeight="1">
      <c r="A24" s="938" t="s">
        <v>428</v>
      </c>
      <c r="B24" s="939" t="s">
        <v>1072</v>
      </c>
      <c r="C24" s="1015">
        <v>127700</v>
      </c>
      <c r="D24" s="1015">
        <v>51879</v>
      </c>
      <c r="E24" s="929">
        <f t="shared" si="0"/>
        <v>40.62568519968677</v>
      </c>
    </row>
    <row r="25" spans="1:5" s="65" customFormat="1" ht="18" customHeight="1">
      <c r="A25" s="938" t="s">
        <v>526</v>
      </c>
      <c r="B25" s="939" t="s">
        <v>191</v>
      </c>
      <c r="C25" s="1015">
        <v>2000</v>
      </c>
      <c r="D25" s="1015">
        <v>590</v>
      </c>
      <c r="E25" s="929">
        <f t="shared" si="0"/>
        <v>29.5</v>
      </c>
    </row>
    <row r="26" spans="1:5" s="65" customFormat="1" ht="18" customHeight="1">
      <c r="A26" s="938" t="s">
        <v>527</v>
      </c>
      <c r="B26" s="939" t="s">
        <v>192</v>
      </c>
      <c r="C26" s="1015">
        <v>51000</v>
      </c>
      <c r="D26" s="1015">
        <v>22682</v>
      </c>
      <c r="E26" s="929">
        <f t="shared" si="0"/>
        <v>44.47450980392157</v>
      </c>
    </row>
    <row r="27" spans="1:5" s="65" customFormat="1" ht="18" customHeight="1">
      <c r="A27" s="938" t="s">
        <v>429</v>
      </c>
      <c r="B27" s="939" t="s">
        <v>692</v>
      </c>
      <c r="C27" s="1015">
        <v>5300</v>
      </c>
      <c r="D27" s="1015">
        <v>2818</v>
      </c>
      <c r="E27" s="929">
        <f t="shared" si="0"/>
        <v>53.16981132075471</v>
      </c>
    </row>
    <row r="28" spans="1:5" s="65" customFormat="1" ht="18" customHeight="1">
      <c r="A28" s="938" t="s">
        <v>431</v>
      </c>
      <c r="B28" s="939" t="s">
        <v>693</v>
      </c>
      <c r="C28" s="1015">
        <v>18000</v>
      </c>
      <c r="D28" s="1015">
        <v>13500</v>
      </c>
      <c r="E28" s="929">
        <f t="shared" si="0"/>
        <v>75</v>
      </c>
    </row>
    <row r="29" spans="1:5" s="65" customFormat="1" ht="18" customHeight="1">
      <c r="A29" s="938"/>
      <c r="B29" s="940"/>
      <c r="C29" s="1305"/>
      <c r="D29" s="1015"/>
      <c r="E29" s="929"/>
    </row>
    <row r="30" spans="1:5" s="65" customFormat="1" ht="2.25" customHeight="1" thickBot="1">
      <c r="A30" s="833"/>
      <c r="B30" s="1306"/>
      <c r="C30" s="1017"/>
      <c r="D30" s="1017"/>
      <c r="E30" s="1304"/>
    </row>
    <row r="31" spans="1:5" s="824" customFormat="1" ht="18" customHeight="1" thickBot="1">
      <c r="A31" s="977" t="s">
        <v>704</v>
      </c>
      <c r="B31" s="1313" t="s">
        <v>645</v>
      </c>
      <c r="C31" s="1314">
        <f>C8+C9-C16</f>
        <v>3123</v>
      </c>
      <c r="D31" s="1314">
        <f>D8+D9-D16</f>
        <v>156022</v>
      </c>
      <c r="E31" s="981" t="s">
        <v>346</v>
      </c>
    </row>
    <row r="32" spans="1:5" s="531" customFormat="1" ht="18" customHeight="1" thickBot="1">
      <c r="A32" s="1687" t="s">
        <v>705</v>
      </c>
      <c r="B32" s="1688"/>
      <c r="C32" s="1307">
        <f>C16+C31</f>
        <v>1118123</v>
      </c>
      <c r="D32" s="1307">
        <f>D16+D31</f>
        <v>653682</v>
      </c>
      <c r="E32" s="1308">
        <f>D32/C32*100</f>
        <v>58.46244107311986</v>
      </c>
    </row>
    <row r="33" spans="1:5" s="65" customFormat="1" ht="12.75">
      <c r="A33" s="64"/>
      <c r="B33" s="66" t="s">
        <v>194</v>
      </c>
      <c r="C33" s="1295">
        <f>C15-C32</f>
        <v>0</v>
      </c>
      <c r="D33" s="1295">
        <f>D15-D32</f>
        <v>0</v>
      </c>
      <c r="E33" s="1296"/>
    </row>
    <row r="34" spans="1:5" s="65" customFormat="1" ht="12.75">
      <c r="A34" s="64"/>
      <c r="C34" s="1295"/>
      <c r="D34" s="1295"/>
      <c r="E34" s="1296"/>
    </row>
    <row r="35" spans="1:5" s="65" customFormat="1" ht="12.75">
      <c r="A35" s="64"/>
      <c r="C35" s="1295"/>
      <c r="D35" s="1295"/>
      <c r="E35" s="1296"/>
    </row>
  </sheetData>
  <sheetProtection password="CF53" sheet="1" objects="1" scenarios="1" selectLockedCells="1" selectUnlockedCells="1"/>
  <mergeCells count="5">
    <mergeCell ref="A3:E3"/>
    <mergeCell ref="A15:B15"/>
    <mergeCell ref="A32:B32"/>
    <mergeCell ref="D1:E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2"/>
  </sheetPr>
  <dimension ref="A1:E42"/>
  <sheetViews>
    <sheetView view="pageBreakPreview" zoomScaleSheetLayoutView="100" workbookViewId="0" topLeftCell="A1">
      <selection activeCell="G12" sqref="G12"/>
    </sheetView>
  </sheetViews>
  <sheetFormatPr defaultColWidth="9.00390625" defaultRowHeight="15.75" customHeight="1"/>
  <cols>
    <col min="1" max="1" width="4.875" style="64" customWidth="1"/>
    <col min="2" max="2" width="54.25390625" style="65" customWidth="1"/>
    <col min="3" max="3" width="11.75390625" style="65" customWidth="1"/>
    <col min="4" max="4" width="10.875" style="65" customWidth="1"/>
    <col min="5" max="5" width="5.375" style="65" customWidth="1"/>
    <col min="6" max="16384" width="9.125" style="65" customWidth="1"/>
  </cols>
  <sheetData>
    <row r="1" spans="4:5" ht="15.75" customHeight="1">
      <c r="D1" s="1580" t="s">
        <v>774</v>
      </c>
      <c r="E1" s="1580"/>
    </row>
    <row r="3" spans="1:5" ht="15.75" customHeight="1">
      <c r="A3" s="1483" t="s">
        <v>993</v>
      </c>
      <c r="B3" s="1483"/>
      <c r="C3" s="1483"/>
      <c r="D3" s="1483"/>
      <c r="E3" s="1483"/>
    </row>
    <row r="4" ht="11.25" customHeight="1"/>
    <row r="5" spans="1:5" ht="15.75" customHeight="1" thickBot="1">
      <c r="A5" s="1678" t="s">
        <v>785</v>
      </c>
      <c r="B5" s="1678"/>
      <c r="E5" s="66" t="s">
        <v>67</v>
      </c>
    </row>
    <row r="6" spans="1:5" s="31" customFormat="1" ht="18" customHeight="1">
      <c r="A6" s="871" t="s">
        <v>338</v>
      </c>
      <c r="B6" s="872" t="s">
        <v>69</v>
      </c>
      <c r="C6" s="872" t="s">
        <v>70</v>
      </c>
      <c r="D6" s="872" t="s">
        <v>71</v>
      </c>
      <c r="E6" s="1152" t="s">
        <v>72</v>
      </c>
    </row>
    <row r="7" spans="1:5" s="531" customFormat="1" ht="10.5" customHeight="1" thickBot="1">
      <c r="A7" s="1153">
        <v>1</v>
      </c>
      <c r="B7" s="1154">
        <v>2</v>
      </c>
      <c r="C7" s="1154">
        <v>3</v>
      </c>
      <c r="D7" s="1154">
        <v>4</v>
      </c>
      <c r="E7" s="1155">
        <v>5</v>
      </c>
    </row>
    <row r="8" spans="1:5" s="531" customFormat="1" ht="19.5" customHeight="1" thickBot="1">
      <c r="A8" s="1021" t="s">
        <v>654</v>
      </c>
      <c r="B8" s="1022" t="s">
        <v>644</v>
      </c>
      <c r="C8" s="1023">
        <v>190126</v>
      </c>
      <c r="D8" s="1023">
        <v>190126</v>
      </c>
      <c r="E8" s="1024">
        <f aca="true" t="shared" si="0" ref="E8:E32">D8/C8*100</f>
        <v>100</v>
      </c>
    </row>
    <row r="9" spans="1:5" ht="19.5" customHeight="1">
      <c r="A9" s="771" t="s">
        <v>659</v>
      </c>
      <c r="B9" s="1025" t="s">
        <v>329</v>
      </c>
      <c r="C9" s="919">
        <f>SUM(C10:C14)</f>
        <v>489000</v>
      </c>
      <c r="D9" s="919">
        <f>SUM(D10:D14)</f>
        <v>265989</v>
      </c>
      <c r="E9" s="1026">
        <f t="shared" si="0"/>
        <v>54.39447852760736</v>
      </c>
    </row>
    <row r="10" spans="1:5" ht="19.5" customHeight="1">
      <c r="A10" s="938" t="s">
        <v>341</v>
      </c>
      <c r="B10" s="940" t="s">
        <v>994</v>
      </c>
      <c r="C10" s="1015">
        <v>381000</v>
      </c>
      <c r="D10" s="1015">
        <v>200000</v>
      </c>
      <c r="E10" s="928">
        <f t="shared" si="0"/>
        <v>52.493438320209975</v>
      </c>
    </row>
    <row r="11" spans="1:5" ht="19.5" customHeight="1">
      <c r="A11" s="938" t="s">
        <v>342</v>
      </c>
      <c r="B11" s="939" t="s">
        <v>995</v>
      </c>
      <c r="C11" s="1015">
        <v>83000</v>
      </c>
      <c r="D11" s="1015">
        <v>30675</v>
      </c>
      <c r="E11" s="928">
        <f t="shared" si="0"/>
        <v>36.95783132530121</v>
      </c>
    </row>
    <row r="12" spans="1:5" ht="19.5" customHeight="1">
      <c r="A12" s="938" t="s">
        <v>419</v>
      </c>
      <c r="B12" s="940" t="s">
        <v>1073</v>
      </c>
      <c r="C12" s="1015"/>
      <c r="D12" s="1015">
        <v>8445</v>
      </c>
      <c r="E12" s="928"/>
    </row>
    <row r="13" spans="1:5" ht="19.5" customHeight="1">
      <c r="A13" s="938" t="s">
        <v>426</v>
      </c>
      <c r="B13" s="939" t="s">
        <v>996</v>
      </c>
      <c r="C13" s="1015"/>
      <c r="D13" s="1015">
        <v>1869</v>
      </c>
      <c r="E13" s="928"/>
    </row>
    <row r="14" spans="1:5" ht="20.25" customHeight="1" thickBot="1">
      <c r="A14" s="833" t="s">
        <v>427</v>
      </c>
      <c r="B14" s="1016" t="s">
        <v>783</v>
      </c>
      <c r="C14" s="1017">
        <v>25000</v>
      </c>
      <c r="D14" s="1017">
        <v>25000</v>
      </c>
      <c r="E14" s="1018">
        <f t="shared" si="0"/>
        <v>100</v>
      </c>
    </row>
    <row r="15" spans="1:5" s="531" customFormat="1" ht="19.5" customHeight="1" thickBot="1">
      <c r="A15" s="1689" t="s">
        <v>665</v>
      </c>
      <c r="B15" s="1690"/>
      <c r="C15" s="1027">
        <f>SUM(C8,C9)</f>
        <v>679126</v>
      </c>
      <c r="D15" s="1027">
        <f>SUM(D8,D9)</f>
        <v>456115</v>
      </c>
      <c r="E15" s="1028">
        <f t="shared" si="0"/>
        <v>67.16205829257017</v>
      </c>
    </row>
    <row r="16" spans="1:5" s="531" customFormat="1" ht="19.5" customHeight="1">
      <c r="A16" s="771" t="s">
        <v>666</v>
      </c>
      <c r="B16" s="1025" t="s">
        <v>992</v>
      </c>
      <c r="C16" s="919">
        <f>SUM(C17:C32)</f>
        <v>498000</v>
      </c>
      <c r="D16" s="919">
        <f>SUM(D17:D32)</f>
        <v>236756</v>
      </c>
      <c r="E16" s="1026">
        <f t="shared" si="0"/>
        <v>47.54136546184739</v>
      </c>
    </row>
    <row r="17" spans="1:5" ht="19.5" customHeight="1">
      <c r="A17" s="938" t="s">
        <v>341</v>
      </c>
      <c r="B17" s="939" t="s">
        <v>669</v>
      </c>
      <c r="C17" s="1015">
        <v>293393</v>
      </c>
      <c r="D17" s="1015">
        <v>144026</v>
      </c>
      <c r="E17" s="928">
        <f t="shared" si="0"/>
        <v>49.08978741824106</v>
      </c>
    </row>
    <row r="18" spans="1:5" ht="19.5" customHeight="1">
      <c r="A18" s="938" t="s">
        <v>342</v>
      </c>
      <c r="B18" s="939" t="s">
        <v>679</v>
      </c>
      <c r="C18" s="1015">
        <v>3000</v>
      </c>
      <c r="D18" s="1015">
        <v>0</v>
      </c>
      <c r="E18" s="928">
        <f t="shared" si="0"/>
        <v>0</v>
      </c>
    </row>
    <row r="19" spans="1:5" ht="19.5" customHeight="1">
      <c r="A19" s="938" t="s">
        <v>419</v>
      </c>
      <c r="B19" s="939" t="s">
        <v>466</v>
      </c>
      <c r="C19" s="1015">
        <v>800</v>
      </c>
      <c r="D19" s="1015">
        <v>458</v>
      </c>
      <c r="E19" s="928">
        <f t="shared" si="0"/>
        <v>57.25</v>
      </c>
    </row>
    <row r="20" spans="1:5" ht="19.5" customHeight="1">
      <c r="A20" s="938" t="s">
        <v>426</v>
      </c>
      <c r="B20" s="939" t="s">
        <v>999</v>
      </c>
      <c r="C20" s="1015">
        <v>60676</v>
      </c>
      <c r="D20" s="1015">
        <v>25414</v>
      </c>
      <c r="E20" s="928">
        <f t="shared" si="0"/>
        <v>41.88476498121168</v>
      </c>
    </row>
    <row r="21" spans="1:5" ht="19.5" customHeight="1">
      <c r="A21" s="938" t="s">
        <v>427</v>
      </c>
      <c r="B21" s="939" t="s">
        <v>680</v>
      </c>
      <c r="C21" s="1015">
        <v>30181</v>
      </c>
      <c r="D21" s="1015">
        <v>14129</v>
      </c>
      <c r="E21" s="928">
        <f t="shared" si="0"/>
        <v>46.81422086743316</v>
      </c>
    </row>
    <row r="22" spans="1:5" ht="19.5" customHeight="1">
      <c r="A22" s="938" t="s">
        <v>428</v>
      </c>
      <c r="B22" s="939" t="s">
        <v>1000</v>
      </c>
      <c r="C22" s="1015">
        <v>13000</v>
      </c>
      <c r="D22" s="1015">
        <v>15311</v>
      </c>
      <c r="E22" s="928">
        <f t="shared" si="0"/>
        <v>117.77692307692307</v>
      </c>
    </row>
    <row r="23" spans="1:5" ht="19.5" customHeight="1">
      <c r="A23" s="938" t="s">
        <v>526</v>
      </c>
      <c r="B23" s="939" t="s">
        <v>682</v>
      </c>
      <c r="C23" s="1015">
        <v>25000</v>
      </c>
      <c r="D23" s="1015">
        <v>2229</v>
      </c>
      <c r="E23" s="928">
        <f t="shared" si="0"/>
        <v>8.916</v>
      </c>
    </row>
    <row r="24" spans="1:5" ht="19.5" customHeight="1">
      <c r="A24" s="938" t="s">
        <v>527</v>
      </c>
      <c r="B24" s="939" t="s">
        <v>681</v>
      </c>
      <c r="C24" s="1015">
        <v>30500</v>
      </c>
      <c r="D24" s="1015">
        <v>12508</v>
      </c>
      <c r="E24" s="928">
        <f t="shared" si="0"/>
        <v>41.009836065573765</v>
      </c>
    </row>
    <row r="25" spans="1:5" ht="19.5" customHeight="1">
      <c r="A25" s="938" t="s">
        <v>429</v>
      </c>
      <c r="B25" s="939" t="s">
        <v>686</v>
      </c>
      <c r="C25" s="1015">
        <v>20793</v>
      </c>
      <c r="D25" s="1015">
        <v>7756</v>
      </c>
      <c r="E25" s="928">
        <f t="shared" si="0"/>
        <v>37.30101476458423</v>
      </c>
    </row>
    <row r="26" spans="1:5" ht="19.5" customHeight="1">
      <c r="A26" s="938" t="s">
        <v>431</v>
      </c>
      <c r="B26" s="939" t="s">
        <v>1001</v>
      </c>
      <c r="C26" s="1015">
        <v>1800</v>
      </c>
      <c r="D26" s="1015">
        <v>1393</v>
      </c>
      <c r="E26" s="928">
        <f t="shared" si="0"/>
        <v>77.38888888888889</v>
      </c>
    </row>
    <row r="27" spans="1:5" ht="19.5" customHeight="1">
      <c r="A27" s="938" t="s">
        <v>528</v>
      </c>
      <c r="B27" s="939" t="s">
        <v>1002</v>
      </c>
      <c r="C27" s="1015">
        <v>5500</v>
      </c>
      <c r="D27" s="1015">
        <v>1754</v>
      </c>
      <c r="E27" s="928">
        <f t="shared" si="0"/>
        <v>31.89090909090909</v>
      </c>
    </row>
    <row r="28" spans="1:5" ht="19.5" customHeight="1">
      <c r="A28" s="938" t="s">
        <v>432</v>
      </c>
      <c r="B28" s="939" t="s">
        <v>1003</v>
      </c>
      <c r="C28" s="1015">
        <v>1349</v>
      </c>
      <c r="D28" s="1015">
        <v>0</v>
      </c>
      <c r="E28" s="928">
        <f t="shared" si="0"/>
        <v>0</v>
      </c>
    </row>
    <row r="29" spans="1:5" ht="19.5" customHeight="1">
      <c r="A29" s="938" t="s">
        <v>433</v>
      </c>
      <c r="B29" s="939" t="s">
        <v>1004</v>
      </c>
      <c r="C29" s="1015">
        <v>600</v>
      </c>
      <c r="D29" s="1015">
        <v>539</v>
      </c>
      <c r="E29" s="928">
        <f t="shared" si="0"/>
        <v>89.83333333333333</v>
      </c>
    </row>
    <row r="30" spans="1:5" ht="19.5" customHeight="1">
      <c r="A30" s="938" t="s">
        <v>529</v>
      </c>
      <c r="B30" s="939" t="s">
        <v>1005</v>
      </c>
      <c r="C30" s="1015">
        <v>51</v>
      </c>
      <c r="D30" s="1015">
        <v>51</v>
      </c>
      <c r="E30" s="928">
        <f t="shared" si="0"/>
        <v>100</v>
      </c>
    </row>
    <row r="31" spans="1:5" ht="19.5" customHeight="1">
      <c r="A31" s="938" t="s">
        <v>434</v>
      </c>
      <c r="B31" s="939" t="s">
        <v>1006</v>
      </c>
      <c r="C31" s="1015">
        <v>200</v>
      </c>
      <c r="D31" s="1015">
        <v>31</v>
      </c>
      <c r="E31" s="928">
        <f t="shared" si="0"/>
        <v>15.5</v>
      </c>
    </row>
    <row r="32" spans="1:5" ht="19.5" customHeight="1">
      <c r="A32" s="944" t="s">
        <v>435</v>
      </c>
      <c r="B32" s="945" t="s">
        <v>784</v>
      </c>
      <c r="C32" s="1019">
        <v>11157</v>
      </c>
      <c r="D32" s="1019">
        <v>11157</v>
      </c>
      <c r="E32" s="819">
        <f t="shared" si="0"/>
        <v>100</v>
      </c>
    </row>
    <row r="33" spans="1:5" s="531" customFormat="1" ht="19.5" customHeight="1" thickBot="1">
      <c r="A33" s="1029" t="s">
        <v>704</v>
      </c>
      <c r="B33" s="979" t="s">
        <v>645</v>
      </c>
      <c r="C33" s="1030">
        <v>181126</v>
      </c>
      <c r="D33" s="1030">
        <v>219359</v>
      </c>
      <c r="E33" s="981" t="s">
        <v>346</v>
      </c>
    </row>
    <row r="34" spans="1:5" s="531" customFormat="1" ht="20.25" customHeight="1" thickBot="1">
      <c r="A34" s="1676" t="s">
        <v>705</v>
      </c>
      <c r="B34" s="1677"/>
      <c r="C34" s="1031">
        <f>SUM(C16,C33)</f>
        <v>679126</v>
      </c>
      <c r="D34" s="1031">
        <f>SUM(D16,D33)</f>
        <v>456115</v>
      </c>
      <c r="E34" s="1032">
        <f>D34/C34*100</f>
        <v>67.16205829257017</v>
      </c>
    </row>
    <row r="35" spans="2:4" ht="15.75" customHeight="1">
      <c r="B35" s="66" t="s">
        <v>194</v>
      </c>
      <c r="C35" s="1020"/>
      <c r="D35" s="1020">
        <f>D15-D34</f>
        <v>0</v>
      </c>
    </row>
    <row r="36" spans="3:4" ht="15.75" customHeight="1">
      <c r="C36" s="66"/>
      <c r="D36" s="66"/>
    </row>
    <row r="37" spans="3:4" ht="15.75" customHeight="1">
      <c r="C37" s="66"/>
      <c r="D37" s="66"/>
    </row>
    <row r="38" spans="3:4" ht="15.75" customHeight="1">
      <c r="C38" s="66"/>
      <c r="D38" s="66"/>
    </row>
    <row r="39" spans="3:4" ht="15.75" customHeight="1">
      <c r="C39" s="66"/>
      <c r="D39" s="66"/>
    </row>
    <row r="40" spans="3:4" ht="15.75" customHeight="1">
      <c r="C40" s="66"/>
      <c r="D40" s="66"/>
    </row>
    <row r="41" spans="3:4" ht="15.75" customHeight="1">
      <c r="C41" s="66"/>
      <c r="D41" s="66"/>
    </row>
    <row r="42" spans="3:4" ht="15.75" customHeight="1">
      <c r="C42" s="66"/>
      <c r="D42" s="66"/>
    </row>
  </sheetData>
  <sheetProtection password="CF53" sheet="1" objects="1" scenarios="1" selectLockedCells="1" selectUnlockedCells="1"/>
  <mergeCells count="5">
    <mergeCell ref="A3:E3"/>
    <mergeCell ref="A15:B15"/>
    <mergeCell ref="A34:B34"/>
    <mergeCell ref="D1:E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2"/>
  </sheetPr>
  <dimension ref="A1:E79"/>
  <sheetViews>
    <sheetView view="pageBreakPreview" zoomScale="120" zoomScaleSheetLayoutView="120" workbookViewId="0" topLeftCell="A66">
      <selection activeCell="C76" sqref="C76"/>
    </sheetView>
  </sheetViews>
  <sheetFormatPr defaultColWidth="9.00390625" defaultRowHeight="12.75"/>
  <cols>
    <col min="1" max="1" width="6.375" style="23" customWidth="1"/>
    <col min="2" max="2" width="40.625" style="24" customWidth="1"/>
    <col min="3" max="3" width="16.00390625" style="25" customWidth="1"/>
    <col min="4" max="4" width="15.125" style="25" customWidth="1"/>
    <col min="5" max="5" width="7.375" style="24" customWidth="1"/>
    <col min="6" max="16384" width="9.125" style="24" customWidth="1"/>
  </cols>
  <sheetData>
    <row r="1" spans="1:5" s="1034" customFormat="1" ht="12.75">
      <c r="A1" s="1033"/>
      <c r="C1" s="1035"/>
      <c r="D1" s="1692" t="s">
        <v>773</v>
      </c>
      <c r="E1" s="1692"/>
    </row>
    <row r="2" spans="1:4" s="1034" customFormat="1" ht="7.5" customHeight="1">
      <c r="A2" s="1033"/>
      <c r="C2" s="1035"/>
      <c r="D2" s="1035"/>
    </row>
    <row r="3" spans="1:5" s="1034" customFormat="1" ht="24" customHeight="1">
      <c r="A3" s="1691" t="s">
        <v>348</v>
      </c>
      <c r="B3" s="1691"/>
      <c r="C3" s="1691"/>
      <c r="D3" s="1691"/>
      <c r="E3" s="1691"/>
    </row>
    <row r="4" spans="1:5" s="1034" customFormat="1" ht="13.5" thickBot="1">
      <c r="A4" s="1033"/>
      <c r="C4" s="1035"/>
      <c r="D4" s="1037"/>
      <c r="E4" s="1037" t="s">
        <v>67</v>
      </c>
    </row>
    <row r="5" spans="1:5" s="1033" customFormat="1" ht="15.75" customHeight="1">
      <c r="A5" s="1163" t="s">
        <v>338</v>
      </c>
      <c r="B5" s="1164" t="s">
        <v>69</v>
      </c>
      <c r="C5" s="1165" t="s">
        <v>70</v>
      </c>
      <c r="D5" s="1166" t="s">
        <v>71</v>
      </c>
      <c r="E5" s="1167" t="s">
        <v>72</v>
      </c>
    </row>
    <row r="6" spans="1:5" s="1040" customFormat="1" ht="9.75" customHeight="1" thickBot="1">
      <c r="A6" s="1168">
        <v>1</v>
      </c>
      <c r="B6" s="1169">
        <v>2</v>
      </c>
      <c r="C6" s="1170">
        <v>3</v>
      </c>
      <c r="D6" s="1171">
        <v>4</v>
      </c>
      <c r="E6" s="1172">
        <v>5</v>
      </c>
    </row>
    <row r="7" spans="1:5" s="1041" customFormat="1" ht="18.75" customHeight="1">
      <c r="A7" s="1064" t="s">
        <v>341</v>
      </c>
      <c r="B7" s="1065" t="s">
        <v>965</v>
      </c>
      <c r="C7" s="1066">
        <v>157464</v>
      </c>
      <c r="D7" s="1067">
        <v>76226.66</v>
      </c>
      <c r="E7" s="1068">
        <f aca="true" t="shared" si="0" ref="E7:E44">D7/C7*100</f>
        <v>48.40894426662602</v>
      </c>
    </row>
    <row r="8" spans="1:5" s="1041" customFormat="1" ht="18.75" customHeight="1">
      <c r="A8" s="1069" t="s">
        <v>342</v>
      </c>
      <c r="B8" s="1070" t="s">
        <v>966</v>
      </c>
      <c r="C8" s="1071">
        <f>SUM(C9:C18)</f>
        <v>1652000</v>
      </c>
      <c r="D8" s="1071">
        <f>SUM(D9:D18)</f>
        <v>812075.06</v>
      </c>
      <c r="E8" s="1072">
        <f t="shared" si="0"/>
        <v>49.157085956416466</v>
      </c>
    </row>
    <row r="9" spans="1:5" s="1034" customFormat="1" ht="15.75" customHeight="1">
      <c r="A9" s="1042" t="s">
        <v>168</v>
      </c>
      <c r="B9" s="1043" t="s">
        <v>1154</v>
      </c>
      <c r="C9" s="1044">
        <v>580000</v>
      </c>
      <c r="D9" s="1044">
        <v>268825.35</v>
      </c>
      <c r="E9" s="1045">
        <f t="shared" si="0"/>
        <v>46.349198275862065</v>
      </c>
    </row>
    <row r="10" spans="1:5" s="1034" customFormat="1" ht="15.75" customHeight="1">
      <c r="A10" s="1042" t="s">
        <v>169</v>
      </c>
      <c r="B10" s="1043" t="s">
        <v>1155</v>
      </c>
      <c r="C10" s="1044">
        <v>43000</v>
      </c>
      <c r="D10" s="1044">
        <v>40661.43</v>
      </c>
      <c r="E10" s="1045">
        <f t="shared" si="0"/>
        <v>94.56146511627908</v>
      </c>
    </row>
    <row r="11" spans="1:5" s="1034" customFormat="1" ht="15.75" customHeight="1">
      <c r="A11" s="1042" t="s">
        <v>174</v>
      </c>
      <c r="B11" s="1043" t="s">
        <v>1156</v>
      </c>
      <c r="C11" s="1044">
        <v>330000</v>
      </c>
      <c r="D11" s="1044">
        <v>167332.48</v>
      </c>
      <c r="E11" s="1045">
        <f t="shared" si="0"/>
        <v>50.70681212121212</v>
      </c>
    </row>
    <row r="12" spans="1:5" s="1034" customFormat="1" ht="15.75" customHeight="1">
      <c r="A12" s="1042" t="s">
        <v>182</v>
      </c>
      <c r="B12" s="1043" t="s">
        <v>1157</v>
      </c>
      <c r="C12" s="1044">
        <v>62000</v>
      </c>
      <c r="D12" s="1044">
        <v>23401.69</v>
      </c>
      <c r="E12" s="1045">
        <f t="shared" si="0"/>
        <v>37.744661290322576</v>
      </c>
    </row>
    <row r="13" spans="1:5" s="1034" customFormat="1" ht="15.75" customHeight="1">
      <c r="A13" s="1042" t="s">
        <v>195</v>
      </c>
      <c r="B13" s="1043" t="s">
        <v>1158</v>
      </c>
      <c r="C13" s="1044">
        <v>80000</v>
      </c>
      <c r="D13" s="1044">
        <v>77254.27</v>
      </c>
      <c r="E13" s="1045">
        <f t="shared" si="0"/>
        <v>96.56783750000001</v>
      </c>
    </row>
    <row r="14" spans="1:5" s="1034" customFormat="1" ht="15.75" customHeight="1">
      <c r="A14" s="1042" t="s">
        <v>971</v>
      </c>
      <c r="B14" s="1043" t="s">
        <v>1159</v>
      </c>
      <c r="C14" s="1044">
        <v>108000</v>
      </c>
      <c r="D14" s="1044">
        <v>95957.13</v>
      </c>
      <c r="E14" s="1045">
        <f t="shared" si="0"/>
        <v>88.84919444444445</v>
      </c>
    </row>
    <row r="15" spans="1:5" s="1034" customFormat="1" ht="15.75" customHeight="1">
      <c r="A15" s="1042" t="s">
        <v>1160</v>
      </c>
      <c r="B15" s="1043" t="s">
        <v>972</v>
      </c>
      <c r="C15" s="1044">
        <v>300000</v>
      </c>
      <c r="D15" s="1044">
        <v>58362.48</v>
      </c>
      <c r="E15" s="1045">
        <f t="shared" si="0"/>
        <v>19.45416</v>
      </c>
    </row>
    <row r="16" spans="1:5" s="1034" customFormat="1" ht="15.75" customHeight="1">
      <c r="A16" s="1042" t="s">
        <v>1161</v>
      </c>
      <c r="B16" s="1043" t="s">
        <v>1162</v>
      </c>
      <c r="C16" s="1044">
        <v>7000</v>
      </c>
      <c r="D16" s="1044">
        <v>935.55</v>
      </c>
      <c r="E16" s="1045">
        <f t="shared" si="0"/>
        <v>13.364999999999998</v>
      </c>
    </row>
    <row r="17" spans="1:5" s="1034" customFormat="1" ht="15.75" customHeight="1">
      <c r="A17" s="1042" t="s">
        <v>1163</v>
      </c>
      <c r="B17" s="1043" t="s">
        <v>1164</v>
      </c>
      <c r="C17" s="1044">
        <v>27000</v>
      </c>
      <c r="D17" s="1044">
        <v>16235.06</v>
      </c>
      <c r="E17" s="1045">
        <f t="shared" si="0"/>
        <v>60.129851851851846</v>
      </c>
    </row>
    <row r="18" spans="1:5" s="1034" customFormat="1" ht="15.75" customHeight="1">
      <c r="A18" s="1042" t="s">
        <v>1165</v>
      </c>
      <c r="B18" s="1043" t="s">
        <v>873</v>
      </c>
      <c r="C18" s="1044">
        <f>SUM(C19:C22)</f>
        <v>115000</v>
      </c>
      <c r="D18" s="1044">
        <f>SUM(D19:D22)</f>
        <v>63109.62</v>
      </c>
      <c r="E18" s="1045">
        <f t="shared" si="0"/>
        <v>54.877930434782606</v>
      </c>
    </row>
    <row r="19" spans="1:5" s="1034" customFormat="1" ht="15" customHeight="1">
      <c r="A19" s="1042" t="s">
        <v>1166</v>
      </c>
      <c r="B19" s="1046" t="s">
        <v>1167</v>
      </c>
      <c r="C19" s="1047">
        <v>15000</v>
      </c>
      <c r="D19" s="1047">
        <v>18884.77</v>
      </c>
      <c r="E19" s="1048">
        <f t="shared" si="0"/>
        <v>125.89846666666666</v>
      </c>
    </row>
    <row r="20" spans="1:5" s="1034" customFormat="1" ht="15" customHeight="1">
      <c r="A20" s="1042" t="s">
        <v>1168</v>
      </c>
      <c r="B20" s="1046" t="s">
        <v>1169</v>
      </c>
      <c r="C20" s="1047">
        <v>40000</v>
      </c>
      <c r="D20" s="1047">
        <v>28539.15</v>
      </c>
      <c r="E20" s="1048">
        <f t="shared" si="0"/>
        <v>71.347875</v>
      </c>
    </row>
    <row r="21" spans="1:5" s="1034" customFormat="1" ht="15" customHeight="1">
      <c r="A21" s="1042" t="s">
        <v>1170</v>
      </c>
      <c r="B21" s="1046" t="s">
        <v>1171</v>
      </c>
      <c r="C21" s="1047">
        <v>30000</v>
      </c>
      <c r="D21" s="1047">
        <v>1130.94</v>
      </c>
      <c r="E21" s="1048">
        <f t="shared" si="0"/>
        <v>3.7698</v>
      </c>
    </row>
    <row r="22" spans="1:5" s="1034" customFormat="1" ht="15" customHeight="1">
      <c r="A22" s="1049" t="s">
        <v>1172</v>
      </c>
      <c r="B22" s="1050" t="s">
        <v>1173</v>
      </c>
      <c r="C22" s="1051">
        <v>30000</v>
      </c>
      <c r="D22" s="1051">
        <v>14554.76</v>
      </c>
      <c r="E22" s="1052">
        <f t="shared" si="0"/>
        <v>48.51586666666667</v>
      </c>
    </row>
    <row r="23" spans="1:5" s="1041" customFormat="1" ht="18.75" customHeight="1">
      <c r="A23" s="1073" t="s">
        <v>419</v>
      </c>
      <c r="B23" s="1074" t="s">
        <v>973</v>
      </c>
      <c r="C23" s="1075">
        <f>SUM(C24:C26)</f>
        <v>695000</v>
      </c>
      <c r="D23" s="1075">
        <f>SUM(D24:D26)</f>
        <v>327551.44</v>
      </c>
      <c r="E23" s="1076">
        <f t="shared" si="0"/>
        <v>47.1297035971223</v>
      </c>
    </row>
    <row r="24" spans="1:5" s="1034" customFormat="1" ht="15.75" customHeight="1">
      <c r="A24" s="1042" t="s">
        <v>974</v>
      </c>
      <c r="B24" s="1043" t="s">
        <v>975</v>
      </c>
      <c r="C24" s="1044">
        <v>343000</v>
      </c>
      <c r="D24" s="1044">
        <v>196351.43</v>
      </c>
      <c r="E24" s="1045">
        <f t="shared" si="0"/>
        <v>57.24531486880466</v>
      </c>
    </row>
    <row r="25" spans="1:5" s="1034" customFormat="1" ht="15.75" customHeight="1">
      <c r="A25" s="1042" t="s">
        <v>976</v>
      </c>
      <c r="B25" s="1043" t="s">
        <v>977</v>
      </c>
      <c r="C25" s="1044">
        <v>10000</v>
      </c>
      <c r="D25" s="1044">
        <v>5419.66</v>
      </c>
      <c r="E25" s="1045">
        <f t="shared" si="0"/>
        <v>54.1966</v>
      </c>
    </row>
    <row r="26" spans="1:5" s="1034" customFormat="1" ht="15.75" customHeight="1">
      <c r="A26" s="1049" t="s">
        <v>978</v>
      </c>
      <c r="B26" s="1053" t="s">
        <v>1174</v>
      </c>
      <c r="C26" s="1054">
        <v>342000</v>
      </c>
      <c r="D26" s="1054">
        <v>125780.35</v>
      </c>
      <c r="E26" s="1055">
        <f t="shared" si="0"/>
        <v>36.77788011695907</v>
      </c>
    </row>
    <row r="27" spans="1:5" s="1041" customFormat="1" ht="18.75" customHeight="1">
      <c r="A27" s="1069" t="s">
        <v>426</v>
      </c>
      <c r="B27" s="1070" t="s">
        <v>980</v>
      </c>
      <c r="C27" s="1071">
        <f>SUM(C28+C29+C30+C31+C32+C33+C34+C35+C43+C44)</f>
        <v>3979802</v>
      </c>
      <c r="D27" s="1071">
        <f>SUM(D28+D29+D30+D31+D32+D33+D34+D35+D43+D44)</f>
        <v>1893424.3099999998</v>
      </c>
      <c r="E27" s="1072">
        <f t="shared" si="0"/>
        <v>47.5758419639972</v>
      </c>
    </row>
    <row r="28" spans="1:5" s="1034" customFormat="1" ht="15.75" customHeight="1">
      <c r="A28" s="1042" t="s">
        <v>981</v>
      </c>
      <c r="B28" s="1043" t="s">
        <v>982</v>
      </c>
      <c r="C28" s="1044">
        <v>625000</v>
      </c>
      <c r="D28" s="1044">
        <v>265179.6</v>
      </c>
      <c r="E28" s="1045">
        <f t="shared" si="0"/>
        <v>42.428735999999994</v>
      </c>
    </row>
    <row r="29" spans="1:5" s="1034" customFormat="1" ht="15.75" customHeight="1">
      <c r="A29" s="1042" t="s">
        <v>983</v>
      </c>
      <c r="B29" s="1043" t="s">
        <v>1175</v>
      </c>
      <c r="C29" s="1044">
        <v>200000</v>
      </c>
      <c r="D29" s="1044">
        <v>105035.11</v>
      </c>
      <c r="E29" s="1045">
        <f t="shared" si="0"/>
        <v>52.517555</v>
      </c>
    </row>
    <row r="30" spans="1:5" s="1034" customFormat="1" ht="15.75" customHeight="1">
      <c r="A30" s="1042" t="s">
        <v>985</v>
      </c>
      <c r="B30" s="1043" t="s">
        <v>984</v>
      </c>
      <c r="C30" s="1044">
        <v>162000</v>
      </c>
      <c r="D30" s="1044">
        <v>69122.76</v>
      </c>
      <c r="E30" s="1045">
        <f t="shared" si="0"/>
        <v>42.66837037037037</v>
      </c>
    </row>
    <row r="31" spans="1:5" s="1034" customFormat="1" ht="15.75" customHeight="1">
      <c r="A31" s="1042" t="s">
        <v>1009</v>
      </c>
      <c r="B31" s="1043" t="s">
        <v>897</v>
      </c>
      <c r="C31" s="1044">
        <v>255000</v>
      </c>
      <c r="D31" s="1044">
        <v>111927.7</v>
      </c>
      <c r="E31" s="1045">
        <f t="shared" si="0"/>
        <v>43.89321568627451</v>
      </c>
    </row>
    <row r="32" spans="1:5" s="1034" customFormat="1" ht="15.75" customHeight="1">
      <c r="A32" s="1042" t="s">
        <v>1011</v>
      </c>
      <c r="B32" s="1043" t="s">
        <v>1176</v>
      </c>
      <c r="C32" s="1044">
        <v>64000</v>
      </c>
      <c r="D32" s="1044">
        <v>38767.82</v>
      </c>
      <c r="E32" s="1045">
        <f t="shared" si="0"/>
        <v>60.57471875</v>
      </c>
    </row>
    <row r="33" spans="1:5" s="1034" customFormat="1" ht="24.75" customHeight="1">
      <c r="A33" s="1042" t="s">
        <v>1013</v>
      </c>
      <c r="B33" s="1043" t="s">
        <v>1177</v>
      </c>
      <c r="C33" s="1044">
        <v>205000</v>
      </c>
      <c r="D33" s="1044">
        <v>98043.12</v>
      </c>
      <c r="E33" s="1045">
        <f t="shared" si="0"/>
        <v>47.82591219512195</v>
      </c>
    </row>
    <row r="34" spans="1:5" s="1034" customFormat="1" ht="15.75" customHeight="1">
      <c r="A34" s="1042" t="s">
        <v>1014</v>
      </c>
      <c r="B34" s="1043" t="s">
        <v>409</v>
      </c>
      <c r="C34" s="1044">
        <v>9930</v>
      </c>
      <c r="D34" s="1044">
        <v>3660</v>
      </c>
      <c r="E34" s="1045">
        <f t="shared" si="0"/>
        <v>36.85800604229607</v>
      </c>
    </row>
    <row r="35" spans="1:5" s="1034" customFormat="1" ht="15.75" customHeight="1">
      <c r="A35" s="1042" t="s">
        <v>1016</v>
      </c>
      <c r="B35" s="1043" t="s">
        <v>1019</v>
      </c>
      <c r="C35" s="1044">
        <f>SUM(C36:C42)</f>
        <v>157600</v>
      </c>
      <c r="D35" s="1044">
        <f>SUM(D36:D42)</f>
        <v>138060.69999999998</v>
      </c>
      <c r="E35" s="1045">
        <f t="shared" si="0"/>
        <v>87.60196700507613</v>
      </c>
    </row>
    <row r="36" spans="1:5" s="1034" customFormat="1" ht="15" customHeight="1">
      <c r="A36" s="1042" t="s">
        <v>1178</v>
      </c>
      <c r="B36" s="1046" t="s">
        <v>1179</v>
      </c>
      <c r="C36" s="1047">
        <v>40000</v>
      </c>
      <c r="D36" s="1047">
        <v>28594.55</v>
      </c>
      <c r="E36" s="1048">
        <f t="shared" si="0"/>
        <v>71.486375</v>
      </c>
    </row>
    <row r="37" spans="1:5" s="1034" customFormat="1" ht="15" customHeight="1">
      <c r="A37" s="1042" t="s">
        <v>1180</v>
      </c>
      <c r="B37" s="1046" t="s">
        <v>1181</v>
      </c>
      <c r="C37" s="1047">
        <v>28000</v>
      </c>
      <c r="D37" s="1047">
        <v>11907.58</v>
      </c>
      <c r="E37" s="1048">
        <f t="shared" si="0"/>
        <v>42.527071428571425</v>
      </c>
    </row>
    <row r="38" spans="1:5" s="1034" customFormat="1" ht="15" customHeight="1">
      <c r="A38" s="1042" t="s">
        <v>1182</v>
      </c>
      <c r="B38" s="1046" t="s">
        <v>1183</v>
      </c>
      <c r="C38" s="1047">
        <v>35000</v>
      </c>
      <c r="D38" s="1047">
        <v>35822.42</v>
      </c>
      <c r="E38" s="1048">
        <f t="shared" si="0"/>
        <v>102.34977142857143</v>
      </c>
    </row>
    <row r="39" spans="1:5" s="1034" customFormat="1" ht="15" customHeight="1">
      <c r="A39" s="1042" t="s">
        <v>1184</v>
      </c>
      <c r="B39" s="1046" t="s">
        <v>1185</v>
      </c>
      <c r="C39" s="1047">
        <v>15000</v>
      </c>
      <c r="D39" s="1047">
        <v>24854.97</v>
      </c>
      <c r="E39" s="1048">
        <f t="shared" si="0"/>
        <v>165.6998</v>
      </c>
    </row>
    <row r="40" spans="1:5" s="1034" customFormat="1" ht="15" customHeight="1">
      <c r="A40" s="1042" t="s">
        <v>1186</v>
      </c>
      <c r="B40" s="1046" t="s">
        <v>1187</v>
      </c>
      <c r="C40" s="1047">
        <v>9600</v>
      </c>
      <c r="D40" s="1047">
        <v>4758</v>
      </c>
      <c r="E40" s="1048">
        <f t="shared" si="0"/>
        <v>49.5625</v>
      </c>
    </row>
    <row r="41" spans="1:5" s="1034" customFormat="1" ht="15" customHeight="1">
      <c r="A41" s="1042" t="s">
        <v>1188</v>
      </c>
      <c r="B41" s="1046" t="s">
        <v>1189</v>
      </c>
      <c r="C41" s="1047">
        <v>17000</v>
      </c>
      <c r="D41" s="1047">
        <v>18923.18</v>
      </c>
      <c r="E41" s="1048">
        <f t="shared" si="0"/>
        <v>111.31282352941176</v>
      </c>
    </row>
    <row r="42" spans="1:5" s="1034" customFormat="1" ht="15" customHeight="1">
      <c r="A42" s="1042" t="s">
        <v>1190</v>
      </c>
      <c r="B42" s="1046" t="s">
        <v>1191</v>
      </c>
      <c r="C42" s="1047">
        <v>13000</v>
      </c>
      <c r="D42" s="1047">
        <v>13200</v>
      </c>
      <c r="E42" s="1048">
        <f t="shared" si="0"/>
        <v>101.53846153846153</v>
      </c>
    </row>
    <row r="43" spans="1:5" s="1034" customFormat="1" ht="15.75" customHeight="1">
      <c r="A43" s="1042" t="s">
        <v>1018</v>
      </c>
      <c r="B43" s="1043" t="s">
        <v>1217</v>
      </c>
      <c r="C43" s="1044">
        <v>1901272</v>
      </c>
      <c r="D43" s="1044">
        <v>989495.5</v>
      </c>
      <c r="E43" s="1045">
        <f t="shared" si="0"/>
        <v>52.043868525913176</v>
      </c>
    </row>
    <row r="44" spans="1:5" s="1034" customFormat="1" ht="15.75" customHeight="1" thickBot="1">
      <c r="A44" s="1056" t="s">
        <v>1218</v>
      </c>
      <c r="B44" s="1057" t="s">
        <v>1219</v>
      </c>
      <c r="C44" s="1058">
        <v>400000</v>
      </c>
      <c r="D44" s="1058">
        <v>74132</v>
      </c>
      <c r="E44" s="1059">
        <f t="shared" si="0"/>
        <v>18.533</v>
      </c>
    </row>
    <row r="45" spans="1:5" ht="15.75" customHeight="1" thickBot="1">
      <c r="A45" s="26"/>
      <c r="B45" s="27"/>
      <c r="C45" s="28"/>
      <c r="D45" s="28"/>
      <c r="E45" s="29"/>
    </row>
    <row r="46" spans="1:5" s="1034" customFormat="1" ht="12" customHeight="1">
      <c r="A46" s="1060">
        <v>1</v>
      </c>
      <c r="B46" s="1061">
        <v>2</v>
      </c>
      <c r="C46" s="1062">
        <v>3</v>
      </c>
      <c r="D46" s="1062">
        <v>4</v>
      </c>
      <c r="E46" s="1063">
        <v>5</v>
      </c>
    </row>
    <row r="47" spans="1:5" s="1041" customFormat="1" ht="18.75" customHeight="1">
      <c r="A47" s="1069" t="s">
        <v>427</v>
      </c>
      <c r="B47" s="1070" t="s">
        <v>1020</v>
      </c>
      <c r="C47" s="1071">
        <f>SUM(C48:C49)</f>
        <v>4808350</v>
      </c>
      <c r="D47" s="1071">
        <f>SUM(D48:D49)</f>
        <v>2502727.98</v>
      </c>
      <c r="E47" s="1072">
        <f aca="true" t="shared" si="1" ref="E47:E77">D47/C47*100</f>
        <v>52.04962159576569</v>
      </c>
    </row>
    <row r="48" spans="1:5" s="1034" customFormat="1" ht="15.75" customHeight="1">
      <c r="A48" s="1042" t="s">
        <v>1021</v>
      </c>
      <c r="B48" s="1043" t="s">
        <v>1022</v>
      </c>
      <c r="C48" s="1044">
        <v>4791600</v>
      </c>
      <c r="D48" s="1044">
        <v>2495321.98</v>
      </c>
      <c r="E48" s="1045">
        <f t="shared" si="1"/>
        <v>52.0770093496953</v>
      </c>
    </row>
    <row r="49" spans="1:5" s="1034" customFormat="1" ht="15.75" customHeight="1">
      <c r="A49" s="1049" t="s">
        <v>1023</v>
      </c>
      <c r="B49" s="1053" t="s">
        <v>1220</v>
      </c>
      <c r="C49" s="1054">
        <v>16750</v>
      </c>
      <c r="D49" s="1054">
        <v>7406</v>
      </c>
      <c r="E49" s="1055">
        <f t="shared" si="1"/>
        <v>44.21492537313433</v>
      </c>
    </row>
    <row r="50" spans="1:5" s="1034" customFormat="1" ht="18.75" customHeight="1">
      <c r="A50" s="1077" t="s">
        <v>428</v>
      </c>
      <c r="B50" s="1078" t="s">
        <v>1024</v>
      </c>
      <c r="C50" s="1079">
        <v>871000</v>
      </c>
      <c r="D50" s="1079">
        <v>443835.13</v>
      </c>
      <c r="E50" s="1080">
        <f t="shared" si="1"/>
        <v>50.95696096440873</v>
      </c>
    </row>
    <row r="51" spans="1:5" s="1034" customFormat="1" ht="18.75" customHeight="1">
      <c r="A51" s="1069" t="s">
        <v>526</v>
      </c>
      <c r="B51" s="1070" t="s">
        <v>1025</v>
      </c>
      <c r="C51" s="1071">
        <f>SUM(C52:C53)</f>
        <v>190000</v>
      </c>
      <c r="D51" s="1071">
        <f>SUM(D52:D53)</f>
        <v>174482.84</v>
      </c>
      <c r="E51" s="1072">
        <f t="shared" si="1"/>
        <v>91.83307368421052</v>
      </c>
    </row>
    <row r="52" spans="1:5" s="1034" customFormat="1" ht="15.75" customHeight="1">
      <c r="A52" s="1042" t="s">
        <v>1221</v>
      </c>
      <c r="B52" s="1043" t="s">
        <v>786</v>
      </c>
      <c r="C52" s="1044">
        <v>160000</v>
      </c>
      <c r="D52" s="1044">
        <v>159877.84</v>
      </c>
      <c r="E52" s="1045">
        <f t="shared" si="1"/>
        <v>99.92365</v>
      </c>
    </row>
    <row r="53" spans="1:5" s="1034" customFormat="1" ht="15.75" customHeight="1">
      <c r="A53" s="1049" t="s">
        <v>1222</v>
      </c>
      <c r="B53" s="1053" t="s">
        <v>1225</v>
      </c>
      <c r="C53" s="1054">
        <v>30000</v>
      </c>
      <c r="D53" s="1054">
        <v>14605</v>
      </c>
      <c r="E53" s="1055">
        <f t="shared" si="1"/>
        <v>48.68333333333334</v>
      </c>
    </row>
    <row r="54" spans="1:5" s="1041" customFormat="1" ht="18.75" customHeight="1">
      <c r="A54" s="1073" t="s">
        <v>527</v>
      </c>
      <c r="B54" s="1074" t="s">
        <v>1026</v>
      </c>
      <c r="C54" s="1075">
        <f>SUM(C55:C57)</f>
        <v>135082</v>
      </c>
      <c r="D54" s="1075">
        <f>SUM(D55:D57)</f>
        <v>71995.5</v>
      </c>
      <c r="E54" s="1076">
        <f t="shared" si="1"/>
        <v>53.29762662678965</v>
      </c>
    </row>
    <row r="55" spans="1:5" s="1034" customFormat="1" ht="15.75" customHeight="1">
      <c r="A55" s="1042" t="s">
        <v>1027</v>
      </c>
      <c r="B55" s="1043" t="s">
        <v>1028</v>
      </c>
      <c r="C55" s="1044">
        <v>2582</v>
      </c>
      <c r="D55" s="1044">
        <v>1601</v>
      </c>
      <c r="E55" s="1045">
        <f t="shared" si="1"/>
        <v>62.00619674670798</v>
      </c>
    </row>
    <row r="56" spans="1:5" s="1034" customFormat="1" ht="26.25" customHeight="1">
      <c r="A56" s="1042" t="s">
        <v>1226</v>
      </c>
      <c r="B56" s="1043" t="s">
        <v>52</v>
      </c>
      <c r="C56" s="1044">
        <v>130000</v>
      </c>
      <c r="D56" s="1044">
        <v>70042</v>
      </c>
      <c r="E56" s="1045">
        <f t="shared" si="1"/>
        <v>53.87846153846154</v>
      </c>
    </row>
    <row r="57" spans="1:5" s="1034" customFormat="1" ht="15.75" customHeight="1">
      <c r="A57" s="1049" t="s">
        <v>1227</v>
      </c>
      <c r="B57" s="1053" t="s">
        <v>1228</v>
      </c>
      <c r="C57" s="1054">
        <v>2500</v>
      </c>
      <c r="D57" s="1054">
        <v>352.5</v>
      </c>
      <c r="E57" s="1055">
        <f t="shared" si="1"/>
        <v>14.099999999999998</v>
      </c>
    </row>
    <row r="58" spans="1:5" s="1041" customFormat="1" ht="18.75" customHeight="1">
      <c r="A58" s="1077" t="s">
        <v>429</v>
      </c>
      <c r="B58" s="1078" t="s">
        <v>1031</v>
      </c>
      <c r="C58" s="1079">
        <v>17000</v>
      </c>
      <c r="D58" s="1079">
        <v>5224.89</v>
      </c>
      <c r="E58" s="1080">
        <f t="shared" si="1"/>
        <v>30.734647058823533</v>
      </c>
    </row>
    <row r="59" spans="1:5" s="1041" customFormat="1" ht="18.75" customHeight="1">
      <c r="A59" s="1073" t="s">
        <v>431</v>
      </c>
      <c r="B59" s="1074" t="s">
        <v>1118</v>
      </c>
      <c r="C59" s="1075">
        <f>SUM(C60:C61)</f>
        <v>25500</v>
      </c>
      <c r="D59" s="1075">
        <f>SUM(D60:D61)</f>
        <v>11221.83</v>
      </c>
      <c r="E59" s="1076">
        <f t="shared" si="1"/>
        <v>44.007176470588234</v>
      </c>
    </row>
    <row r="60" spans="1:5" s="1041" customFormat="1" ht="15.75" customHeight="1">
      <c r="A60" s="1042" t="s">
        <v>1229</v>
      </c>
      <c r="B60" s="1043" t="s">
        <v>1230</v>
      </c>
      <c r="C60" s="1044">
        <v>24000</v>
      </c>
      <c r="D60" s="1044">
        <v>11221.83</v>
      </c>
      <c r="E60" s="1045">
        <f t="shared" si="1"/>
        <v>46.757625</v>
      </c>
    </row>
    <row r="61" spans="1:5" s="1041" customFormat="1" ht="15.75" customHeight="1">
      <c r="A61" s="1049" t="s">
        <v>1231</v>
      </c>
      <c r="B61" s="1053" t="s">
        <v>1232</v>
      </c>
      <c r="C61" s="1054">
        <v>1500</v>
      </c>
      <c r="D61" s="1054">
        <v>0</v>
      </c>
      <c r="E61" s="1055">
        <f t="shared" si="1"/>
        <v>0</v>
      </c>
    </row>
    <row r="62" spans="1:5" s="1041" customFormat="1" ht="18.75" customHeight="1">
      <c r="A62" s="1073" t="s">
        <v>528</v>
      </c>
      <c r="B62" s="1074" t="s">
        <v>1233</v>
      </c>
      <c r="C62" s="1075">
        <f>SUM(C63:C63)</f>
        <v>84000</v>
      </c>
      <c r="D62" s="1075">
        <f>SUM(D63:D63)</f>
        <v>84256</v>
      </c>
      <c r="E62" s="1076">
        <f t="shared" si="1"/>
        <v>100.3047619047619</v>
      </c>
    </row>
    <row r="63" spans="1:5" s="1041" customFormat="1" ht="15.75" customHeight="1">
      <c r="A63" s="1049" t="s">
        <v>406</v>
      </c>
      <c r="B63" s="1053" t="s">
        <v>1234</v>
      </c>
      <c r="C63" s="1054">
        <v>84000</v>
      </c>
      <c r="D63" s="1054">
        <v>84256</v>
      </c>
      <c r="E63" s="1055">
        <f t="shared" si="1"/>
        <v>100.3047619047619</v>
      </c>
    </row>
    <row r="64" spans="1:5" s="1041" customFormat="1" ht="18.75" customHeight="1">
      <c r="A64" s="1077" t="s">
        <v>432</v>
      </c>
      <c r="B64" s="1078" t="s">
        <v>1120</v>
      </c>
      <c r="C64" s="1079">
        <f>SUM(C7+C8+C23+C27+C47+C50+C51+C54+C58+C59+C62)</f>
        <v>12615198</v>
      </c>
      <c r="D64" s="1079">
        <f>SUM(D7+D8+D23+D27+D47+D50+D51+D54+D58+D59+D62)</f>
        <v>6403021.639999999</v>
      </c>
      <c r="E64" s="1080">
        <f t="shared" si="1"/>
        <v>50.75641016494548</v>
      </c>
    </row>
    <row r="65" spans="1:5" s="1041" customFormat="1" ht="18.75" customHeight="1">
      <c r="A65" s="1073" t="s">
        <v>433</v>
      </c>
      <c r="B65" s="1074" t="s">
        <v>1121</v>
      </c>
      <c r="C65" s="1075">
        <f>SUM(C66:C67)</f>
        <v>10151498</v>
      </c>
      <c r="D65" s="1075">
        <f>SUM(D66:D67)</f>
        <v>4704106.890000001</v>
      </c>
      <c r="E65" s="1076">
        <f t="shared" si="1"/>
        <v>46.33904168626148</v>
      </c>
    </row>
    <row r="66" spans="1:5" s="1034" customFormat="1" ht="15.75" customHeight="1">
      <c r="A66" s="1042" t="s">
        <v>403</v>
      </c>
      <c r="B66" s="1043" t="s">
        <v>787</v>
      </c>
      <c r="C66" s="1044">
        <v>9179798</v>
      </c>
      <c r="D66" s="1044">
        <v>4310550.99</v>
      </c>
      <c r="E66" s="1045">
        <f t="shared" si="1"/>
        <v>46.956926394240924</v>
      </c>
    </row>
    <row r="67" spans="1:5" s="1034" customFormat="1" ht="15.75" customHeight="1">
      <c r="A67" s="1049" t="s">
        <v>404</v>
      </c>
      <c r="B67" s="1053" t="s">
        <v>1235</v>
      </c>
      <c r="C67" s="1054">
        <v>971700</v>
      </c>
      <c r="D67" s="1054">
        <v>393555.9</v>
      </c>
      <c r="E67" s="1055">
        <f t="shared" si="1"/>
        <v>40.50179067613461</v>
      </c>
    </row>
    <row r="68" spans="1:5" s="1041" customFormat="1" ht="18.75" customHeight="1">
      <c r="A68" s="1077" t="s">
        <v>529</v>
      </c>
      <c r="B68" s="1078" t="s">
        <v>1125</v>
      </c>
      <c r="C68" s="1079">
        <v>6000</v>
      </c>
      <c r="D68" s="1079">
        <v>3532.08</v>
      </c>
      <c r="E68" s="1080">
        <f t="shared" si="1"/>
        <v>58.867999999999995</v>
      </c>
    </row>
    <row r="69" spans="1:5" s="1041" customFormat="1" ht="18.75" customHeight="1">
      <c r="A69" s="1073" t="s">
        <v>434</v>
      </c>
      <c r="B69" s="1074" t="s">
        <v>1126</v>
      </c>
      <c r="C69" s="1075">
        <f>SUM(C70:C71)</f>
        <v>2502700</v>
      </c>
      <c r="D69" s="1075">
        <f>SUM(D70:D71)</f>
        <v>1209465.47</v>
      </c>
      <c r="E69" s="1076">
        <f t="shared" si="1"/>
        <v>48.32642625963959</v>
      </c>
    </row>
    <row r="70" spans="1:5" s="1034" customFormat="1" ht="15.75" customHeight="1">
      <c r="A70" s="1042" t="s">
        <v>407</v>
      </c>
      <c r="B70" s="1043" t="s">
        <v>410</v>
      </c>
      <c r="C70" s="1044">
        <v>2372700</v>
      </c>
      <c r="D70" s="1044">
        <v>1200481.02</v>
      </c>
      <c r="E70" s="1045">
        <f t="shared" si="1"/>
        <v>50.59556707548363</v>
      </c>
    </row>
    <row r="71" spans="1:5" s="1034" customFormat="1" ht="15.75" customHeight="1">
      <c r="A71" s="1049" t="s">
        <v>408</v>
      </c>
      <c r="B71" s="1053" t="s">
        <v>163</v>
      </c>
      <c r="C71" s="1054">
        <v>130000</v>
      </c>
      <c r="D71" s="1054">
        <v>8984.45</v>
      </c>
      <c r="E71" s="1055">
        <f t="shared" si="1"/>
        <v>6.911115384615385</v>
      </c>
    </row>
    <row r="72" spans="1:5" s="1041" customFormat="1" ht="18.75" customHeight="1">
      <c r="A72" s="1081" t="s">
        <v>435</v>
      </c>
      <c r="B72" s="1078" t="s">
        <v>1236</v>
      </c>
      <c r="C72" s="1079">
        <v>320900</v>
      </c>
      <c r="D72" s="1079">
        <v>163425.66</v>
      </c>
      <c r="E72" s="1080">
        <f t="shared" si="1"/>
        <v>50.927285758803365</v>
      </c>
    </row>
    <row r="73" spans="1:5" s="1041" customFormat="1" ht="18.75" customHeight="1">
      <c r="A73" s="1081" t="s">
        <v>436</v>
      </c>
      <c r="B73" s="1082" t="s">
        <v>1237</v>
      </c>
      <c r="C73" s="1079">
        <v>150000</v>
      </c>
      <c r="D73" s="1079">
        <v>22121.86</v>
      </c>
      <c r="E73" s="1080">
        <f t="shared" si="1"/>
        <v>14.747906666666665</v>
      </c>
    </row>
    <row r="74" spans="1:5" s="1041" customFormat="1" ht="18.75" customHeight="1">
      <c r="A74" s="1081" t="s">
        <v>437</v>
      </c>
      <c r="B74" s="1082" t="s">
        <v>1238</v>
      </c>
      <c r="C74" s="1083">
        <v>0</v>
      </c>
      <c r="D74" s="1079">
        <v>0</v>
      </c>
      <c r="E74" s="1084" t="s">
        <v>312</v>
      </c>
    </row>
    <row r="75" spans="1:5" s="1041" customFormat="1" ht="18.75" customHeight="1">
      <c r="A75" s="1081" t="s">
        <v>440</v>
      </c>
      <c r="B75" s="1082" t="s">
        <v>1239</v>
      </c>
      <c r="C75" s="1083">
        <v>0</v>
      </c>
      <c r="D75" s="1079">
        <v>0</v>
      </c>
      <c r="E75" s="1084" t="s">
        <v>312</v>
      </c>
    </row>
    <row r="76" spans="1:5" s="1034" customFormat="1" ht="18.75" customHeight="1">
      <c r="A76" s="1081" t="s">
        <v>441</v>
      </c>
      <c r="B76" s="1082" t="s">
        <v>1242</v>
      </c>
      <c r="C76" s="1083">
        <f>SUM(C64+C72+C73+C75)</f>
        <v>13086098</v>
      </c>
      <c r="D76" s="1079">
        <f>SUM(D64+D72+D73+D75)</f>
        <v>6588569.159999999</v>
      </c>
      <c r="E76" s="1080">
        <f t="shared" si="1"/>
        <v>50.347851284622806</v>
      </c>
    </row>
    <row r="77" spans="1:5" s="1034" customFormat="1" ht="18.75" customHeight="1">
      <c r="A77" s="1081" t="s">
        <v>442</v>
      </c>
      <c r="B77" s="1082" t="s">
        <v>1129</v>
      </c>
      <c r="C77" s="1079">
        <f>SUM(C65+C68+C69+C74)</f>
        <v>12660198</v>
      </c>
      <c r="D77" s="1079">
        <f>SUM(D65+D68+D69+D74)</f>
        <v>5917104.44</v>
      </c>
      <c r="E77" s="1080">
        <f t="shared" si="1"/>
        <v>46.73785070344082</v>
      </c>
    </row>
    <row r="78" spans="1:5" s="1034" customFormat="1" ht="18.75" customHeight="1">
      <c r="A78" s="1081" t="s">
        <v>443</v>
      </c>
      <c r="B78" s="1082" t="s">
        <v>1243</v>
      </c>
      <c r="C78" s="1085"/>
      <c r="D78" s="1079">
        <v>158123.47</v>
      </c>
      <c r="E78" s="1080">
        <f>D78/C77*100</f>
        <v>1.2489810190962258</v>
      </c>
    </row>
    <row r="79" spans="1:5" s="1034" customFormat="1" ht="18.75" customHeight="1" thickBot="1">
      <c r="A79" s="1086" t="s">
        <v>285</v>
      </c>
      <c r="B79" s="1087" t="s">
        <v>1244</v>
      </c>
      <c r="C79" s="1088">
        <f>SUM(C77-C76+C78)</f>
        <v>-425900</v>
      </c>
      <c r="D79" s="1088">
        <f>SUM(D77-D76+D78)</f>
        <v>-513341.24999999884</v>
      </c>
      <c r="E79" s="1089"/>
    </row>
  </sheetData>
  <sheetProtection password="CF53" sheet="1" objects="1" scenarios="1" selectLockedCells="1" selectUnlockedCells="1"/>
  <mergeCells count="2">
    <mergeCell ref="A3:E3"/>
    <mergeCell ref="D1:E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138"/>
  <sheetViews>
    <sheetView view="pageBreakPreview" zoomScaleSheetLayoutView="100" workbookViewId="0" topLeftCell="A10">
      <selection activeCell="D28" sqref="D28"/>
    </sheetView>
  </sheetViews>
  <sheetFormatPr defaultColWidth="9.00390625" defaultRowHeight="12.75"/>
  <cols>
    <col min="1" max="1" width="3.625" style="127" customWidth="1"/>
    <col min="2" max="2" width="34.375" style="123" customWidth="1"/>
    <col min="3" max="3" width="13.625" style="123" customWidth="1"/>
    <col min="4" max="4" width="13.875" style="123" customWidth="1"/>
    <col min="5" max="5" width="9.125" style="557" customWidth="1"/>
    <col min="6" max="6" width="8.125" style="123" customWidth="1"/>
    <col min="7" max="16384" width="9.125" style="123" customWidth="1"/>
  </cols>
  <sheetData>
    <row r="1" spans="4:6" ht="12.75">
      <c r="D1" s="126"/>
      <c r="E1" s="1518" t="s">
        <v>184</v>
      </c>
      <c r="F1" s="1518"/>
    </row>
    <row r="2" spans="4:5" ht="11.25" customHeight="1">
      <c r="D2" s="234"/>
      <c r="E2" s="234"/>
    </row>
    <row r="3" spans="1:6" ht="13.5" customHeight="1">
      <c r="A3" s="1495" t="s">
        <v>1064</v>
      </c>
      <c r="B3" s="1495"/>
      <c r="C3" s="1495"/>
      <c r="D3" s="1495"/>
      <c r="E3" s="1495"/>
      <c r="F3" s="1495"/>
    </row>
    <row r="4" spans="1:5" ht="8.25" customHeight="1">
      <c r="A4" s="1519"/>
      <c r="B4" s="1519"/>
      <c r="C4" s="1519"/>
      <c r="D4" s="1519"/>
      <c r="E4" s="1519"/>
    </row>
    <row r="5" spans="1:6" ht="13.5" thickBot="1">
      <c r="A5" s="125"/>
      <c r="B5" s="125"/>
      <c r="C5" s="125"/>
      <c r="D5" s="125"/>
      <c r="E5" s="242"/>
      <c r="F5" s="242" t="s">
        <v>67</v>
      </c>
    </row>
    <row r="6" spans="1:6" ht="18" customHeight="1">
      <c r="A6" s="1496" t="s">
        <v>338</v>
      </c>
      <c r="B6" s="1498" t="s">
        <v>250</v>
      </c>
      <c r="C6" s="1493" t="s">
        <v>392</v>
      </c>
      <c r="D6" s="1494"/>
      <c r="E6" s="1500" t="s">
        <v>242</v>
      </c>
      <c r="F6" s="1502" t="s">
        <v>243</v>
      </c>
    </row>
    <row r="7" spans="1:6" ht="12.75">
      <c r="A7" s="1497"/>
      <c r="B7" s="1499"/>
      <c r="C7" s="1094" t="s">
        <v>70</v>
      </c>
      <c r="D7" s="1095" t="s">
        <v>71</v>
      </c>
      <c r="E7" s="1501"/>
      <c r="F7" s="1503"/>
    </row>
    <row r="8" spans="1:6" s="774" customFormat="1" ht="12" customHeight="1" thickBot="1">
      <c r="A8" s="1096">
        <v>1</v>
      </c>
      <c r="B8" s="1097">
        <v>2</v>
      </c>
      <c r="C8" s="1097">
        <v>3</v>
      </c>
      <c r="D8" s="1097">
        <v>4</v>
      </c>
      <c r="E8" s="1098">
        <v>5</v>
      </c>
      <c r="F8" s="1099">
        <v>6</v>
      </c>
    </row>
    <row r="9" spans="1:6" ht="18" customHeight="1">
      <c r="A9" s="747" t="s">
        <v>339</v>
      </c>
      <c r="B9" s="748" t="s">
        <v>340</v>
      </c>
      <c r="C9" s="749">
        <f>SUM(C10,C15)</f>
        <v>218685773.66</v>
      </c>
      <c r="D9" s="749">
        <f>SUM(D10,D15)</f>
        <v>85658598.02</v>
      </c>
      <c r="E9" s="750">
        <f>D9*100/C9</f>
        <v>39.1697167064818</v>
      </c>
      <c r="F9" s="751">
        <f>D9/D$9*100</f>
        <v>100</v>
      </c>
    </row>
    <row r="10" spans="1:6" ht="18" customHeight="1">
      <c r="A10" s="246" t="s">
        <v>341</v>
      </c>
      <c r="B10" s="247" t="s">
        <v>160</v>
      </c>
      <c r="C10" s="248">
        <f>SUM(C11,C12,C13,C14)</f>
        <v>155769834.66</v>
      </c>
      <c r="D10" s="248">
        <f>SUM(D11,D12,D13,D14)</f>
        <v>79022176.55</v>
      </c>
      <c r="E10" s="249">
        <f aca="true" t="shared" si="0" ref="E10:E19">D10*100/C10</f>
        <v>50.730089508332796</v>
      </c>
      <c r="F10" s="250">
        <f aca="true" t="shared" si="1" ref="F10:F19">D10/D$9*100</f>
        <v>92.25247479715873</v>
      </c>
    </row>
    <row r="11" spans="1:6" ht="42.75" customHeight="1">
      <c r="A11" s="236" t="s">
        <v>165</v>
      </c>
      <c r="B11" s="241" t="s">
        <v>164</v>
      </c>
      <c r="C11" s="238">
        <f>SUM(6D!E10,6D!E48,6D!E49,6D!E61,6D!E74,6D!E76,6D!E79,6D!E132,6D!E135,6D!E143,6D!E144,6D!E145,6D!E155,6D!E158,6D!E164,6D!E166,6D!E168,6D!E171,6D!E172,6D!E176,6D!E182,6D!E185,6D!E186,6D!E195,6D!E225,6D!E242,6D!E245,6D!E248,6D!E250,6D!E255)+6D!E262+6D!E283+6D!E292+6D!E297+6D!E304+6D!E309+6D!E323+6D!E122+6D!E272+6D!E126+6D!E278+6D!E280+6D!E285+6D!E288+6D!E306+6D!E319+6D!E321+6D!E266+6D!E263</f>
        <v>95219481.66</v>
      </c>
      <c r="D11" s="238">
        <f>SUM(6D!F10,6D!F48,6D!F49,6D!F61,6D!F74,6D!F76,6D!F79,6D!F132,6D!F135,6D!F143,6D!F144,6D!F145,6D!F155,6D!F158,6D!F164,6D!F166,6D!F168,6D!F171,6D!F172,6D!F176,6D!F182,6D!F185,6D!F186,6D!F195,6D!F225,6D!F242,6D!F245,6D!F248,6D!F250,6D!F255)+6D!F262+6D!F283+6D!F292+6D!F297+6D!F304+6D!F309+6D!F323+6D!F122+6D!F272+6D!F126+6D!F278+6D!F280+6D!F285+6D!F288+6D!F306+6D!F319+6D!F321+6D!F266+6D!F263</f>
        <v>49816684.66</v>
      </c>
      <c r="E11" s="239">
        <f t="shared" si="0"/>
        <v>52.3177440073454</v>
      </c>
      <c r="F11" s="240">
        <f t="shared" si="1"/>
        <v>58.15724960659355</v>
      </c>
    </row>
    <row r="12" spans="1:6" ht="20.25" customHeight="1">
      <c r="A12" s="236" t="s">
        <v>166</v>
      </c>
      <c r="B12" s="237" t="s">
        <v>170</v>
      </c>
      <c r="C12" s="238">
        <f>SUM(6D!E84,6D!E189,6D!E191,6D!E300,6D!E315,6D!E324,6D!E326)</f>
        <v>346586</v>
      </c>
      <c r="D12" s="238">
        <f>SUM(6D!F84,6D!F189,6D!F191,6D!F300,6D!F315,6D!F324,6D!F326)</f>
        <v>251653.13</v>
      </c>
      <c r="E12" s="239">
        <f t="shared" si="0"/>
        <v>72.60914462788456</v>
      </c>
      <c r="F12" s="240">
        <f t="shared" si="1"/>
        <v>0.2937861882134036</v>
      </c>
    </row>
    <row r="13" spans="1:6" ht="18" customHeight="1">
      <c r="A13" s="236" t="s">
        <v>167</v>
      </c>
      <c r="B13" s="237" t="s">
        <v>162</v>
      </c>
      <c r="C13" s="238">
        <f>SUM(6D!E35,6D!E85,6D!E141)</f>
        <v>49950</v>
      </c>
      <c r="D13" s="238">
        <f>SUM(6D!F35,6D!F85,6D!F141)</f>
        <v>0</v>
      </c>
      <c r="E13" s="239">
        <f>D13*100/C13</f>
        <v>0</v>
      </c>
      <c r="F13" s="240">
        <f>D13/D$9*100</f>
        <v>0</v>
      </c>
    </row>
    <row r="14" spans="1:6" ht="18" customHeight="1">
      <c r="A14" s="236" t="s">
        <v>175</v>
      </c>
      <c r="B14" s="237" t="s">
        <v>163</v>
      </c>
      <c r="C14" s="238">
        <f>C42-C15-C11-C12-C13</f>
        <v>60153817</v>
      </c>
      <c r="D14" s="238">
        <f>D42-D15-D11-D12-D13</f>
        <v>28953838.76</v>
      </c>
      <c r="E14" s="239">
        <f>D14*100/C14</f>
        <v>48.13300336369345</v>
      </c>
      <c r="F14" s="240">
        <f>D14/D$9*100</f>
        <v>33.80143900235177</v>
      </c>
    </row>
    <row r="15" spans="1:6" ht="18" customHeight="1">
      <c r="A15" s="261" t="s">
        <v>342</v>
      </c>
      <c r="B15" s="262" t="s">
        <v>159</v>
      </c>
      <c r="C15" s="174">
        <f>SUM(C16:C19)</f>
        <v>62915939</v>
      </c>
      <c r="D15" s="174">
        <f>SUM(D16:D19)</f>
        <v>6636421.47</v>
      </c>
      <c r="E15" s="263">
        <f t="shared" si="0"/>
        <v>10.548076648748738</v>
      </c>
      <c r="F15" s="264">
        <f t="shared" si="1"/>
        <v>7.747525202841278</v>
      </c>
    </row>
    <row r="16" spans="1:6" ht="27.75" customHeight="1">
      <c r="A16" s="251" t="s">
        <v>168</v>
      </c>
      <c r="B16" s="252" t="s">
        <v>464</v>
      </c>
      <c r="C16" s="159">
        <f>SUM(6D!E14,6D!E22,6D!E33,6D!E44,6D!E45,6D!E68,6D!E198,6D!E210)</f>
        <v>36224600</v>
      </c>
      <c r="D16" s="159">
        <f>SUM(6D!F14,6D!F22,6D!F33,6D!F44,6D!F45,6D!F68,6D!F198,6D!F210)</f>
        <v>6300934.89</v>
      </c>
      <c r="E16" s="254">
        <f>D16*100/C16</f>
        <v>17.394077201680627</v>
      </c>
      <c r="F16" s="255">
        <f>D16/D$9*100</f>
        <v>7.355869738293902</v>
      </c>
    </row>
    <row r="17" spans="1:6" ht="18" customHeight="1">
      <c r="A17" s="251" t="s">
        <v>169</v>
      </c>
      <c r="B17" s="252" t="s">
        <v>183</v>
      </c>
      <c r="C17" s="159">
        <f>SUM(6D!E38,6D!E146,6D!E237,6D!E239,6D!E267,6D!E289)</f>
        <v>2878500</v>
      </c>
      <c r="D17" s="159">
        <f>SUM(6D!F38,6D!F146,6D!F237,6D!F239,6D!F267,6D!F289)</f>
        <v>335486.58</v>
      </c>
      <c r="E17" s="254">
        <f t="shared" si="0"/>
        <v>11.654909848879624</v>
      </c>
      <c r="F17" s="255">
        <f t="shared" si="1"/>
        <v>0.39165546454737554</v>
      </c>
    </row>
    <row r="18" spans="1:6" ht="18" customHeight="1">
      <c r="A18" s="251" t="s">
        <v>174</v>
      </c>
      <c r="B18" s="252" t="s">
        <v>225</v>
      </c>
      <c r="C18" s="253">
        <f>SUM(6D!E25,6D!E27,6D!E52,6D!E204,6D!E219,6D!E228,6D!E236)</f>
        <v>22681839</v>
      </c>
      <c r="D18" s="253">
        <f>SUM(6D!F25,6D!F27,6D!F52,6D!F204,6D!F219,6D!F228,6D!F236)</f>
        <v>0</v>
      </c>
      <c r="E18" s="254">
        <f>D18*100/C18</f>
        <v>0</v>
      </c>
      <c r="F18" s="255">
        <f>D18/D$9*100</f>
        <v>0</v>
      </c>
    </row>
    <row r="19" spans="1:6" ht="18" customHeight="1">
      <c r="A19" s="256" t="s">
        <v>182</v>
      </c>
      <c r="B19" s="257" t="s">
        <v>161</v>
      </c>
      <c r="C19" s="258">
        <f>SUM(6D!E281)</f>
        <v>1131000</v>
      </c>
      <c r="D19" s="258">
        <f>SUM(6D!F281)</f>
        <v>0</v>
      </c>
      <c r="E19" s="259">
        <f t="shared" si="0"/>
        <v>0</v>
      </c>
      <c r="F19" s="260">
        <f t="shared" si="1"/>
        <v>0</v>
      </c>
    </row>
    <row r="20" spans="1:6" ht="18" customHeight="1">
      <c r="A20" s="752" t="s">
        <v>343</v>
      </c>
      <c r="B20" s="753" t="s">
        <v>344</v>
      </c>
      <c r="C20" s="614">
        <f>SUM(C21,C26)</f>
        <v>232350462.66</v>
      </c>
      <c r="D20" s="614">
        <f>SUM(D21,D26)</f>
        <v>95885451.11999999</v>
      </c>
      <c r="E20" s="754">
        <f aca="true" t="shared" si="2" ref="E20:E26">D20*100/C20</f>
        <v>41.26759638103661</v>
      </c>
      <c r="F20" s="755">
        <f>D20/D$20*100</f>
        <v>100</v>
      </c>
    </row>
    <row r="21" spans="1:6" ht="18" customHeight="1">
      <c r="A21" s="246" t="s">
        <v>341</v>
      </c>
      <c r="B21" s="279" t="s">
        <v>351</v>
      </c>
      <c r="C21" s="248">
        <f>SUM(C22,C23,C24,C25)</f>
        <v>146187047.66</v>
      </c>
      <c r="D21" s="248">
        <f>SUM(D22,D23,D24,D25)</f>
        <v>67655931.57</v>
      </c>
      <c r="E21" s="266">
        <f t="shared" si="2"/>
        <v>46.280387115658364</v>
      </c>
      <c r="F21" s="250">
        <f aca="true" t="shared" si="3" ref="F21:F29">D21/D$20*100</f>
        <v>70.55912109682735</v>
      </c>
    </row>
    <row r="22" spans="1:6" ht="18" customHeight="1">
      <c r="A22" s="236" t="s">
        <v>165</v>
      </c>
      <c r="B22" s="708" t="s">
        <v>176</v>
      </c>
      <c r="C22" s="238">
        <f>SUM(9W!D672)</f>
        <v>59638354</v>
      </c>
      <c r="D22" s="238">
        <f>SUM(9W!E672)</f>
        <v>30007698.270000003</v>
      </c>
      <c r="E22" s="709">
        <f t="shared" si="2"/>
        <v>50.316107433146136</v>
      </c>
      <c r="F22" s="240">
        <f t="shared" si="3"/>
        <v>31.29536120390733</v>
      </c>
    </row>
    <row r="23" spans="1:7" ht="18" customHeight="1">
      <c r="A23" s="236" t="s">
        <v>166</v>
      </c>
      <c r="B23" s="708" t="s">
        <v>177</v>
      </c>
      <c r="C23" s="238">
        <f>SUM(9W!D675)</f>
        <v>17627998</v>
      </c>
      <c r="D23" s="238">
        <f>SUM(9W!E675)</f>
        <v>9076875.98</v>
      </c>
      <c r="E23" s="709">
        <f t="shared" si="2"/>
        <v>51.49124693569854</v>
      </c>
      <c r="F23" s="240">
        <f t="shared" si="3"/>
        <v>9.466374589655267</v>
      </c>
      <c r="G23" s="123" t="s">
        <v>799</v>
      </c>
    </row>
    <row r="24" spans="1:6" ht="18" customHeight="1">
      <c r="A24" s="236" t="s">
        <v>167</v>
      </c>
      <c r="B24" s="708" t="s">
        <v>178</v>
      </c>
      <c r="C24" s="238">
        <f>SUM(9W!D676)</f>
        <v>2481161</v>
      </c>
      <c r="D24" s="238">
        <f>SUM(9W!E676)</f>
        <v>697390.73</v>
      </c>
      <c r="E24" s="709">
        <f t="shared" si="2"/>
        <v>28.107435591644396</v>
      </c>
      <c r="F24" s="240">
        <f t="shared" si="3"/>
        <v>0.7273165238876753</v>
      </c>
    </row>
    <row r="25" spans="1:6" ht="18" customHeight="1">
      <c r="A25" s="236" t="s">
        <v>175</v>
      </c>
      <c r="B25" s="708" t="s">
        <v>218</v>
      </c>
      <c r="C25" s="238">
        <f>9W!D670-9W!D672-9W!D675-9W!D676</f>
        <v>66439534.66</v>
      </c>
      <c r="D25" s="238">
        <f>9W!E670-9W!E672-9W!E675-9W!E676</f>
        <v>27873966.590000004</v>
      </c>
      <c r="E25" s="709">
        <f t="shared" si="2"/>
        <v>41.953885939513604</v>
      </c>
      <c r="F25" s="240">
        <f t="shared" si="3"/>
        <v>29.070068779377095</v>
      </c>
    </row>
    <row r="26" spans="1:6" ht="18" customHeight="1">
      <c r="A26" s="246" t="s">
        <v>342</v>
      </c>
      <c r="B26" s="279" t="s">
        <v>1246</v>
      </c>
      <c r="C26" s="248">
        <f>SUM(C27,C28,C29)</f>
        <v>86163415</v>
      </c>
      <c r="D26" s="248">
        <f>SUM(D27,D28,D29)</f>
        <v>28229519.55</v>
      </c>
      <c r="E26" s="266">
        <f t="shared" si="2"/>
        <v>32.76276775937908</v>
      </c>
      <c r="F26" s="250">
        <f t="shared" si="3"/>
        <v>29.440878903172653</v>
      </c>
    </row>
    <row r="27" spans="1:6" ht="18" customHeight="1">
      <c r="A27" s="246" t="s">
        <v>168</v>
      </c>
      <c r="B27" s="241" t="s">
        <v>217</v>
      </c>
      <c r="C27" s="625">
        <v>78052911</v>
      </c>
      <c r="D27" s="625">
        <v>24905717.02</v>
      </c>
      <c r="E27" s="709">
        <f>D27*100/C27</f>
        <v>31.90876125042921</v>
      </c>
      <c r="F27" s="240">
        <f t="shared" si="3"/>
        <v>25.974448395545082</v>
      </c>
    </row>
    <row r="28" spans="1:6" ht="18" customHeight="1">
      <c r="A28" s="246" t="s">
        <v>169</v>
      </c>
      <c r="B28" s="708" t="s">
        <v>177</v>
      </c>
      <c r="C28" s="625">
        <f>SUM(9W!D679)</f>
        <v>2124306</v>
      </c>
      <c r="D28" s="625">
        <f>SUM(9W!E679)</f>
        <v>1479823.0899999999</v>
      </c>
      <c r="E28" s="709">
        <f>D28*100/C28</f>
        <v>69.66148426827397</v>
      </c>
      <c r="F28" s="240">
        <f t="shared" si="3"/>
        <v>1.543323906510083</v>
      </c>
    </row>
    <row r="29" spans="1:6" ht="18" customHeight="1">
      <c r="A29" s="710" t="s">
        <v>174</v>
      </c>
      <c r="B29" s="711" t="s">
        <v>218</v>
      </c>
      <c r="C29" s="712">
        <v>5986198</v>
      </c>
      <c r="D29" s="712">
        <v>1843979.44</v>
      </c>
      <c r="E29" s="713">
        <f>D29*100/C29</f>
        <v>30.8038497891316</v>
      </c>
      <c r="F29" s="714">
        <f t="shared" si="3"/>
        <v>1.9231066011174858</v>
      </c>
    </row>
    <row r="30" spans="1:6" ht="18" customHeight="1">
      <c r="A30" s="756" t="s">
        <v>345</v>
      </c>
      <c r="B30" s="757" t="s">
        <v>222</v>
      </c>
      <c r="C30" s="403">
        <f>C9-C20</f>
        <v>-13664689</v>
      </c>
      <c r="D30" s="403">
        <f>D9-D20</f>
        <v>-10226853.099999994</v>
      </c>
      <c r="E30" s="758" t="s">
        <v>346</v>
      </c>
      <c r="F30" s="759" t="s">
        <v>346</v>
      </c>
    </row>
    <row r="31" spans="1:6" ht="18.75" customHeight="1">
      <c r="A31" s="756" t="s">
        <v>349</v>
      </c>
      <c r="B31" s="757" t="s">
        <v>530</v>
      </c>
      <c r="C31" s="403">
        <f>C32-C36</f>
        <v>13664689</v>
      </c>
      <c r="D31" s="403">
        <f>D32-D36</f>
        <v>27524734.209999997</v>
      </c>
      <c r="E31" s="758" t="s">
        <v>346</v>
      </c>
      <c r="F31" s="760" t="s">
        <v>346</v>
      </c>
    </row>
    <row r="32" spans="1:6" ht="18" customHeight="1">
      <c r="A32" s="243" t="s">
        <v>341</v>
      </c>
      <c r="B32" s="267" t="s">
        <v>329</v>
      </c>
      <c r="C32" s="244">
        <f>SUM(C33,C34,C35)</f>
        <v>37118004</v>
      </c>
      <c r="D32" s="244">
        <f>SUM(D33,D34,D35)</f>
        <v>30912349.209999997</v>
      </c>
      <c r="E32" s="268">
        <f aca="true" t="shared" si="4" ref="E32:E39">D32/C32*100</f>
        <v>83.28128099237232</v>
      </c>
      <c r="F32" s="269">
        <f>D32/D$32*100</f>
        <v>100</v>
      </c>
    </row>
    <row r="33" spans="1:6" ht="18" customHeight="1">
      <c r="A33" s="243"/>
      <c r="B33" s="265" t="s">
        <v>223</v>
      </c>
      <c r="C33" s="248">
        <f>SUM(5PiR!D10)</f>
        <v>420239</v>
      </c>
      <c r="D33" s="248">
        <f>SUM(5PiR!E10)</f>
        <v>420239</v>
      </c>
      <c r="E33" s="266">
        <f t="shared" si="4"/>
        <v>100</v>
      </c>
      <c r="F33" s="250">
        <f>D33/D$32*100</f>
        <v>1.3594534570800418</v>
      </c>
    </row>
    <row r="34" spans="1:6" ht="18" customHeight="1">
      <c r="A34" s="243"/>
      <c r="B34" s="265" t="s">
        <v>171</v>
      </c>
      <c r="C34" s="248">
        <f>SUM(5PiR!D9)</f>
        <v>11181980</v>
      </c>
      <c r="D34" s="248">
        <f>SUM(5PiR!E9)</f>
        <v>4926325.38</v>
      </c>
      <c r="E34" s="266">
        <f t="shared" si="4"/>
        <v>44.05593088165066</v>
      </c>
      <c r="F34" s="250">
        <f>D34/D$32*100</f>
        <v>15.93643157475187</v>
      </c>
    </row>
    <row r="35" spans="1:6" ht="18" customHeight="1">
      <c r="A35" s="243"/>
      <c r="B35" s="265" t="s">
        <v>430</v>
      </c>
      <c r="C35" s="248">
        <f>SUM(5PiR!D11)</f>
        <v>25515785</v>
      </c>
      <c r="D35" s="248">
        <f>SUM(5PiR!E11)</f>
        <v>25565784.83</v>
      </c>
      <c r="E35" s="266">
        <f t="shared" si="4"/>
        <v>100.1959564638125</v>
      </c>
      <c r="F35" s="250">
        <f>D35/D$32*100</f>
        <v>82.70411496816808</v>
      </c>
    </row>
    <row r="36" spans="1:6" ht="18" customHeight="1">
      <c r="A36" s="243" t="s">
        <v>342</v>
      </c>
      <c r="B36" s="267" t="s">
        <v>13</v>
      </c>
      <c r="C36" s="271">
        <f>SUM(C37,C38,C39)</f>
        <v>23453315</v>
      </c>
      <c r="D36" s="271">
        <f>SUM(D37,D38,D39)</f>
        <v>3387615</v>
      </c>
      <c r="E36" s="268">
        <f t="shared" si="4"/>
        <v>14.44407752166378</v>
      </c>
      <c r="F36" s="245">
        <f>D36/D$36*100</f>
        <v>100</v>
      </c>
    </row>
    <row r="37" spans="1:6" ht="18" customHeight="1">
      <c r="A37" s="243"/>
      <c r="B37" s="265" t="s">
        <v>172</v>
      </c>
      <c r="C37" s="270">
        <f>SUM(5PiR!D15)</f>
        <v>2985350</v>
      </c>
      <c r="D37" s="270">
        <f>SUM(5PiR!E15)</f>
        <v>1387615</v>
      </c>
      <c r="E37" s="266">
        <f t="shared" si="4"/>
        <v>46.48081464484901</v>
      </c>
      <c r="F37" s="250">
        <f>D37/D$36*100</f>
        <v>40.96141385606097</v>
      </c>
    </row>
    <row r="38" spans="1:6" ht="18" customHeight="1">
      <c r="A38" s="243"/>
      <c r="B38" s="265" t="s">
        <v>173</v>
      </c>
      <c r="C38" s="270">
        <f>SUM(5PiR!D13)</f>
        <v>15467965</v>
      </c>
      <c r="D38" s="270">
        <f>SUM(5PiR!E13)</f>
        <v>0</v>
      </c>
      <c r="E38" s="266">
        <f t="shared" si="4"/>
        <v>0</v>
      </c>
      <c r="F38" s="250">
        <f>D38/D$36*100</f>
        <v>0</v>
      </c>
    </row>
    <row r="39" spans="1:6" ht="18" customHeight="1">
      <c r="A39" s="243"/>
      <c r="B39" s="265" t="s">
        <v>224</v>
      </c>
      <c r="C39" s="270">
        <f>SUM(5PiR!D14)</f>
        <v>5000000</v>
      </c>
      <c r="D39" s="270">
        <f>SUM(5PiR!E14)</f>
        <v>2000000</v>
      </c>
      <c r="E39" s="266">
        <f t="shared" si="4"/>
        <v>40</v>
      </c>
      <c r="F39" s="250">
        <f>D39/D$36*100</f>
        <v>59.03858614393902</v>
      </c>
    </row>
    <row r="40" spans="1:6" ht="9.75" customHeight="1" thickBot="1">
      <c r="A40" s="272"/>
      <c r="B40" s="273"/>
      <c r="C40" s="274"/>
      <c r="D40" s="274"/>
      <c r="E40" s="275"/>
      <c r="F40" s="276"/>
    </row>
    <row r="41" spans="1:5" ht="14.25" customHeight="1">
      <c r="A41" s="125"/>
      <c r="B41" s="277"/>
      <c r="C41" s="278"/>
      <c r="D41" s="278"/>
      <c r="E41" s="242"/>
    </row>
    <row r="42" spans="2:4" ht="15.75" customHeight="1">
      <c r="B42" s="715" t="s">
        <v>180</v>
      </c>
      <c r="C42" s="716">
        <v>218685773.66</v>
      </c>
      <c r="D42" s="716">
        <v>85658598.02</v>
      </c>
    </row>
    <row r="43" spans="2:4" ht="15.75" customHeight="1">
      <c r="B43" s="715" t="s">
        <v>181</v>
      </c>
      <c r="C43" s="717">
        <f>C9</f>
        <v>218685773.66</v>
      </c>
      <c r="D43" s="717">
        <f>D9</f>
        <v>85658598.02</v>
      </c>
    </row>
    <row r="44" spans="2:4" ht="15.75" customHeight="1" thickBot="1">
      <c r="B44" s="715" t="s">
        <v>38</v>
      </c>
      <c r="C44" s="718">
        <f>C42-C43</f>
        <v>0</v>
      </c>
      <c r="D44" s="718">
        <f>D42-D43</f>
        <v>0</v>
      </c>
    </row>
    <row r="45" spans="2:4" ht="15.75" customHeight="1" thickTop="1">
      <c r="B45" s="715"/>
      <c r="C45" s="719"/>
      <c r="D45" s="719"/>
    </row>
    <row r="46" spans="2:4" ht="15.75" customHeight="1">
      <c r="B46" s="715" t="s">
        <v>179</v>
      </c>
      <c r="C46" s="719">
        <v>232350462.66</v>
      </c>
      <c r="D46" s="719">
        <v>95885451.12</v>
      </c>
    </row>
    <row r="47" spans="2:4" ht="15.75" customHeight="1">
      <c r="B47" s="715" t="s">
        <v>181</v>
      </c>
      <c r="C47" s="720">
        <f>SUM(C20)</f>
        <v>232350462.66</v>
      </c>
      <c r="D47" s="720">
        <f>SUM(D20)</f>
        <v>95885451.11999999</v>
      </c>
    </row>
    <row r="48" spans="2:4" ht="13.5" thickBot="1">
      <c r="B48" s="715" t="s">
        <v>38</v>
      </c>
      <c r="C48" s="721">
        <f>C46-C47</f>
        <v>0</v>
      </c>
      <c r="D48" s="721">
        <f>D46-D47</f>
        <v>0</v>
      </c>
    </row>
    <row r="49" spans="2:4" ht="13.5" thickTop="1">
      <c r="B49" s="122"/>
      <c r="C49" s="719"/>
      <c r="D49" s="719"/>
    </row>
    <row r="50" spans="2:4" ht="12.75">
      <c r="B50" s="122"/>
      <c r="C50" s="719"/>
      <c r="D50" s="719"/>
    </row>
    <row r="51" spans="2:4" ht="12.75">
      <c r="B51" s="122"/>
      <c r="C51" s="719"/>
      <c r="D51" s="719"/>
    </row>
    <row r="52" spans="2:4" ht="12.75">
      <c r="B52" s="122"/>
      <c r="C52" s="719"/>
      <c r="D52" s="719"/>
    </row>
    <row r="53" spans="2:4" ht="12.75">
      <c r="B53" s="122"/>
      <c r="C53" s="719"/>
      <c r="D53" s="719"/>
    </row>
    <row r="54" ht="12.75">
      <c r="B54" s="122"/>
    </row>
    <row r="55" ht="12.75">
      <c r="B55" s="122"/>
    </row>
    <row r="56" ht="12.75">
      <c r="B56" s="122"/>
    </row>
    <row r="57" ht="12.75">
      <c r="B57" s="122"/>
    </row>
    <row r="58" ht="12.75">
      <c r="B58" s="122"/>
    </row>
    <row r="59" ht="12.75">
      <c r="B59" s="122"/>
    </row>
    <row r="60" ht="12.75">
      <c r="B60" s="122"/>
    </row>
    <row r="61" ht="12.75">
      <c r="B61" s="122"/>
    </row>
    <row r="62" ht="12.75">
      <c r="B62" s="122"/>
    </row>
    <row r="63" ht="12.75">
      <c r="B63" s="122"/>
    </row>
    <row r="64" ht="12.75">
      <c r="B64" s="122"/>
    </row>
    <row r="65" ht="12.75">
      <c r="B65" s="122"/>
    </row>
    <row r="66" ht="12.75">
      <c r="B66" s="122"/>
    </row>
    <row r="67" ht="12.75">
      <c r="B67" s="122"/>
    </row>
    <row r="68" ht="12.75">
      <c r="B68" s="122"/>
    </row>
    <row r="69" ht="12.75">
      <c r="B69" s="122"/>
    </row>
    <row r="70" ht="12.75">
      <c r="B70" s="122"/>
    </row>
    <row r="71" ht="12.75">
      <c r="B71" s="122"/>
    </row>
    <row r="72" ht="12.75">
      <c r="B72" s="122"/>
    </row>
    <row r="73" ht="12.75">
      <c r="B73" s="122"/>
    </row>
    <row r="74" ht="12.75">
      <c r="B74" s="122"/>
    </row>
    <row r="75" ht="12.75">
      <c r="B75" s="122"/>
    </row>
    <row r="76" ht="12.75">
      <c r="B76" s="122"/>
    </row>
    <row r="77" ht="12.75">
      <c r="B77" s="122"/>
    </row>
    <row r="78" ht="12.75">
      <c r="B78" s="122"/>
    </row>
    <row r="79" ht="12.75">
      <c r="B79" s="122"/>
    </row>
    <row r="80" ht="12.75">
      <c r="B80" s="122"/>
    </row>
    <row r="81" ht="12.75">
      <c r="B81" s="122"/>
    </row>
    <row r="82" ht="12.75">
      <c r="B82" s="122"/>
    </row>
    <row r="83" ht="12.75">
      <c r="B83" s="122"/>
    </row>
    <row r="84" ht="12.75">
      <c r="B84" s="122"/>
    </row>
    <row r="85" ht="12.75">
      <c r="B85" s="122"/>
    </row>
    <row r="86" ht="12.75">
      <c r="B86" s="122"/>
    </row>
    <row r="87" ht="12.75">
      <c r="B87" s="122"/>
    </row>
    <row r="88" ht="12.75">
      <c r="B88" s="122"/>
    </row>
    <row r="89" ht="12.75">
      <c r="B89" s="122"/>
    </row>
    <row r="90" ht="12.75">
      <c r="B90" s="122"/>
    </row>
    <row r="91" ht="12.75">
      <c r="B91" s="122"/>
    </row>
    <row r="92" ht="12.75">
      <c r="B92" s="122"/>
    </row>
    <row r="93" ht="12.75">
      <c r="B93" s="122"/>
    </row>
    <row r="94" ht="12.75">
      <c r="B94" s="122"/>
    </row>
    <row r="95" ht="12.75">
      <c r="B95" s="122"/>
    </row>
    <row r="96" ht="12.75">
      <c r="B96" s="122"/>
    </row>
    <row r="97" ht="12.75">
      <c r="B97" s="122"/>
    </row>
    <row r="98" ht="12.75">
      <c r="B98" s="122"/>
    </row>
    <row r="99" ht="12.75">
      <c r="B99" s="122"/>
    </row>
    <row r="100" ht="12.75">
      <c r="B100" s="122"/>
    </row>
    <row r="101" ht="12.75">
      <c r="B101" s="122"/>
    </row>
    <row r="102" ht="12.75">
      <c r="B102" s="122"/>
    </row>
    <row r="103" ht="12.75">
      <c r="B103" s="122"/>
    </row>
    <row r="104" ht="12.75">
      <c r="B104" s="122"/>
    </row>
    <row r="105" ht="12.75">
      <c r="B105" s="122"/>
    </row>
    <row r="106" ht="12.75">
      <c r="B106" s="122"/>
    </row>
    <row r="107" ht="12.75">
      <c r="B107" s="122"/>
    </row>
    <row r="108" ht="12.75">
      <c r="B108" s="122"/>
    </row>
    <row r="109" ht="12.75">
      <c r="B109" s="122"/>
    </row>
    <row r="110" ht="12.75">
      <c r="B110" s="122"/>
    </row>
    <row r="111" ht="12.75">
      <c r="B111" s="122"/>
    </row>
    <row r="112" ht="12.75">
      <c r="B112" s="122"/>
    </row>
    <row r="113" ht="12.75">
      <c r="B113" s="122"/>
    </row>
    <row r="114" ht="12.75">
      <c r="B114" s="122"/>
    </row>
    <row r="115" ht="12.75">
      <c r="B115" s="122"/>
    </row>
    <row r="116" ht="12.75">
      <c r="B116" s="122"/>
    </row>
    <row r="117" ht="12.75">
      <c r="B117" s="122"/>
    </row>
    <row r="118" ht="12.75">
      <c r="B118" s="122"/>
    </row>
    <row r="119" ht="12.75">
      <c r="B119" s="122"/>
    </row>
    <row r="120" ht="12.75">
      <c r="B120" s="122"/>
    </row>
    <row r="121" ht="12.75">
      <c r="B121" s="122"/>
    </row>
    <row r="122" ht="12.75">
      <c r="B122" s="122"/>
    </row>
    <row r="123" ht="12.75">
      <c r="B123" s="122"/>
    </row>
    <row r="124" ht="12.75">
      <c r="B124" s="122"/>
    </row>
    <row r="125" ht="12.75">
      <c r="B125" s="122"/>
    </row>
    <row r="126" ht="12.75">
      <c r="B126" s="122"/>
    </row>
    <row r="127" ht="12.75">
      <c r="B127" s="122"/>
    </row>
    <row r="128" ht="12.75">
      <c r="B128" s="122"/>
    </row>
    <row r="129" ht="12.75">
      <c r="B129" s="122"/>
    </row>
    <row r="130" ht="12.75">
      <c r="B130" s="122"/>
    </row>
    <row r="131" ht="12.75">
      <c r="B131" s="122"/>
    </row>
    <row r="132" ht="12.75">
      <c r="B132" s="122"/>
    </row>
    <row r="133" ht="12.75">
      <c r="B133" s="122"/>
    </row>
    <row r="134" ht="12.75">
      <c r="B134" s="122"/>
    </row>
    <row r="135" ht="12.75">
      <c r="B135" s="122"/>
    </row>
    <row r="136" ht="12.75">
      <c r="B136" s="122"/>
    </row>
    <row r="137" ht="12.75">
      <c r="B137" s="122"/>
    </row>
    <row r="138" ht="12.75">
      <c r="B138" s="122"/>
    </row>
  </sheetData>
  <sheetProtection password="CF53" sheet="1" objects="1" scenarios="1" selectLockedCells="1" selectUnlockedCells="1"/>
  <mergeCells count="8">
    <mergeCell ref="E1:F1"/>
    <mergeCell ref="A4:E4"/>
    <mergeCell ref="C6:D6"/>
    <mergeCell ref="A3:F3"/>
    <mergeCell ref="A6:A7"/>
    <mergeCell ref="B6:B7"/>
    <mergeCell ref="E6:E7"/>
    <mergeCell ref="F6:F7"/>
  </mergeCells>
  <printOptions/>
  <pageMargins left="0.984251968503937" right="0.9055118110236221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2"/>
  </sheetPr>
  <dimension ref="A1:E54"/>
  <sheetViews>
    <sheetView tabSelected="1" view="pageBreakPreview" zoomScale="120" zoomScaleNormal="120" zoomScaleSheetLayoutView="120" workbookViewId="0" topLeftCell="A1">
      <selection activeCell="D40" sqref="D40"/>
    </sheetView>
  </sheetViews>
  <sheetFormatPr defaultColWidth="9.00390625" defaultRowHeight="12.75"/>
  <cols>
    <col min="1" max="1" width="5.125" style="1033" customWidth="1"/>
    <col min="2" max="2" width="38.375" style="1034" customWidth="1"/>
    <col min="3" max="3" width="19.25390625" style="1035" customWidth="1"/>
    <col min="4" max="4" width="17.25390625" style="1035" customWidth="1"/>
    <col min="5" max="5" width="5.625" style="1034" customWidth="1"/>
    <col min="6" max="16384" width="9.125" style="1034" customWidth="1"/>
  </cols>
  <sheetData>
    <row r="1" spans="4:5" ht="12.75">
      <c r="D1" s="1692" t="s">
        <v>772</v>
      </c>
      <c r="E1" s="1692"/>
    </row>
    <row r="3" spans="1:5" ht="26.25" customHeight="1">
      <c r="A3" s="1691" t="s">
        <v>1132</v>
      </c>
      <c r="B3" s="1691"/>
      <c r="C3" s="1691"/>
      <c r="D3" s="1691"/>
      <c r="E3" s="1691"/>
    </row>
    <row r="4" spans="1:5" ht="9" customHeight="1">
      <c r="A4" s="1036"/>
      <c r="B4" s="1036"/>
      <c r="C4" s="1036"/>
      <c r="D4" s="1036"/>
      <c r="E4" s="1036"/>
    </row>
    <row r="5" spans="4:5" ht="13.5" thickBot="1">
      <c r="D5" s="1037"/>
      <c r="E5" s="1037" t="s">
        <v>67</v>
      </c>
    </row>
    <row r="6" spans="1:5" s="1033" customFormat="1" ht="15" customHeight="1">
      <c r="A6" s="1177" t="s">
        <v>338</v>
      </c>
      <c r="B6" s="1178" t="s">
        <v>69</v>
      </c>
      <c r="C6" s="1166" t="s">
        <v>70</v>
      </c>
      <c r="D6" s="1166" t="s">
        <v>71</v>
      </c>
      <c r="E6" s="1167" t="s">
        <v>72</v>
      </c>
    </row>
    <row r="7" spans="1:5" s="1179" customFormat="1" ht="12" customHeight="1" thickBot="1">
      <c r="A7" s="1175">
        <v>1</v>
      </c>
      <c r="B7" s="1176">
        <v>2</v>
      </c>
      <c r="C7" s="1171">
        <v>3</v>
      </c>
      <c r="D7" s="1171">
        <v>4</v>
      </c>
      <c r="E7" s="1172">
        <v>5</v>
      </c>
    </row>
    <row r="8" spans="1:5" s="1041" customFormat="1" ht="18.75" customHeight="1">
      <c r="A8" s="1184" t="s">
        <v>341</v>
      </c>
      <c r="B8" s="1185" t="s">
        <v>965</v>
      </c>
      <c r="C8" s="1186">
        <v>21100</v>
      </c>
      <c r="D8" s="1186">
        <v>10969.86</v>
      </c>
      <c r="E8" s="1187">
        <f aca="true" t="shared" si="0" ref="E8:E44">D8/C8*100</f>
        <v>51.98985781990522</v>
      </c>
    </row>
    <row r="9" spans="1:5" s="1041" customFormat="1" ht="18.75" customHeight="1">
      <c r="A9" s="1073" t="s">
        <v>342</v>
      </c>
      <c r="B9" s="1074" t="s">
        <v>966</v>
      </c>
      <c r="C9" s="1075">
        <f>SUM(C10:C15)</f>
        <v>98450</v>
      </c>
      <c r="D9" s="1075">
        <f>SUM(D10:D15)</f>
        <v>35465.95</v>
      </c>
      <c r="E9" s="1076">
        <f t="shared" si="0"/>
        <v>36.02432706957847</v>
      </c>
    </row>
    <row r="10" spans="1:5" ht="15" customHeight="1">
      <c r="A10" s="1042" t="s">
        <v>168</v>
      </c>
      <c r="B10" s="1043" t="s">
        <v>967</v>
      </c>
      <c r="C10" s="1044">
        <v>28000</v>
      </c>
      <c r="D10" s="1044">
        <v>14969.37</v>
      </c>
      <c r="E10" s="1045">
        <f t="shared" si="0"/>
        <v>53.46203571428572</v>
      </c>
    </row>
    <row r="11" spans="1:5" ht="15" customHeight="1">
      <c r="A11" s="1042" t="s">
        <v>169</v>
      </c>
      <c r="B11" s="1043" t="s">
        <v>968</v>
      </c>
      <c r="C11" s="1044">
        <v>3000</v>
      </c>
      <c r="D11" s="1044">
        <v>1469.88</v>
      </c>
      <c r="E11" s="1045">
        <f t="shared" si="0"/>
        <v>48.99600000000001</v>
      </c>
    </row>
    <row r="12" spans="1:5" ht="15" customHeight="1">
      <c r="A12" s="1042" t="s">
        <v>174</v>
      </c>
      <c r="B12" s="1043" t="s">
        <v>969</v>
      </c>
      <c r="C12" s="1044">
        <v>14000</v>
      </c>
      <c r="D12" s="1044">
        <v>9424.27</v>
      </c>
      <c r="E12" s="1045">
        <f t="shared" si="0"/>
        <v>67.3162142857143</v>
      </c>
    </row>
    <row r="13" spans="1:5" ht="15" customHeight="1">
      <c r="A13" s="1042" t="s">
        <v>182</v>
      </c>
      <c r="B13" s="1043" t="s">
        <v>970</v>
      </c>
      <c r="C13" s="1044">
        <v>10000</v>
      </c>
      <c r="D13" s="1044">
        <v>2947.24</v>
      </c>
      <c r="E13" s="1045">
        <f t="shared" si="0"/>
        <v>29.4724</v>
      </c>
    </row>
    <row r="14" spans="1:5" ht="15" customHeight="1">
      <c r="A14" s="1042" t="s">
        <v>195</v>
      </c>
      <c r="B14" s="1043" t="s">
        <v>163</v>
      </c>
      <c r="C14" s="1044">
        <v>7000</v>
      </c>
      <c r="D14" s="1044">
        <v>2490.19</v>
      </c>
      <c r="E14" s="1045">
        <f t="shared" si="0"/>
        <v>35.57414285714286</v>
      </c>
    </row>
    <row r="15" spans="1:5" ht="15" customHeight="1">
      <c r="A15" s="1049" t="s">
        <v>971</v>
      </c>
      <c r="B15" s="1053" t="s">
        <v>972</v>
      </c>
      <c r="C15" s="1054">
        <v>36450</v>
      </c>
      <c r="D15" s="1054">
        <v>4165</v>
      </c>
      <c r="E15" s="1055">
        <f t="shared" si="0"/>
        <v>11.426611796982167</v>
      </c>
    </row>
    <row r="16" spans="1:5" s="1041" customFormat="1" ht="18.75" customHeight="1">
      <c r="A16" s="1073" t="s">
        <v>419</v>
      </c>
      <c r="B16" s="1074" t="s">
        <v>973</v>
      </c>
      <c r="C16" s="1075">
        <f>SUM(C17:C19)</f>
        <v>99000</v>
      </c>
      <c r="D16" s="1075">
        <f>SUM(D17:D19)</f>
        <v>44966.369999999995</v>
      </c>
      <c r="E16" s="1076">
        <f t="shared" si="0"/>
        <v>45.420575757575754</v>
      </c>
    </row>
    <row r="17" spans="1:5" ht="15" customHeight="1">
      <c r="A17" s="1042" t="s">
        <v>974</v>
      </c>
      <c r="B17" s="1043" t="s">
        <v>975</v>
      </c>
      <c r="C17" s="1044">
        <v>13000</v>
      </c>
      <c r="D17" s="1044">
        <v>7945.76</v>
      </c>
      <c r="E17" s="1045">
        <f t="shared" si="0"/>
        <v>61.12123076923077</v>
      </c>
    </row>
    <row r="18" spans="1:5" ht="15" customHeight="1">
      <c r="A18" s="1042" t="s">
        <v>976</v>
      </c>
      <c r="B18" s="1043" t="s">
        <v>977</v>
      </c>
      <c r="C18" s="1044">
        <v>27000</v>
      </c>
      <c r="D18" s="1044">
        <v>6366.01</v>
      </c>
      <c r="E18" s="1045">
        <f t="shared" si="0"/>
        <v>23.577814814814815</v>
      </c>
    </row>
    <row r="19" spans="1:5" ht="15" customHeight="1">
      <c r="A19" s="1049" t="s">
        <v>978</v>
      </c>
      <c r="B19" s="1053" t="s">
        <v>979</v>
      </c>
      <c r="C19" s="1054">
        <v>59000</v>
      </c>
      <c r="D19" s="1054">
        <v>30654.6</v>
      </c>
      <c r="E19" s="1055">
        <f t="shared" si="0"/>
        <v>51.95694915254238</v>
      </c>
    </row>
    <row r="20" spans="1:5" s="1041" customFormat="1" ht="18.75" customHeight="1">
      <c r="A20" s="1073" t="s">
        <v>426</v>
      </c>
      <c r="B20" s="1074" t="s">
        <v>980</v>
      </c>
      <c r="C20" s="1075">
        <f>SUM(C21:C29)</f>
        <v>241300</v>
      </c>
      <c r="D20" s="1075">
        <f>SUM(D21:D29)</f>
        <v>112592.58</v>
      </c>
      <c r="E20" s="1076">
        <f t="shared" si="0"/>
        <v>46.66082884376295</v>
      </c>
    </row>
    <row r="21" spans="1:5" ht="15" customHeight="1">
      <c r="A21" s="1042" t="s">
        <v>981</v>
      </c>
      <c r="B21" s="1043" t="s">
        <v>982</v>
      </c>
      <c r="C21" s="1044">
        <v>2500</v>
      </c>
      <c r="D21" s="1044">
        <v>870.5</v>
      </c>
      <c r="E21" s="1045">
        <f t="shared" si="0"/>
        <v>34.82</v>
      </c>
    </row>
    <row r="22" spans="1:5" ht="15" customHeight="1">
      <c r="A22" s="1042" t="s">
        <v>983</v>
      </c>
      <c r="B22" s="1043" t="s">
        <v>984</v>
      </c>
      <c r="C22" s="1044">
        <v>27000</v>
      </c>
      <c r="D22" s="1044">
        <v>14397.7</v>
      </c>
      <c r="E22" s="1045">
        <f t="shared" si="0"/>
        <v>53.324814814814815</v>
      </c>
    </row>
    <row r="23" spans="1:5" ht="15" customHeight="1">
      <c r="A23" s="1042" t="s">
        <v>985</v>
      </c>
      <c r="B23" s="1043" t="s">
        <v>898</v>
      </c>
      <c r="C23" s="1044">
        <v>111000</v>
      </c>
      <c r="D23" s="1044">
        <v>54903.91</v>
      </c>
      <c r="E23" s="1045">
        <f t="shared" si="0"/>
        <v>49.46298198198198</v>
      </c>
    </row>
    <row r="24" spans="1:5" ht="15" customHeight="1">
      <c r="A24" s="1042" t="s">
        <v>1009</v>
      </c>
      <c r="B24" s="1043" t="s">
        <v>1010</v>
      </c>
      <c r="C24" s="1044">
        <v>7500</v>
      </c>
      <c r="D24" s="1044">
        <v>3201.95</v>
      </c>
      <c r="E24" s="1045">
        <f t="shared" si="0"/>
        <v>42.69266666666666</v>
      </c>
    </row>
    <row r="25" spans="1:5" ht="17.25" customHeight="1">
      <c r="A25" s="1042" t="s">
        <v>1011</v>
      </c>
      <c r="B25" s="1043" t="s">
        <v>1012</v>
      </c>
      <c r="C25" s="1044">
        <v>14000</v>
      </c>
      <c r="D25" s="1044">
        <v>8648.61</v>
      </c>
      <c r="E25" s="1045">
        <f t="shared" si="0"/>
        <v>61.77578571428571</v>
      </c>
    </row>
    <row r="26" spans="1:5" ht="15" customHeight="1">
      <c r="A26" s="1042" t="s">
        <v>1013</v>
      </c>
      <c r="B26" s="1043" t="s">
        <v>409</v>
      </c>
      <c r="C26" s="1044">
        <v>500</v>
      </c>
      <c r="D26" s="1044">
        <v>1397.8</v>
      </c>
      <c r="E26" s="1045">
        <f t="shared" si="0"/>
        <v>279.56</v>
      </c>
    </row>
    <row r="27" spans="1:5" ht="15" customHeight="1">
      <c r="A27" s="1042" t="s">
        <v>1014</v>
      </c>
      <c r="B27" s="1043" t="s">
        <v>1015</v>
      </c>
      <c r="C27" s="1044">
        <v>24000</v>
      </c>
      <c r="D27" s="1044">
        <v>13920</v>
      </c>
      <c r="E27" s="1045">
        <f t="shared" si="0"/>
        <v>57.99999999999999</v>
      </c>
    </row>
    <row r="28" spans="1:5" ht="15" customHeight="1">
      <c r="A28" s="1042" t="s">
        <v>1016</v>
      </c>
      <c r="B28" s="1043" t="s">
        <v>1017</v>
      </c>
      <c r="C28" s="1044">
        <v>19800</v>
      </c>
      <c r="D28" s="1044">
        <v>9900</v>
      </c>
      <c r="E28" s="1045">
        <f t="shared" si="0"/>
        <v>50</v>
      </c>
    </row>
    <row r="29" spans="1:5" ht="15" customHeight="1">
      <c r="A29" s="1049" t="s">
        <v>1018</v>
      </c>
      <c r="B29" s="1053" t="s">
        <v>1019</v>
      </c>
      <c r="C29" s="1054">
        <v>35000</v>
      </c>
      <c r="D29" s="1054">
        <v>5352.11</v>
      </c>
      <c r="E29" s="1055">
        <f t="shared" si="0"/>
        <v>15.291742857142857</v>
      </c>
    </row>
    <row r="30" spans="1:5" s="1041" customFormat="1" ht="18.75" customHeight="1">
      <c r="A30" s="1073" t="s">
        <v>427</v>
      </c>
      <c r="B30" s="1074" t="s">
        <v>1020</v>
      </c>
      <c r="C30" s="1075">
        <f>SUM(C31:C31)</f>
        <v>490000</v>
      </c>
      <c r="D30" s="1075">
        <f>SUM(D31:D31)</f>
        <v>263070.92</v>
      </c>
      <c r="E30" s="1076">
        <f t="shared" si="0"/>
        <v>53.68794285714286</v>
      </c>
    </row>
    <row r="31" spans="1:5" ht="15" customHeight="1">
      <c r="A31" s="1049" t="s">
        <v>1021</v>
      </c>
      <c r="B31" s="1053" t="s">
        <v>1022</v>
      </c>
      <c r="C31" s="1054">
        <v>490000</v>
      </c>
      <c r="D31" s="1054">
        <v>263070.92</v>
      </c>
      <c r="E31" s="1055">
        <f t="shared" si="0"/>
        <v>53.68794285714286</v>
      </c>
    </row>
    <row r="32" spans="1:5" ht="18.75" customHeight="1">
      <c r="A32" s="1077" t="s">
        <v>428</v>
      </c>
      <c r="B32" s="1078" t="s">
        <v>1024</v>
      </c>
      <c r="C32" s="1079">
        <v>94000</v>
      </c>
      <c r="D32" s="1079">
        <v>45628.35</v>
      </c>
      <c r="E32" s="1080">
        <f t="shared" si="0"/>
        <v>48.54079787234043</v>
      </c>
    </row>
    <row r="33" spans="1:5" ht="25.5" customHeight="1">
      <c r="A33" s="1077" t="s">
        <v>526</v>
      </c>
      <c r="B33" s="1078" t="s">
        <v>1025</v>
      </c>
      <c r="C33" s="1079">
        <v>17900</v>
      </c>
      <c r="D33" s="1079">
        <v>2719.83</v>
      </c>
      <c r="E33" s="1080">
        <f t="shared" si="0"/>
        <v>15.19458100558659</v>
      </c>
    </row>
    <row r="34" spans="1:5" s="1041" customFormat="1" ht="18.75" customHeight="1">
      <c r="A34" s="1073" t="s">
        <v>527</v>
      </c>
      <c r="B34" s="1074" t="s">
        <v>1026</v>
      </c>
      <c r="C34" s="1075">
        <f>SUM(C35:C36)</f>
        <v>7200</v>
      </c>
      <c r="D34" s="1075">
        <f>SUM(D35:D36)</f>
        <v>2396</v>
      </c>
      <c r="E34" s="1076">
        <f t="shared" si="0"/>
        <v>33.27777777777778</v>
      </c>
    </row>
    <row r="35" spans="1:5" ht="15" customHeight="1">
      <c r="A35" s="1042" t="s">
        <v>1027</v>
      </c>
      <c r="B35" s="1043" t="s">
        <v>1028</v>
      </c>
      <c r="C35" s="1044">
        <v>7000</v>
      </c>
      <c r="D35" s="1044">
        <v>2396</v>
      </c>
      <c r="E35" s="1045">
        <f t="shared" si="0"/>
        <v>34.22857142857143</v>
      </c>
    </row>
    <row r="36" spans="1:5" ht="15" customHeight="1">
      <c r="A36" s="1049" t="s">
        <v>1029</v>
      </c>
      <c r="B36" s="1053" t="s">
        <v>1030</v>
      </c>
      <c r="C36" s="1054">
        <v>200</v>
      </c>
      <c r="D36" s="1054">
        <v>0</v>
      </c>
      <c r="E36" s="1055">
        <f t="shared" si="0"/>
        <v>0</v>
      </c>
    </row>
    <row r="37" spans="1:5" s="1041" customFormat="1" ht="18.75" customHeight="1">
      <c r="A37" s="1077" t="s">
        <v>429</v>
      </c>
      <c r="B37" s="1078" t="s">
        <v>1031</v>
      </c>
      <c r="C37" s="1079">
        <v>1300</v>
      </c>
      <c r="D37" s="1079">
        <v>1021.51</v>
      </c>
      <c r="E37" s="1080">
        <f t="shared" si="0"/>
        <v>78.5776923076923</v>
      </c>
    </row>
    <row r="38" spans="1:5" s="1041" customFormat="1" ht="18.75" customHeight="1">
      <c r="A38" s="1077" t="s">
        <v>431</v>
      </c>
      <c r="B38" s="1078" t="s">
        <v>1118</v>
      </c>
      <c r="C38" s="1079">
        <v>2000</v>
      </c>
      <c r="D38" s="1079">
        <v>864</v>
      </c>
      <c r="E38" s="1080">
        <f t="shared" si="0"/>
        <v>43.2</v>
      </c>
    </row>
    <row r="39" spans="1:5" s="1041" customFormat="1" ht="21.75" customHeight="1">
      <c r="A39" s="1077" t="s">
        <v>528</v>
      </c>
      <c r="B39" s="1078" t="s">
        <v>1119</v>
      </c>
      <c r="C39" s="1079">
        <v>11000</v>
      </c>
      <c r="D39" s="1079">
        <v>2474.5</v>
      </c>
      <c r="E39" s="1080">
        <f t="shared" si="0"/>
        <v>22.495454545454546</v>
      </c>
    </row>
    <row r="40" spans="1:5" s="1041" customFormat="1" ht="18.75" customHeight="1">
      <c r="A40" s="1077" t="s">
        <v>432</v>
      </c>
      <c r="B40" s="1078" t="s">
        <v>1120</v>
      </c>
      <c r="C40" s="1079">
        <f>SUM(C8+C9+C16+C20+C30+C32+C33+C34+C37+C38+C39)</f>
        <v>1083250</v>
      </c>
      <c r="D40" s="1079">
        <v>522169.87</v>
      </c>
      <c r="E40" s="1080">
        <f t="shared" si="0"/>
        <v>48.20400369259173</v>
      </c>
    </row>
    <row r="41" spans="1:5" s="1041" customFormat="1" ht="18.75" customHeight="1">
      <c r="A41" s="1073" t="s">
        <v>433</v>
      </c>
      <c r="B41" s="1074" t="s">
        <v>1121</v>
      </c>
      <c r="C41" s="1075">
        <f>SUM(C42:C44)</f>
        <v>940404</v>
      </c>
      <c r="D41" s="1075">
        <f>SUM(D42:D44)</f>
        <v>459956.26</v>
      </c>
      <c r="E41" s="1076">
        <f t="shared" si="0"/>
        <v>48.910495914521846</v>
      </c>
    </row>
    <row r="42" spans="1:5" ht="15" customHeight="1">
      <c r="A42" s="1042" t="s">
        <v>403</v>
      </c>
      <c r="B42" s="1043" t="s">
        <v>1122</v>
      </c>
      <c r="C42" s="1044">
        <v>571404</v>
      </c>
      <c r="D42" s="1044">
        <v>281909.86</v>
      </c>
      <c r="E42" s="1045">
        <f t="shared" si="0"/>
        <v>49.3363469629194</v>
      </c>
    </row>
    <row r="43" spans="1:5" ht="15" customHeight="1">
      <c r="A43" s="1042" t="s">
        <v>404</v>
      </c>
      <c r="B43" s="1043" t="s">
        <v>1123</v>
      </c>
      <c r="C43" s="1044">
        <v>104000</v>
      </c>
      <c r="D43" s="1044">
        <v>53631.69</v>
      </c>
      <c r="E43" s="1045">
        <f t="shared" si="0"/>
        <v>51.56893269230769</v>
      </c>
    </row>
    <row r="44" spans="1:5" ht="15" customHeight="1" thickBot="1">
      <c r="A44" s="1056" t="s">
        <v>405</v>
      </c>
      <c r="B44" s="1057" t="s">
        <v>1124</v>
      </c>
      <c r="C44" s="1058">
        <v>265000</v>
      </c>
      <c r="D44" s="1058">
        <v>124414.71</v>
      </c>
      <c r="E44" s="1059">
        <f t="shared" si="0"/>
        <v>46.94894716981132</v>
      </c>
    </row>
    <row r="45" spans="1:5" ht="27" customHeight="1" thickBot="1">
      <c r="A45" s="1180"/>
      <c r="B45" s="1181"/>
      <c r="C45" s="1182"/>
      <c r="D45" s="1182"/>
      <c r="E45" s="1183"/>
    </row>
    <row r="46" spans="1:5" ht="12.75" customHeight="1" thickBot="1">
      <c r="A46" s="1173">
        <v>1</v>
      </c>
      <c r="B46" s="1174">
        <v>2</v>
      </c>
      <c r="C46" s="1038">
        <v>3</v>
      </c>
      <c r="D46" s="1038">
        <v>4</v>
      </c>
      <c r="E46" s="1039">
        <v>5</v>
      </c>
    </row>
    <row r="47" spans="1:5" s="1041" customFormat="1" ht="18.75" customHeight="1">
      <c r="A47" s="1184" t="s">
        <v>529</v>
      </c>
      <c r="B47" s="1185" t="s">
        <v>1125</v>
      </c>
      <c r="C47" s="1186"/>
      <c r="D47" s="1186">
        <v>1.42</v>
      </c>
      <c r="E47" s="1068"/>
    </row>
    <row r="48" spans="1:5" s="1041" customFormat="1" ht="18.75" customHeight="1">
      <c r="A48" s="1073" t="s">
        <v>434</v>
      </c>
      <c r="B48" s="1074" t="s">
        <v>1126</v>
      </c>
      <c r="C48" s="1075">
        <f>SUM(C49:C50)</f>
        <v>103810</v>
      </c>
      <c r="D48" s="1075">
        <f>SUM(D49:D50)</f>
        <v>58400.35</v>
      </c>
      <c r="E48" s="1072">
        <f>D48/C48*100</f>
        <v>56.25695983045949</v>
      </c>
    </row>
    <row r="49" spans="1:5" ht="15" customHeight="1">
      <c r="A49" s="1042" t="s">
        <v>407</v>
      </c>
      <c r="B49" s="1043" t="s">
        <v>1127</v>
      </c>
      <c r="C49" s="1044">
        <v>88450</v>
      </c>
      <c r="D49" s="1044">
        <v>53520</v>
      </c>
      <c r="E49" s="1045">
        <f>D49/C49*100</f>
        <v>60.5087620124364</v>
      </c>
    </row>
    <row r="50" spans="1:5" ht="15" customHeight="1">
      <c r="A50" s="1049" t="s">
        <v>408</v>
      </c>
      <c r="B50" s="1053" t="s">
        <v>1128</v>
      </c>
      <c r="C50" s="1054">
        <v>15360</v>
      </c>
      <c r="D50" s="1054">
        <v>4880.35</v>
      </c>
      <c r="E50" s="1055">
        <f>D50/C50*100</f>
        <v>31.773111979166668</v>
      </c>
    </row>
    <row r="51" spans="1:5" s="1041" customFormat="1" ht="18.75" customHeight="1">
      <c r="A51" s="1077" t="s">
        <v>435</v>
      </c>
      <c r="B51" s="1078" t="s">
        <v>1129</v>
      </c>
      <c r="C51" s="1079">
        <f>SUM(C41+C47+C48)</f>
        <v>1044214</v>
      </c>
      <c r="D51" s="1079">
        <f>SUM(D41+D47+D48)</f>
        <v>518358.02999999997</v>
      </c>
      <c r="E51" s="1080">
        <f>D51/C51*100</f>
        <v>49.64097684957298</v>
      </c>
    </row>
    <row r="52" spans="1:5" s="1041" customFormat="1" ht="18.75" customHeight="1">
      <c r="A52" s="1077" t="s">
        <v>436</v>
      </c>
      <c r="B52" s="1078" t="s">
        <v>1130</v>
      </c>
      <c r="C52" s="1079">
        <f>SUM(C51-C40)</f>
        <v>-39036</v>
      </c>
      <c r="D52" s="1079">
        <f>SUM(D51-D40)</f>
        <v>-3811.8400000000256</v>
      </c>
      <c r="E52" s="1080">
        <f>D52/C52*100</f>
        <v>9.764934931857837</v>
      </c>
    </row>
    <row r="53" spans="1:5" s="1041" customFormat="1" ht="18.75" customHeight="1">
      <c r="A53" s="1077" t="s">
        <v>437</v>
      </c>
      <c r="B53" s="1078" t="s">
        <v>1131</v>
      </c>
      <c r="C53" s="1079"/>
      <c r="D53" s="1079"/>
      <c r="E53" s="1080"/>
    </row>
    <row r="54" spans="1:5" s="1041" customFormat="1" ht="18.75" customHeight="1" thickBot="1">
      <c r="A54" s="1188" t="s">
        <v>440</v>
      </c>
      <c r="B54" s="1189" t="s">
        <v>1244</v>
      </c>
      <c r="C54" s="1088">
        <f>SUM(C52-C53)</f>
        <v>-39036</v>
      </c>
      <c r="D54" s="1088">
        <f>SUM(D52-D53)</f>
        <v>-3811.8400000000256</v>
      </c>
      <c r="E54" s="1089">
        <f>D54/C54*100</f>
        <v>9.764934931857837</v>
      </c>
    </row>
  </sheetData>
  <sheetProtection password="CF53" sheet="1" objects="1" scenarios="1" selectLockedCells="1" selectUnlockedCells="1"/>
  <mergeCells count="2">
    <mergeCell ref="A3:E3"/>
    <mergeCell ref="D1:E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2"/>
  </sheetPr>
  <dimension ref="A1:L205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4.375" style="291" customWidth="1"/>
    <col min="2" max="2" width="27.625" style="292" customWidth="1"/>
    <col min="3" max="3" width="13.25390625" style="292" customWidth="1"/>
    <col min="4" max="4" width="13.625" style="292" customWidth="1"/>
    <col min="5" max="5" width="5.625" style="293" customWidth="1"/>
    <col min="6" max="7" width="13.375" style="292" customWidth="1"/>
    <col min="8" max="8" width="6.00390625" style="293" customWidth="1"/>
    <col min="9" max="9" width="14.375" style="292" customWidth="1"/>
    <col min="10" max="16384" width="9.125" style="292" customWidth="1"/>
  </cols>
  <sheetData>
    <row r="1" spans="7:8" ht="18.75" customHeight="1">
      <c r="G1" s="1485" t="s">
        <v>762</v>
      </c>
      <c r="H1" s="1485"/>
    </row>
    <row r="2" ht="26.25" customHeight="1"/>
    <row r="3" spans="1:10" ht="12.75">
      <c r="A3" s="1482" t="s">
        <v>281</v>
      </c>
      <c r="B3" s="1482"/>
      <c r="C3" s="1482"/>
      <c r="D3" s="1482"/>
      <c r="E3" s="1482"/>
      <c r="F3" s="1482"/>
      <c r="G3" s="1482"/>
      <c r="H3" s="1482"/>
      <c r="I3" s="235"/>
      <c r="J3" s="235"/>
    </row>
    <row r="4" spans="1:8" ht="10.5" customHeight="1" thickBot="1">
      <c r="A4" s="294"/>
      <c r="B4" s="295"/>
      <c r="C4" s="295"/>
      <c r="D4" s="295"/>
      <c r="E4" s="295"/>
      <c r="F4" s="295"/>
      <c r="G4" s="295"/>
      <c r="H4" s="296" t="s">
        <v>67</v>
      </c>
    </row>
    <row r="5" spans="1:8" ht="15" customHeight="1">
      <c r="A5" s="1486" t="s">
        <v>249</v>
      </c>
      <c r="B5" s="1488" t="s">
        <v>358</v>
      </c>
      <c r="C5" s="1490" t="s">
        <v>359</v>
      </c>
      <c r="D5" s="1491"/>
      <c r="E5" s="1491"/>
      <c r="F5" s="1490" t="s">
        <v>330</v>
      </c>
      <c r="G5" s="1491"/>
      <c r="H5" s="1481"/>
    </row>
    <row r="6" spans="1:8" ht="14.25" customHeight="1">
      <c r="A6" s="1487"/>
      <c r="B6" s="1489"/>
      <c r="C6" s="966" t="s">
        <v>331</v>
      </c>
      <c r="D6" s="1211" t="s">
        <v>71</v>
      </c>
      <c r="E6" s="1211" t="s">
        <v>72</v>
      </c>
      <c r="F6" s="966" t="s">
        <v>331</v>
      </c>
      <c r="G6" s="1211" t="s">
        <v>71</v>
      </c>
      <c r="H6" s="1212" t="s">
        <v>72</v>
      </c>
    </row>
    <row r="7" spans="1:8" s="775" customFormat="1" ht="11.25" thickBot="1">
      <c r="A7" s="1213">
        <v>1</v>
      </c>
      <c r="B7" s="1214">
        <v>2</v>
      </c>
      <c r="C7" s="1214">
        <v>3</v>
      </c>
      <c r="D7" s="1214">
        <v>4</v>
      </c>
      <c r="E7" s="1214">
        <v>5</v>
      </c>
      <c r="F7" s="1214">
        <v>6</v>
      </c>
      <c r="G7" s="1214">
        <v>7</v>
      </c>
      <c r="H7" s="1215">
        <v>8</v>
      </c>
    </row>
    <row r="8" spans="1:8" ht="4.5" customHeight="1">
      <c r="A8" s="281"/>
      <c r="B8" s="282"/>
      <c r="C8" s="282"/>
      <c r="D8" s="282"/>
      <c r="E8" s="283"/>
      <c r="F8" s="722"/>
      <c r="G8" s="722"/>
      <c r="H8" s="723"/>
    </row>
    <row r="9" spans="1:8" ht="19.5" customHeight="1">
      <c r="A9" s="208" t="s">
        <v>73</v>
      </c>
      <c r="B9" s="282" t="s">
        <v>360</v>
      </c>
      <c r="C9" s="164">
        <f>SUM(6D!E8,6D!E223)</f>
        <v>15163.66</v>
      </c>
      <c r="D9" s="164">
        <f>SUM(6D!F8,6D!F223)</f>
        <v>15163.66</v>
      </c>
      <c r="E9" s="284">
        <f>D9*100/C9</f>
        <v>100</v>
      </c>
      <c r="F9" s="164">
        <f>SUM(9W!D8,9W!D404)</f>
        <v>62238.66</v>
      </c>
      <c r="G9" s="164">
        <f>SUM(9W!E8,9W!E404)</f>
        <v>15480.41</v>
      </c>
      <c r="H9" s="165">
        <f aca="true" t="shared" si="0" ref="H9:H21">G9*100/F9</f>
        <v>24.872659533479673</v>
      </c>
    </row>
    <row r="10" spans="1:8" ht="19.5" customHeight="1">
      <c r="A10" s="208" t="s">
        <v>75</v>
      </c>
      <c r="B10" s="282" t="s">
        <v>361</v>
      </c>
      <c r="C10" s="164">
        <f>SUM(6D!E11)</f>
        <v>76000</v>
      </c>
      <c r="D10" s="164">
        <f>SUM(6D!F11)</f>
        <v>83647.92</v>
      </c>
      <c r="E10" s="284">
        <f>D10*100/C10</f>
        <v>110.06305263157894</v>
      </c>
      <c r="F10" s="164">
        <f>SUM(9W!D22)</f>
        <v>54442</v>
      </c>
      <c r="G10" s="164">
        <f>SUM(9W!E22)</f>
        <v>23294</v>
      </c>
      <c r="H10" s="165">
        <f t="shared" si="0"/>
        <v>42.786819000036736</v>
      </c>
    </row>
    <row r="11" spans="1:8" ht="27.75" customHeight="1">
      <c r="A11" s="208" t="s">
        <v>402</v>
      </c>
      <c r="B11" s="285" t="s">
        <v>20</v>
      </c>
      <c r="C11" s="164">
        <v>0</v>
      </c>
      <c r="D11" s="164">
        <v>0</v>
      </c>
      <c r="E11" s="284" t="s">
        <v>312</v>
      </c>
      <c r="F11" s="164">
        <f>SUM(9W!D25)</f>
        <v>4251483</v>
      </c>
      <c r="G11" s="164">
        <f>SUM(9W!E25)</f>
        <v>1906705.84</v>
      </c>
      <c r="H11" s="165">
        <f>G11/F11*100</f>
        <v>44.84801750353935</v>
      </c>
    </row>
    <row r="12" spans="1:8" ht="19.5" customHeight="1">
      <c r="A12" s="208" t="s">
        <v>77</v>
      </c>
      <c r="B12" s="282" t="s">
        <v>362</v>
      </c>
      <c r="C12" s="164">
        <v>0</v>
      </c>
      <c r="D12" s="164">
        <v>0</v>
      </c>
      <c r="E12" s="284" t="s">
        <v>312</v>
      </c>
      <c r="F12" s="164">
        <f>SUM(9W!D28)</f>
        <v>391318</v>
      </c>
      <c r="G12" s="164">
        <f>SUM(9W!E28)</f>
        <v>176137.45</v>
      </c>
      <c r="H12" s="165">
        <f t="shared" si="0"/>
        <v>45.011333493475895</v>
      </c>
    </row>
    <row r="13" spans="1:8" ht="19.5" customHeight="1">
      <c r="A13" s="208" t="s">
        <v>375</v>
      </c>
      <c r="B13" s="282" t="s">
        <v>376</v>
      </c>
      <c r="C13" s="164">
        <f>SUM(6D!E16)</f>
        <v>0</v>
      </c>
      <c r="D13" s="164">
        <f>SUM(6D!F16)</f>
        <v>11696.61</v>
      </c>
      <c r="E13" s="284" t="s">
        <v>312</v>
      </c>
      <c r="F13" s="164">
        <v>0</v>
      </c>
      <c r="G13" s="164">
        <v>0</v>
      </c>
      <c r="H13" s="165" t="s">
        <v>312</v>
      </c>
    </row>
    <row r="14" spans="1:8" ht="19.5" customHeight="1">
      <c r="A14" s="208" t="s">
        <v>78</v>
      </c>
      <c r="B14" s="282" t="s">
        <v>352</v>
      </c>
      <c r="C14" s="164">
        <f>SUM(6D!E19,6D!E226)</f>
        <v>24459491</v>
      </c>
      <c r="D14" s="164">
        <f>SUM(6D!F19,6D!F226)</f>
        <v>349379.18</v>
      </c>
      <c r="E14" s="284">
        <f>D14*100/C14</f>
        <v>1.4283992254785678</v>
      </c>
      <c r="F14" s="164">
        <f>SUM(9W!D35,9W!D407)</f>
        <v>81957037</v>
      </c>
      <c r="G14" s="164">
        <f>SUM(9W!E35,9W!E407)</f>
        <v>29761601.64</v>
      </c>
      <c r="H14" s="165">
        <f t="shared" si="0"/>
        <v>36.313662291134314</v>
      </c>
    </row>
    <row r="15" spans="1:8" ht="19.5" customHeight="1">
      <c r="A15" s="208" t="s">
        <v>83</v>
      </c>
      <c r="B15" s="282" t="s">
        <v>363</v>
      </c>
      <c r="C15" s="164">
        <f>SUM(6D!E31)</f>
        <v>49950</v>
      </c>
      <c r="D15" s="164">
        <f>SUM(6D!F31)</f>
        <v>47</v>
      </c>
      <c r="E15" s="284">
        <f>D15*100/C15</f>
        <v>0.0940940940940941</v>
      </c>
      <c r="F15" s="164">
        <f>SUM(9W!D50)</f>
        <v>2573000</v>
      </c>
      <c r="G15" s="164">
        <f>SUM(9W!E50)</f>
        <v>1287622.52</v>
      </c>
      <c r="H15" s="165">
        <f t="shared" si="0"/>
        <v>50.04362689467548</v>
      </c>
    </row>
    <row r="16" spans="1:8" ht="19.5" customHeight="1">
      <c r="A16" s="208" t="s">
        <v>85</v>
      </c>
      <c r="B16" s="285" t="s">
        <v>364</v>
      </c>
      <c r="C16" s="164">
        <f>SUM(6D!E39,6D!E240)</f>
        <v>38990000</v>
      </c>
      <c r="D16" s="164">
        <f>SUM(6D!F39,6D!F240)</f>
        <v>8083488.33</v>
      </c>
      <c r="E16" s="284">
        <f>D16*100/C16</f>
        <v>20.732209104898693</v>
      </c>
      <c r="F16" s="164">
        <f>SUM(9W!D59,9W!D417)</f>
        <v>5493500</v>
      </c>
      <c r="G16" s="164">
        <f>SUM(9W!E59,9W!E417)</f>
        <v>1405791.4100000001</v>
      </c>
      <c r="H16" s="165">
        <f t="shared" si="0"/>
        <v>25.59008664785656</v>
      </c>
    </row>
    <row r="17" spans="1:8" ht="19.5" customHeight="1">
      <c r="A17" s="208" t="s">
        <v>89</v>
      </c>
      <c r="B17" s="285" t="s">
        <v>365</v>
      </c>
      <c r="C17" s="164">
        <f>SUM(6D!E53,6D!E243)</f>
        <v>561000</v>
      </c>
      <c r="D17" s="164">
        <f>SUM(6D!F53,6D!F243)</f>
        <v>288838.22</v>
      </c>
      <c r="E17" s="284">
        <f>D17*100/C17</f>
        <v>51.48631372549019</v>
      </c>
      <c r="F17" s="164">
        <f>SUM(9W!D72,9W!D421)</f>
        <v>2304434</v>
      </c>
      <c r="G17" s="164">
        <f>SUM(9W!E72,9W!E421)</f>
        <v>475871.69999999995</v>
      </c>
      <c r="H17" s="165">
        <f t="shared" si="0"/>
        <v>20.650263795795407</v>
      </c>
    </row>
    <row r="18" spans="1:8" ht="19.5" customHeight="1">
      <c r="A18" s="208" t="s">
        <v>101</v>
      </c>
      <c r="B18" s="285" t="s">
        <v>366</v>
      </c>
      <c r="C18" s="164">
        <f>SUM(6D!E59,6D!E253)</f>
        <v>1164200</v>
      </c>
      <c r="D18" s="164">
        <f>SUM(6D!F59,6D!F253)</f>
        <v>1019201.25</v>
      </c>
      <c r="E18" s="284">
        <f>D18/C18*100</f>
        <v>87.54520271431025</v>
      </c>
      <c r="F18" s="164">
        <f>SUM(9W!D86,9W!D438)</f>
        <v>14732086</v>
      </c>
      <c r="G18" s="164">
        <f>SUM(9W!E86,9W!E438)</f>
        <v>7161015.229999999</v>
      </c>
      <c r="H18" s="165">
        <f t="shared" si="0"/>
        <v>48.608290977937536</v>
      </c>
    </row>
    <row r="19" spans="1:8" ht="39" customHeight="1">
      <c r="A19" s="208" t="s">
        <v>333</v>
      </c>
      <c r="B19" s="285" t="s">
        <v>8</v>
      </c>
      <c r="C19" s="164">
        <f>SUM(6D!E72)</f>
        <v>6168</v>
      </c>
      <c r="D19" s="164">
        <f>SUM(6D!F72)</f>
        <v>3084</v>
      </c>
      <c r="E19" s="284">
        <f>D19/C19*100</f>
        <v>50</v>
      </c>
      <c r="F19" s="164">
        <f>SUM(9W!D108)</f>
        <v>6168</v>
      </c>
      <c r="G19" s="164">
        <f>SUM(9W!E108)</f>
        <v>601</v>
      </c>
      <c r="H19" s="165">
        <f t="shared" si="0"/>
        <v>9.743839169909208</v>
      </c>
    </row>
    <row r="20" spans="1:8" ht="30" customHeight="1">
      <c r="A20" s="208" t="s">
        <v>117</v>
      </c>
      <c r="B20" s="285" t="s">
        <v>367</v>
      </c>
      <c r="C20" s="164">
        <f>SUM(6D!E77,6D!E264)</f>
        <v>3624822</v>
      </c>
      <c r="D20" s="164">
        <f>SUM(6D!F77,6D!F264)</f>
        <v>2214819.31</v>
      </c>
      <c r="E20" s="284">
        <f>D20/C20*100</f>
        <v>61.10146401671586</v>
      </c>
      <c r="F20" s="164">
        <f>SUM(9W!D121,9W!D457)</f>
        <v>5022457</v>
      </c>
      <c r="G20" s="164">
        <f>SUM(9W!E121,9W!E457)</f>
        <v>2098084.85</v>
      </c>
      <c r="H20" s="165">
        <f t="shared" si="0"/>
        <v>41.774072928847374</v>
      </c>
    </row>
    <row r="21" spans="1:8" ht="65.25" customHeight="1">
      <c r="A21" s="208" t="s">
        <v>368</v>
      </c>
      <c r="B21" s="285" t="s">
        <v>19</v>
      </c>
      <c r="C21" s="164">
        <f>SUM(6D!E268,6D!E86)</f>
        <v>76591857</v>
      </c>
      <c r="D21" s="164">
        <f>SUM(6D!F268,6D!F86)</f>
        <v>34665427.82</v>
      </c>
      <c r="E21" s="284">
        <f>D21*100/C21</f>
        <v>45.259939082035835</v>
      </c>
      <c r="F21" s="164">
        <f>SUM(9W!D142)</f>
        <v>275000</v>
      </c>
      <c r="G21" s="164">
        <f>SUM(9W!E142)</f>
        <v>100292.25</v>
      </c>
      <c r="H21" s="165">
        <f t="shared" si="0"/>
        <v>36.46990909090909</v>
      </c>
    </row>
    <row r="22" spans="1:8" ht="19.5" customHeight="1">
      <c r="A22" s="208" t="s">
        <v>121</v>
      </c>
      <c r="B22" s="282" t="s">
        <v>369</v>
      </c>
      <c r="C22" s="164">
        <v>0</v>
      </c>
      <c r="D22" s="164">
        <v>0</v>
      </c>
      <c r="E22" s="284" t="s">
        <v>312</v>
      </c>
      <c r="F22" s="164">
        <f>SUM(9W!D148)</f>
        <v>2481161</v>
      </c>
      <c r="G22" s="164">
        <f>SUM(9W!E148)</f>
        <v>697390.73</v>
      </c>
      <c r="H22" s="165">
        <f aca="true" t="shared" si="1" ref="H22:H31">G22*100/F22</f>
        <v>28.107435591644396</v>
      </c>
    </row>
    <row r="23" spans="1:8" ht="19.5" customHeight="1">
      <c r="A23" s="208" t="s">
        <v>122</v>
      </c>
      <c r="B23" s="282" t="s">
        <v>370</v>
      </c>
      <c r="C23" s="164">
        <f>SUM(6D!E124,6D!E276)</f>
        <v>55959179</v>
      </c>
      <c r="D23" s="164">
        <f>SUM(6D!F124,6D!F276)</f>
        <v>30281843.59</v>
      </c>
      <c r="E23" s="284">
        <f aca="true" t="shared" si="2" ref="E23:E30">D23*100/C23</f>
        <v>54.11416702521672</v>
      </c>
      <c r="F23" s="164">
        <f>SUM(9W!D153)</f>
        <v>702747</v>
      </c>
      <c r="G23" s="164">
        <f>SUM(9W!E153)</f>
        <v>0</v>
      </c>
      <c r="H23" s="165">
        <f t="shared" si="1"/>
        <v>0</v>
      </c>
    </row>
    <row r="24" spans="1:8" ht="19.5" customHeight="1">
      <c r="A24" s="208" t="s">
        <v>124</v>
      </c>
      <c r="B24" s="282" t="s">
        <v>353</v>
      </c>
      <c r="C24" s="164">
        <f>SUM(6D!E133,6D!E286)</f>
        <v>192302</v>
      </c>
      <c r="D24" s="164">
        <f>SUM(6D!F133,6D!F286)</f>
        <v>162822.28</v>
      </c>
      <c r="E24" s="284">
        <f t="shared" si="2"/>
        <v>84.6700918347183</v>
      </c>
      <c r="F24" s="164">
        <f>SUM(9W!D156,9W!D473)</f>
        <v>40912348</v>
      </c>
      <c r="G24" s="164">
        <f>SUM(9W!E156,9W!E473)</f>
        <v>20123340.380000003</v>
      </c>
      <c r="H24" s="165">
        <f t="shared" si="1"/>
        <v>49.18647147799975</v>
      </c>
    </row>
    <row r="25" spans="1:8" ht="19.5" customHeight="1">
      <c r="A25" s="208" t="s">
        <v>133</v>
      </c>
      <c r="B25" s="282" t="s">
        <v>354</v>
      </c>
      <c r="C25" s="164">
        <f>SUM(6D!E147,6D!E290)</f>
        <v>695000</v>
      </c>
      <c r="D25" s="164">
        <f>SUM(6D!F147,6D!F290)</f>
        <v>323399.01</v>
      </c>
      <c r="E25" s="284">
        <f t="shared" si="2"/>
        <v>46.53223165467626</v>
      </c>
      <c r="F25" s="164">
        <f>SUM(9W!D210,9W!D530)</f>
        <v>13525852</v>
      </c>
      <c r="G25" s="164">
        <f>SUM(9W!E210,9W!E530)</f>
        <v>7945344.029999999</v>
      </c>
      <c r="H25" s="165">
        <f t="shared" si="1"/>
        <v>58.741911637063595</v>
      </c>
    </row>
    <row r="26" spans="1:8" ht="19.5" customHeight="1">
      <c r="A26" s="208" t="s">
        <v>610</v>
      </c>
      <c r="B26" s="282" t="s">
        <v>626</v>
      </c>
      <c r="C26" s="164">
        <f>SUM(6D!E159,6D!E293)</f>
        <v>8736399</v>
      </c>
      <c r="D26" s="164">
        <f>SUM(6D!F159,6D!F293)</f>
        <v>4457730.68</v>
      </c>
      <c r="E26" s="284">
        <f t="shared" si="2"/>
        <v>51.02480644485217</v>
      </c>
      <c r="F26" s="164">
        <f>SUM(9W!D245,9W!D547)</f>
        <v>15831985</v>
      </c>
      <c r="G26" s="164">
        <f>SUM(9W!E245,9W!E547)</f>
        <v>6931467.830000001</v>
      </c>
      <c r="H26" s="165">
        <f t="shared" si="1"/>
        <v>43.78141989144129</v>
      </c>
    </row>
    <row r="27" spans="1:8" ht="27" customHeight="1">
      <c r="A27" s="208" t="s">
        <v>137</v>
      </c>
      <c r="B27" s="286" t="s">
        <v>16</v>
      </c>
      <c r="C27" s="164">
        <f>SUM(6D!E187,6D!E307)</f>
        <v>428857</v>
      </c>
      <c r="D27" s="164">
        <f>SUM(6D!F187,6D!F307)</f>
        <v>290023</v>
      </c>
      <c r="E27" s="284">
        <f t="shared" si="2"/>
        <v>67.62697122817163</v>
      </c>
      <c r="F27" s="164">
        <f>SUM(9W!D295,9W!D578)</f>
        <v>2332373</v>
      </c>
      <c r="G27" s="164">
        <f>SUM(9W!E295,9W!E578)</f>
        <v>1027583.2</v>
      </c>
      <c r="H27" s="165">
        <f t="shared" si="1"/>
        <v>44.05741277231386</v>
      </c>
    </row>
    <row r="28" spans="1:8" ht="19.5" customHeight="1">
      <c r="A28" s="208" t="s">
        <v>149</v>
      </c>
      <c r="B28" s="282" t="s">
        <v>372</v>
      </c>
      <c r="C28" s="164">
        <f>SUM(6D!E193,6D!E317)</f>
        <v>109160</v>
      </c>
      <c r="D28" s="164">
        <f>SUM(6D!F193,6D!F317)</f>
        <v>109160</v>
      </c>
      <c r="E28" s="284">
        <f t="shared" si="2"/>
        <v>100</v>
      </c>
      <c r="F28" s="164">
        <f>SUM(9W!D312,9W!D599)</f>
        <v>6325463</v>
      </c>
      <c r="G28" s="164">
        <f>SUM(9W!E312,9W!E599)</f>
        <v>3045534.4699999997</v>
      </c>
      <c r="H28" s="165">
        <f t="shared" si="1"/>
        <v>48.14721815620453</v>
      </c>
    </row>
    <row r="29" spans="1:8" ht="27.75" customHeight="1">
      <c r="A29" s="208" t="s">
        <v>212</v>
      </c>
      <c r="B29" s="285" t="s">
        <v>355</v>
      </c>
      <c r="C29" s="164">
        <f>SUM(6D!E196,6D!E328)</f>
        <v>6695202</v>
      </c>
      <c r="D29" s="164">
        <f>SUM(6D!F196,6D!F328)</f>
        <v>3105701.61</v>
      </c>
      <c r="E29" s="284">
        <f t="shared" si="2"/>
        <v>46.38697398525093</v>
      </c>
      <c r="F29" s="164">
        <f>SUM(9W!D336,9W!D641)</f>
        <v>12480305</v>
      </c>
      <c r="G29" s="164">
        <f>SUM(9W!E336,9W!E641)</f>
        <v>6514696.500000001</v>
      </c>
      <c r="H29" s="165">
        <f t="shared" si="1"/>
        <v>52.19981803329327</v>
      </c>
    </row>
    <row r="30" spans="1:8" ht="26.25" customHeight="1">
      <c r="A30" s="208" t="s">
        <v>239</v>
      </c>
      <c r="B30" s="285" t="s">
        <v>356</v>
      </c>
      <c r="C30" s="164">
        <f>6D!E213</f>
        <v>43900</v>
      </c>
      <c r="D30" s="164">
        <f>6D!F213</f>
        <v>49757.89</v>
      </c>
      <c r="E30" s="284">
        <f t="shared" si="2"/>
        <v>113.34371298405468</v>
      </c>
      <c r="F30" s="164">
        <f>SUM(9W!D359)</f>
        <v>4367909</v>
      </c>
      <c r="G30" s="164">
        <f>SUM(9W!E359)</f>
        <v>2449302.09</v>
      </c>
      <c r="H30" s="165">
        <f t="shared" si="1"/>
        <v>56.07493402449548</v>
      </c>
    </row>
    <row r="31" spans="1:8" ht="19.5" customHeight="1" thickBot="1">
      <c r="A31" s="287" t="s">
        <v>240</v>
      </c>
      <c r="B31" s="288" t="s">
        <v>357</v>
      </c>
      <c r="C31" s="289">
        <f>SUM(6D!E216)</f>
        <v>287123</v>
      </c>
      <c r="D31" s="289">
        <f>SUM(6D!F216)</f>
        <v>143366.66</v>
      </c>
      <c r="E31" s="290">
        <f>D31*100/C31</f>
        <v>49.93214058086604</v>
      </c>
      <c r="F31" s="289">
        <f>SUM(9W!D391)</f>
        <v>16267156</v>
      </c>
      <c r="G31" s="289">
        <f>SUM(9W!E391)</f>
        <v>2738293.59</v>
      </c>
      <c r="H31" s="724">
        <f t="shared" si="1"/>
        <v>16.833265691925497</v>
      </c>
    </row>
    <row r="32" spans="1:8" ht="3" customHeight="1">
      <c r="A32" s="761"/>
      <c r="B32" s="762"/>
      <c r="C32" s="763"/>
      <c r="D32" s="763"/>
      <c r="E32" s="764"/>
      <c r="F32" s="763"/>
      <c r="G32" s="763"/>
      <c r="H32" s="765"/>
    </row>
    <row r="33" spans="1:8" s="725" customFormat="1" ht="21" customHeight="1" thickBot="1">
      <c r="A33" s="766"/>
      <c r="B33" s="767" t="s">
        <v>373</v>
      </c>
      <c r="C33" s="768">
        <f>SUM(C9:C31)</f>
        <v>218685773.66</v>
      </c>
      <c r="D33" s="768">
        <f>SUM(D9:D31)</f>
        <v>85658598.02000001</v>
      </c>
      <c r="E33" s="769">
        <f>D33*100/C33</f>
        <v>39.16971670648181</v>
      </c>
      <c r="F33" s="768">
        <f>SUM(F9:F31)</f>
        <v>232350462.66</v>
      </c>
      <c r="G33" s="768">
        <f>SUM(G9:G31)</f>
        <v>95885451.12</v>
      </c>
      <c r="H33" s="770">
        <f>G33*100/F33</f>
        <v>41.26759638103662</v>
      </c>
    </row>
    <row r="34" spans="1:8" s="440" customFormat="1" ht="13.5" customHeight="1">
      <c r="A34" s="297"/>
      <c r="B34" s="298" t="s">
        <v>350</v>
      </c>
      <c r="C34" s="299"/>
      <c r="D34" s="299"/>
      <c r="E34" s="300"/>
      <c r="F34" s="299"/>
      <c r="G34" s="299"/>
      <c r="H34" s="726"/>
    </row>
    <row r="35" spans="1:9" ht="15" customHeight="1">
      <c r="A35" s="301" t="s">
        <v>341</v>
      </c>
      <c r="B35" s="302" t="s">
        <v>196</v>
      </c>
      <c r="C35" s="211">
        <f>C33-C36-C37-C38</f>
        <v>205256451</v>
      </c>
      <c r="D35" s="211">
        <f>D33-D36-D37-D38</f>
        <v>78985490.23000002</v>
      </c>
      <c r="E35" s="303">
        <f>D35/C35*100</f>
        <v>38.48136798877031</v>
      </c>
      <c r="F35" s="211">
        <f>F33-F36-F37-F38</f>
        <v>218921140</v>
      </c>
      <c r="G35" s="211">
        <f>G33-G36-G37-G38</f>
        <v>89948142.53</v>
      </c>
      <c r="H35" s="149">
        <f>G35/F35*100</f>
        <v>41.0870062754104</v>
      </c>
      <c r="I35" s="423"/>
    </row>
    <row r="36" spans="1:9" ht="28.5" customHeight="1">
      <c r="A36" s="301" t="s">
        <v>342</v>
      </c>
      <c r="B36" s="304" t="s">
        <v>199</v>
      </c>
      <c r="C36" s="211">
        <f>SUM(6D!E10,6D!E48,6D!E61,6D!E74,6D!E76,6D!E79,6D!E143,6D!E155,6D!E164,6D!E166,6D!E168,6D!E171,6D!E182,6D!E225,6D!E242,6D!E245,6D!E248,6D!E250,6D!E255,6D!E262,6D!E266,6D!E267,6D!E292,6D!E297,6D!E309)</f>
        <v>12440223.66</v>
      </c>
      <c r="D36" s="211">
        <f>SUM(6D!F10,6D!F48,6D!F61,6D!F74,6D!F76,6D!F79,6D!F143,6D!F155,6D!F164,6D!F166,6D!F168,6D!F171,6D!F182,6D!F225,6D!F242,6D!F245,6D!F248,6D!F250,6D!F255,6D!F262,6D!F266,6D!F267,6D!F292,6D!F297,6D!F309)</f>
        <v>6631858.66</v>
      </c>
      <c r="E36" s="303">
        <f>D36/C36*100</f>
        <v>53.30980247022343</v>
      </c>
      <c r="F36" s="211">
        <f>SUM('13DiW zlecone'!D51)</f>
        <v>12440223.66</v>
      </c>
      <c r="G36" s="211">
        <f>SUM('13DiW zlecone'!D52)</f>
        <v>5906584.93</v>
      </c>
      <c r="H36" s="149">
        <f>G36/F36*100</f>
        <v>47.47973261117397</v>
      </c>
      <c r="I36" s="423">
        <f>D36-G36</f>
        <v>725273.7300000004</v>
      </c>
    </row>
    <row r="37" spans="1:12" ht="40.5" customHeight="1">
      <c r="A37" s="301" t="s">
        <v>419</v>
      </c>
      <c r="B37" s="304" t="s">
        <v>198</v>
      </c>
      <c r="C37" s="211">
        <f>SUM(6D!E49,6D!E158,6D!E144,6D!E185,6D!E237,6D!E263)</f>
        <v>924870</v>
      </c>
      <c r="D37" s="211">
        <f>SUM(6D!F49,6D!F158,6D!F144,6D!F185,6D!F237,6D!F263)</f>
        <v>6370</v>
      </c>
      <c r="E37" s="305">
        <f>D37/C37*100</f>
        <v>0.6887454453058267</v>
      </c>
      <c r="F37" s="211">
        <f>SUM('14DiW porozumienia'!D23)</f>
        <v>924870</v>
      </c>
      <c r="G37" s="211">
        <f>SUM('14DiW porozumienia'!D20)</f>
        <v>0</v>
      </c>
      <c r="H37" s="149">
        <f>G37/F37*100</f>
        <v>0</v>
      </c>
      <c r="I37" s="727">
        <f>D37-G37</f>
        <v>6370</v>
      </c>
      <c r="J37" s="728" t="s">
        <v>412</v>
      </c>
      <c r="K37" s="728"/>
      <c r="L37" s="728"/>
    </row>
    <row r="38" spans="1:12" ht="51.75" customHeight="1" thickBot="1">
      <c r="A38" s="306" t="s">
        <v>426</v>
      </c>
      <c r="B38" s="307" t="s">
        <v>202</v>
      </c>
      <c r="C38" s="308">
        <f>SUM(6D!E84,6D!E300,6D!E324,6D!E326)</f>
        <v>64229</v>
      </c>
      <c r="D38" s="308">
        <f>SUM(6D!F84,6D!F300,6D!F324,6D!F326)</f>
        <v>34879.13</v>
      </c>
      <c r="E38" s="309">
        <f>D38/C38*100</f>
        <v>54.304332933721525</v>
      </c>
      <c r="F38" s="308">
        <f>SUM('15DiW porozumienia z jst'!D12)</f>
        <v>64229</v>
      </c>
      <c r="G38" s="308">
        <f>SUM('15DiW porozumienia z jst'!D13)</f>
        <v>30723.66</v>
      </c>
      <c r="H38" s="549">
        <f>G38/F38*100</f>
        <v>47.83456071245077</v>
      </c>
      <c r="I38" s="727"/>
      <c r="J38" s="728"/>
      <c r="K38" s="728"/>
      <c r="L38" s="728"/>
    </row>
    <row r="39" spans="1:10" ht="42" customHeight="1">
      <c r="A39" s="422"/>
      <c r="B39" s="291" t="s">
        <v>203</v>
      </c>
      <c r="C39" s="423">
        <v>218685773.66</v>
      </c>
      <c r="D39" s="423">
        <v>85658598.02</v>
      </c>
      <c r="E39" s="423"/>
      <c r="F39" s="423">
        <v>232350462.66</v>
      </c>
      <c r="G39" s="423">
        <v>95885451.12</v>
      </c>
      <c r="H39" s="550">
        <f>G39/F39*100</f>
        <v>41.26759638103662</v>
      </c>
      <c r="I39" s="1492"/>
      <c r="J39" s="1492"/>
    </row>
    <row r="40" spans="1:8" ht="12.75">
      <c r="A40" s="422"/>
      <c r="B40" s="291" t="s">
        <v>38</v>
      </c>
      <c r="C40" s="423">
        <f>C33-C39</f>
        <v>0</v>
      </c>
      <c r="D40" s="423">
        <f>D33-D39</f>
        <v>0</v>
      </c>
      <c r="E40" s="424"/>
      <c r="F40" s="424">
        <f>F33-F39</f>
        <v>0</v>
      </c>
      <c r="G40" s="423">
        <f>G33-G39</f>
        <v>0</v>
      </c>
      <c r="H40" s="550"/>
    </row>
    <row r="41" spans="1:8" ht="12.75">
      <c r="A41" s="422"/>
      <c r="B41" s="291"/>
      <c r="C41" s="424"/>
      <c r="D41" s="424"/>
      <c r="E41" s="550"/>
      <c r="F41" s="424"/>
      <c r="G41" s="424"/>
      <c r="H41" s="550"/>
    </row>
    <row r="42" spans="1:8" ht="12.75">
      <c r="A42" s="422"/>
      <c r="B42" s="291"/>
      <c r="C42" s="424"/>
      <c r="D42" s="424"/>
      <c r="E42" s="550"/>
      <c r="F42" s="424"/>
      <c r="G42" s="424"/>
      <c r="H42" s="550"/>
    </row>
    <row r="43" spans="1:8" ht="12.75">
      <c r="A43" s="422"/>
      <c r="B43" s="291" t="s">
        <v>390</v>
      </c>
      <c r="C43" s="423">
        <f>SUM(C35:C38)</f>
        <v>218685773.66</v>
      </c>
      <c r="D43" s="423">
        <f>SUM(D35:D38)</f>
        <v>85658598.02000001</v>
      </c>
      <c r="E43" s="423"/>
      <c r="F43" s="423">
        <f>SUM(F35:F38)</f>
        <v>232350462.66</v>
      </c>
      <c r="G43" s="423">
        <f>SUM(G35:G38)</f>
        <v>95885451.12</v>
      </c>
      <c r="H43" s="423"/>
    </row>
    <row r="44" spans="1:8" s="423" customFormat="1" ht="12.75">
      <c r="A44" s="729"/>
      <c r="B44" s="423" t="s">
        <v>38</v>
      </c>
      <c r="C44" s="423">
        <f>C43-C39</f>
        <v>0</v>
      </c>
      <c r="D44" s="423">
        <f>D43-D39</f>
        <v>0</v>
      </c>
      <c r="F44" s="423">
        <f>F43-F39</f>
        <v>0</v>
      </c>
      <c r="G44" s="423">
        <f>G43-G39</f>
        <v>0</v>
      </c>
      <c r="H44" s="730"/>
    </row>
    <row r="45" spans="1:8" ht="12.75">
      <c r="A45" s="422"/>
      <c r="B45" s="291"/>
      <c r="C45" s="424"/>
      <c r="D45" s="424"/>
      <c r="E45" s="550"/>
      <c r="F45" s="424"/>
      <c r="G45" s="424"/>
      <c r="H45" s="550"/>
    </row>
    <row r="46" spans="1:8" ht="12.75">
      <c r="A46" s="422"/>
      <c r="B46" s="291"/>
      <c r="C46" s="424"/>
      <c r="D46" s="424"/>
      <c r="E46" s="550"/>
      <c r="F46" s="424"/>
      <c r="G46" s="424"/>
      <c r="H46" s="550"/>
    </row>
    <row r="47" spans="1:8" ht="12.75">
      <c r="A47" s="422"/>
      <c r="B47" s="291"/>
      <c r="C47" s="424"/>
      <c r="D47" s="424"/>
      <c r="E47" s="550"/>
      <c r="F47" s="424"/>
      <c r="G47" s="424"/>
      <c r="H47" s="550"/>
    </row>
    <row r="48" spans="1:8" ht="12.75">
      <c r="A48" s="422"/>
      <c r="B48" s="291"/>
      <c r="C48" s="424"/>
      <c r="D48" s="424"/>
      <c r="E48" s="550"/>
      <c r="F48" s="424"/>
      <c r="G48" s="424"/>
      <c r="H48" s="550"/>
    </row>
    <row r="49" spans="1:8" ht="12.75">
      <c r="A49" s="422"/>
      <c r="B49" s="291"/>
      <c r="C49" s="424"/>
      <c r="D49" s="424"/>
      <c r="E49" s="550"/>
      <c r="F49" s="424"/>
      <c r="G49" s="424"/>
      <c r="H49" s="550"/>
    </row>
    <row r="50" spans="1:8" ht="12.75">
      <c r="A50" s="422"/>
      <c r="C50" s="424"/>
      <c r="D50" s="424"/>
      <c r="E50" s="550"/>
      <c r="F50" s="424"/>
      <c r="G50" s="424"/>
      <c r="H50" s="550"/>
    </row>
    <row r="51" spans="1:8" ht="12.75">
      <c r="A51" s="422"/>
      <c r="C51" s="424"/>
      <c r="D51" s="424"/>
      <c r="E51" s="550"/>
      <c r="F51" s="424"/>
      <c r="G51" s="424"/>
      <c r="H51" s="550"/>
    </row>
    <row r="52" spans="1:8" ht="12.75">
      <c r="A52" s="422"/>
      <c r="E52" s="550"/>
      <c r="F52" s="424"/>
      <c r="G52" s="424"/>
      <c r="H52" s="550"/>
    </row>
    <row r="53" spans="1:8" ht="12.75">
      <c r="A53" s="422"/>
      <c r="E53" s="550"/>
      <c r="F53" s="424"/>
      <c r="G53" s="424"/>
      <c r="H53" s="550"/>
    </row>
    <row r="54" spans="1:8" ht="12.75">
      <c r="A54" s="422"/>
      <c r="E54" s="550"/>
      <c r="F54" s="424"/>
      <c r="G54" s="424"/>
      <c r="H54" s="550"/>
    </row>
    <row r="55" spans="1:8" ht="12.75">
      <c r="A55" s="422"/>
      <c r="E55" s="550"/>
      <c r="F55" s="424"/>
      <c r="G55" s="424"/>
      <c r="H55" s="550"/>
    </row>
    <row r="56" spans="1:8" ht="12.75">
      <c r="A56" s="422"/>
      <c r="E56" s="550"/>
      <c r="F56" s="424"/>
      <c r="G56" s="424"/>
      <c r="H56" s="550"/>
    </row>
    <row r="57" spans="1:8" ht="12.75">
      <c r="A57" s="422"/>
      <c r="E57" s="550"/>
      <c r="F57" s="424"/>
      <c r="G57" s="424"/>
      <c r="H57" s="550"/>
    </row>
    <row r="58" spans="1:8" ht="12.75">
      <c r="A58" s="422"/>
      <c r="E58" s="550"/>
      <c r="F58" s="424"/>
      <c r="G58" s="424"/>
      <c r="H58" s="550"/>
    </row>
    <row r="59" spans="1:8" ht="12.75">
      <c r="A59" s="422"/>
      <c r="E59" s="550"/>
      <c r="F59" s="424"/>
      <c r="G59" s="424"/>
      <c r="H59" s="550"/>
    </row>
    <row r="60" spans="1:8" ht="12.75">
      <c r="A60" s="422"/>
      <c r="E60" s="550"/>
      <c r="F60" s="424"/>
      <c r="G60" s="424"/>
      <c r="H60" s="550"/>
    </row>
    <row r="61" spans="1:8" ht="12.75">
      <c r="A61" s="422"/>
      <c r="E61" s="550"/>
      <c r="F61" s="424"/>
      <c r="G61" s="424"/>
      <c r="H61" s="550"/>
    </row>
    <row r="62" spans="1:8" ht="12.75">
      <c r="A62" s="422"/>
      <c r="E62" s="550"/>
      <c r="F62" s="424"/>
      <c r="G62" s="424"/>
      <c r="H62" s="550"/>
    </row>
    <row r="63" spans="1:8" ht="12.75">
      <c r="A63" s="422"/>
      <c r="E63" s="550"/>
      <c r="F63" s="424"/>
      <c r="G63" s="424"/>
      <c r="H63" s="550"/>
    </row>
    <row r="64" spans="1:8" ht="12.75">
      <c r="A64" s="422"/>
      <c r="E64" s="550"/>
      <c r="F64" s="424"/>
      <c r="G64" s="424"/>
      <c r="H64" s="550"/>
    </row>
    <row r="65" spans="1:8" ht="12.75">
      <c r="A65" s="422"/>
      <c r="E65" s="550"/>
      <c r="F65" s="424"/>
      <c r="G65" s="424"/>
      <c r="H65" s="550"/>
    </row>
    <row r="66" spans="1:8" ht="12.75">
      <c r="A66" s="422"/>
      <c r="E66" s="550"/>
      <c r="F66" s="424"/>
      <c r="G66" s="424"/>
      <c r="H66" s="550"/>
    </row>
    <row r="67" spans="1:8" ht="12.75">
      <c r="A67" s="422"/>
      <c r="E67" s="550"/>
      <c r="F67" s="424"/>
      <c r="G67" s="424"/>
      <c r="H67" s="550"/>
    </row>
    <row r="68" spans="1:8" ht="12.75">
      <c r="A68" s="422"/>
      <c r="E68" s="550"/>
      <c r="F68" s="424"/>
      <c r="G68" s="424"/>
      <c r="H68" s="550"/>
    </row>
    <row r="69" spans="1:8" ht="12.75">
      <c r="A69" s="422"/>
      <c r="E69" s="550"/>
      <c r="F69" s="424"/>
      <c r="G69" s="424"/>
      <c r="H69" s="550"/>
    </row>
    <row r="70" spans="1:8" ht="12.75">
      <c r="A70" s="422"/>
      <c r="E70" s="550"/>
      <c r="F70" s="424"/>
      <c r="G70" s="424"/>
      <c r="H70" s="550"/>
    </row>
    <row r="71" spans="1:8" ht="12.75">
      <c r="A71" s="422"/>
      <c r="E71" s="550"/>
      <c r="F71" s="424"/>
      <c r="G71" s="424"/>
      <c r="H71" s="550"/>
    </row>
    <row r="72" spans="1:8" ht="12.75">
      <c r="A72" s="422"/>
      <c r="E72" s="550"/>
      <c r="F72" s="424"/>
      <c r="G72" s="424"/>
      <c r="H72" s="550"/>
    </row>
    <row r="73" spans="1:8" ht="12.75">
      <c r="A73" s="422"/>
      <c r="E73" s="550"/>
      <c r="F73" s="424"/>
      <c r="G73" s="424"/>
      <c r="H73" s="550"/>
    </row>
    <row r="74" spans="1:8" ht="12.75">
      <c r="A74" s="422"/>
      <c r="E74" s="550"/>
      <c r="F74" s="424"/>
      <c r="G74" s="424"/>
      <c r="H74" s="550"/>
    </row>
    <row r="75" spans="1:8" ht="12.75">
      <c r="A75" s="422"/>
      <c r="E75" s="550"/>
      <c r="F75" s="424"/>
      <c r="G75" s="424"/>
      <c r="H75" s="550"/>
    </row>
    <row r="76" spans="1:8" ht="12.75">
      <c r="A76" s="422"/>
      <c r="E76" s="550"/>
      <c r="F76" s="424"/>
      <c r="G76" s="424"/>
      <c r="H76" s="550"/>
    </row>
    <row r="77" spans="1:8" ht="12.75">
      <c r="A77" s="422"/>
      <c r="E77" s="550"/>
      <c r="F77" s="424"/>
      <c r="G77" s="424"/>
      <c r="H77" s="550"/>
    </row>
    <row r="78" spans="1:8" ht="12.75">
      <c r="A78" s="422"/>
      <c r="E78" s="550"/>
      <c r="F78" s="424"/>
      <c r="G78" s="424"/>
      <c r="H78" s="550"/>
    </row>
    <row r="79" spans="1:8" ht="12.75">
      <c r="A79" s="422"/>
      <c r="E79" s="550"/>
      <c r="F79" s="424"/>
      <c r="G79" s="424"/>
      <c r="H79" s="550"/>
    </row>
    <row r="80" spans="1:8" ht="12.75">
      <c r="A80" s="422"/>
      <c r="E80" s="550"/>
      <c r="F80" s="424"/>
      <c r="G80" s="424"/>
      <c r="H80" s="550"/>
    </row>
    <row r="81" spans="1:8" ht="12.75">
      <c r="A81" s="422"/>
      <c r="E81" s="550"/>
      <c r="F81" s="424"/>
      <c r="G81" s="424"/>
      <c r="H81" s="550"/>
    </row>
    <row r="82" spans="1:8" ht="12.75">
      <c r="A82" s="422"/>
      <c r="E82" s="550"/>
      <c r="F82" s="424"/>
      <c r="G82" s="424"/>
      <c r="H82" s="550"/>
    </row>
    <row r="83" spans="1:8" ht="12.75">
      <c r="A83" s="422"/>
      <c r="E83" s="550"/>
      <c r="F83" s="424"/>
      <c r="G83" s="424"/>
      <c r="H83" s="550"/>
    </row>
    <row r="84" spans="1:8" ht="12.75">
      <c r="A84" s="422"/>
      <c r="E84" s="550"/>
      <c r="F84" s="424"/>
      <c r="G84" s="424"/>
      <c r="H84" s="550"/>
    </row>
    <row r="85" spans="1:8" ht="12.75">
      <c r="A85" s="422"/>
      <c r="E85" s="550"/>
      <c r="F85" s="424"/>
      <c r="G85" s="424"/>
      <c r="H85" s="550"/>
    </row>
    <row r="86" spans="1:8" ht="12.75">
      <c r="A86" s="422"/>
      <c r="E86" s="550"/>
      <c r="F86" s="424"/>
      <c r="G86" s="424"/>
      <c r="H86" s="550"/>
    </row>
    <row r="87" spans="1:8" ht="12.75">
      <c r="A87" s="422"/>
      <c r="E87" s="550"/>
      <c r="H87" s="550"/>
    </row>
    <row r="88" spans="1:8" ht="12.75">
      <c r="A88" s="422"/>
      <c r="E88" s="550"/>
      <c r="H88" s="550"/>
    </row>
    <row r="89" spans="1:8" ht="12.75">
      <c r="A89" s="422"/>
      <c r="E89" s="550"/>
      <c r="H89" s="550"/>
    </row>
    <row r="90" spans="1:8" ht="12.75">
      <c r="A90" s="422"/>
      <c r="E90" s="550"/>
      <c r="H90" s="550"/>
    </row>
    <row r="91" spans="1:8" ht="12.75">
      <c r="A91" s="422"/>
      <c r="E91" s="550"/>
      <c r="H91" s="550"/>
    </row>
    <row r="92" spans="1:8" ht="12.75">
      <c r="A92" s="422"/>
      <c r="E92" s="550"/>
      <c r="H92" s="550"/>
    </row>
    <row r="93" spans="1:8" ht="12.75">
      <c r="A93" s="422"/>
      <c r="E93" s="550"/>
      <c r="H93" s="550"/>
    </row>
    <row r="94" spans="1:8" ht="12.75">
      <c r="A94" s="422"/>
      <c r="E94" s="550"/>
      <c r="H94" s="550"/>
    </row>
    <row r="95" spans="5:8" ht="12.75">
      <c r="E95" s="550"/>
      <c r="H95" s="550"/>
    </row>
    <row r="96" spans="5:8" ht="12.75">
      <c r="E96" s="550"/>
      <c r="H96" s="550"/>
    </row>
    <row r="97" spans="5:8" ht="12.75">
      <c r="E97" s="550"/>
      <c r="H97" s="550"/>
    </row>
    <row r="98" spans="5:8" ht="12.75">
      <c r="E98" s="550"/>
      <c r="H98" s="550"/>
    </row>
    <row r="99" spans="5:8" ht="12.75">
      <c r="E99" s="550"/>
      <c r="H99" s="550"/>
    </row>
    <row r="100" spans="5:8" ht="12.75">
      <c r="E100" s="550"/>
      <c r="H100" s="550"/>
    </row>
    <row r="101" spans="5:8" ht="12.75">
      <c r="E101" s="550"/>
      <c r="H101" s="550"/>
    </row>
    <row r="102" spans="5:8" ht="12.75">
      <c r="E102" s="550"/>
      <c r="H102" s="550"/>
    </row>
    <row r="103" spans="5:8" ht="12.75">
      <c r="E103" s="550"/>
      <c r="H103" s="550"/>
    </row>
    <row r="104" spans="5:8" ht="12.75">
      <c r="E104" s="550"/>
      <c r="H104" s="550"/>
    </row>
    <row r="105" spans="5:8" ht="12.75">
      <c r="E105" s="550"/>
      <c r="H105" s="550"/>
    </row>
    <row r="106" spans="5:8" ht="12.75">
      <c r="E106" s="550"/>
      <c r="H106" s="550"/>
    </row>
    <row r="107" spans="5:8" ht="12.75">
      <c r="E107" s="550"/>
      <c r="H107" s="550"/>
    </row>
    <row r="108" spans="5:8" ht="12.75">
      <c r="E108" s="550"/>
      <c r="H108" s="550"/>
    </row>
    <row r="109" spans="5:8" ht="12.75">
      <c r="E109" s="550"/>
      <c r="H109" s="550"/>
    </row>
    <row r="110" spans="5:8" ht="12.75">
      <c r="E110" s="550"/>
      <c r="H110" s="550"/>
    </row>
    <row r="111" spans="5:8" ht="12.75">
      <c r="E111" s="550"/>
      <c r="H111" s="550"/>
    </row>
    <row r="112" spans="5:8" ht="12.75">
      <c r="E112" s="550"/>
      <c r="H112" s="550"/>
    </row>
    <row r="113" spans="5:8" ht="12.75">
      <c r="E113" s="550"/>
      <c r="H113" s="550"/>
    </row>
    <row r="114" spans="5:8" ht="12.75">
      <c r="E114" s="550"/>
      <c r="H114" s="550"/>
    </row>
    <row r="115" spans="5:8" ht="12.75">
      <c r="E115" s="550"/>
      <c r="H115" s="550"/>
    </row>
    <row r="116" spans="5:8" ht="12.75">
      <c r="E116" s="550"/>
      <c r="H116" s="550"/>
    </row>
    <row r="117" spans="5:8" ht="12.75">
      <c r="E117" s="550"/>
      <c r="H117" s="550"/>
    </row>
    <row r="118" spans="5:8" ht="12.75">
      <c r="E118" s="550"/>
      <c r="H118" s="550"/>
    </row>
    <row r="119" spans="5:8" ht="12.75">
      <c r="E119" s="550"/>
      <c r="H119" s="550"/>
    </row>
    <row r="120" spans="5:8" ht="12.75">
      <c r="E120" s="550"/>
      <c r="H120" s="550"/>
    </row>
    <row r="121" spans="5:8" ht="12.75">
      <c r="E121" s="550"/>
      <c r="H121" s="550"/>
    </row>
    <row r="122" spans="5:8" ht="12.75">
      <c r="E122" s="550"/>
      <c r="H122" s="550"/>
    </row>
    <row r="123" spans="5:8" ht="12.75">
      <c r="E123" s="550"/>
      <c r="H123" s="550"/>
    </row>
    <row r="124" spans="5:8" ht="12.75">
      <c r="E124" s="550"/>
      <c r="H124" s="550"/>
    </row>
    <row r="125" spans="5:8" ht="12.75">
      <c r="E125" s="550"/>
      <c r="H125" s="550"/>
    </row>
    <row r="126" spans="5:8" ht="12.75">
      <c r="E126" s="550"/>
      <c r="H126" s="550"/>
    </row>
    <row r="127" spans="5:8" ht="12.75">
      <c r="E127" s="550"/>
      <c r="H127" s="550"/>
    </row>
    <row r="128" spans="5:8" ht="12.75">
      <c r="E128" s="550"/>
      <c r="H128" s="550"/>
    </row>
    <row r="129" spans="5:8" ht="12.75">
      <c r="E129" s="550"/>
      <c r="H129" s="550"/>
    </row>
    <row r="130" spans="5:8" ht="12.75">
      <c r="E130" s="550"/>
      <c r="H130" s="550"/>
    </row>
    <row r="131" spans="5:8" ht="12.75">
      <c r="E131" s="550"/>
      <c r="H131" s="550"/>
    </row>
    <row r="132" spans="5:8" ht="12.75">
      <c r="E132" s="550"/>
      <c r="H132" s="550"/>
    </row>
    <row r="133" spans="5:8" ht="12.75">
      <c r="E133" s="550"/>
      <c r="H133" s="550"/>
    </row>
    <row r="134" spans="5:8" ht="12.75">
      <c r="E134" s="550"/>
      <c r="H134" s="550"/>
    </row>
    <row r="135" spans="5:8" ht="12.75">
      <c r="E135" s="550"/>
      <c r="H135" s="550"/>
    </row>
    <row r="136" spans="5:8" ht="12.75">
      <c r="E136" s="550"/>
      <c r="H136" s="550"/>
    </row>
    <row r="137" spans="5:8" ht="12.75">
      <c r="E137" s="550"/>
      <c r="H137" s="550"/>
    </row>
    <row r="138" spans="5:8" ht="12.75">
      <c r="E138" s="550"/>
      <c r="H138" s="550"/>
    </row>
    <row r="139" spans="5:8" ht="12.75">
      <c r="E139" s="550"/>
      <c r="H139" s="550"/>
    </row>
    <row r="140" spans="5:8" ht="12.75">
      <c r="E140" s="550"/>
      <c r="H140" s="550"/>
    </row>
    <row r="141" spans="5:8" ht="12.75">
      <c r="E141" s="550"/>
      <c r="H141" s="550"/>
    </row>
    <row r="142" spans="5:8" ht="12.75">
      <c r="E142" s="550"/>
      <c r="H142" s="550"/>
    </row>
    <row r="143" spans="5:8" ht="12.75">
      <c r="E143" s="550"/>
      <c r="H143" s="550"/>
    </row>
    <row r="144" spans="5:8" ht="12.75">
      <c r="E144" s="550"/>
      <c r="H144" s="550"/>
    </row>
    <row r="145" spans="5:8" ht="12.75">
      <c r="E145" s="550"/>
      <c r="H145" s="550"/>
    </row>
    <row r="146" spans="5:8" ht="12.75">
      <c r="E146" s="550"/>
      <c r="H146" s="550"/>
    </row>
    <row r="147" spans="5:8" ht="12.75">
      <c r="E147" s="550"/>
      <c r="H147" s="550"/>
    </row>
    <row r="148" spans="5:8" ht="12.75">
      <c r="E148" s="550"/>
      <c r="H148" s="550"/>
    </row>
    <row r="149" spans="5:8" ht="12.75">
      <c r="E149" s="550"/>
      <c r="H149" s="550"/>
    </row>
    <row r="150" spans="5:8" ht="12.75">
      <c r="E150" s="550"/>
      <c r="H150" s="550"/>
    </row>
    <row r="151" spans="5:8" ht="12.75">
      <c r="E151" s="550"/>
      <c r="H151" s="550"/>
    </row>
    <row r="152" spans="5:8" ht="12.75">
      <c r="E152" s="550"/>
      <c r="H152" s="550"/>
    </row>
    <row r="153" spans="5:8" ht="12.75">
      <c r="E153" s="550"/>
      <c r="H153" s="550"/>
    </row>
    <row r="154" spans="5:8" ht="12.75">
      <c r="E154" s="550"/>
      <c r="H154" s="550"/>
    </row>
    <row r="155" spans="5:8" ht="12.75">
      <c r="E155" s="550"/>
      <c r="H155" s="550"/>
    </row>
    <row r="156" spans="5:8" ht="12.75">
      <c r="E156" s="550"/>
      <c r="H156" s="550"/>
    </row>
    <row r="157" spans="5:8" ht="12.75">
      <c r="E157" s="550"/>
      <c r="H157" s="550"/>
    </row>
    <row r="158" spans="5:8" ht="12.75">
      <c r="E158" s="550"/>
      <c r="H158" s="550"/>
    </row>
    <row r="159" spans="5:8" ht="12.75">
      <c r="E159" s="550"/>
      <c r="H159" s="550"/>
    </row>
    <row r="160" spans="5:8" ht="12.75">
      <c r="E160" s="550"/>
      <c r="H160" s="550"/>
    </row>
    <row r="161" spans="5:8" ht="12.75">
      <c r="E161" s="550"/>
      <c r="H161" s="550"/>
    </row>
    <row r="162" spans="5:8" ht="12.75">
      <c r="E162" s="550"/>
      <c r="H162" s="550"/>
    </row>
    <row r="163" spans="5:8" ht="12.75">
      <c r="E163" s="550"/>
      <c r="H163" s="550"/>
    </row>
    <row r="164" spans="5:8" ht="12.75">
      <c r="E164" s="550"/>
      <c r="H164" s="550"/>
    </row>
    <row r="165" spans="5:8" ht="12.75">
      <c r="E165" s="550"/>
      <c r="H165" s="550"/>
    </row>
    <row r="166" spans="5:8" ht="12.75">
      <c r="E166" s="550"/>
      <c r="H166" s="550"/>
    </row>
    <row r="167" spans="5:8" ht="12.75">
      <c r="E167" s="550"/>
      <c r="H167" s="550"/>
    </row>
    <row r="168" spans="5:8" ht="12.75">
      <c r="E168" s="550"/>
      <c r="H168" s="550"/>
    </row>
    <row r="169" spans="5:8" ht="12.75">
      <c r="E169" s="550"/>
      <c r="H169" s="550"/>
    </row>
    <row r="170" spans="5:8" ht="12.75">
      <c r="E170" s="550"/>
      <c r="H170" s="550"/>
    </row>
    <row r="171" spans="5:8" ht="12.75">
      <c r="E171" s="550"/>
      <c r="H171" s="550"/>
    </row>
    <row r="172" spans="5:8" ht="12.75">
      <c r="E172" s="550"/>
      <c r="H172" s="550"/>
    </row>
    <row r="173" spans="5:8" ht="12.75">
      <c r="E173" s="550"/>
      <c r="H173" s="550"/>
    </row>
    <row r="174" spans="5:8" ht="12.75">
      <c r="E174" s="550"/>
      <c r="H174" s="550"/>
    </row>
    <row r="175" spans="5:8" ht="12.75">
      <c r="E175" s="550"/>
      <c r="H175" s="550"/>
    </row>
    <row r="176" spans="5:8" ht="12.75">
      <c r="E176" s="550"/>
      <c r="H176" s="550"/>
    </row>
    <row r="177" spans="5:8" ht="12.75">
      <c r="E177" s="550"/>
      <c r="H177" s="550"/>
    </row>
    <row r="178" spans="5:8" ht="12.75">
      <c r="E178" s="550"/>
      <c r="H178" s="550"/>
    </row>
    <row r="179" spans="5:8" ht="12.75">
      <c r="E179" s="550"/>
      <c r="H179" s="550"/>
    </row>
    <row r="180" spans="5:8" ht="12.75">
      <c r="E180" s="550"/>
      <c r="H180" s="550"/>
    </row>
    <row r="181" spans="5:8" ht="12.75">
      <c r="E181" s="550"/>
      <c r="H181" s="550"/>
    </row>
    <row r="182" spans="5:8" ht="12.75">
      <c r="E182" s="550"/>
      <c r="H182" s="550"/>
    </row>
    <row r="183" spans="5:8" ht="12.75">
      <c r="E183" s="550"/>
      <c r="H183" s="550"/>
    </row>
    <row r="184" spans="5:8" ht="12.75">
      <c r="E184" s="550"/>
      <c r="H184" s="550"/>
    </row>
    <row r="185" spans="5:8" ht="12.75">
      <c r="E185" s="550"/>
      <c r="H185" s="550"/>
    </row>
    <row r="186" spans="5:8" ht="12.75">
      <c r="E186" s="550"/>
      <c r="H186" s="550"/>
    </row>
    <row r="187" spans="5:8" ht="12.75">
      <c r="E187" s="550"/>
      <c r="H187" s="550"/>
    </row>
    <row r="188" spans="5:8" ht="12.75">
      <c r="E188" s="550"/>
      <c r="H188" s="550"/>
    </row>
    <row r="189" spans="5:8" ht="12.75">
      <c r="E189" s="550"/>
      <c r="H189" s="550"/>
    </row>
    <row r="190" spans="5:8" ht="12.75">
      <c r="E190" s="550"/>
      <c r="H190" s="550"/>
    </row>
    <row r="191" spans="5:8" ht="12.75">
      <c r="E191" s="550"/>
      <c r="H191" s="550"/>
    </row>
    <row r="192" spans="5:8" ht="12.75">
      <c r="E192" s="550"/>
      <c r="H192" s="550"/>
    </row>
    <row r="193" spans="5:8" ht="12.75">
      <c r="E193" s="550"/>
      <c r="H193" s="550"/>
    </row>
    <row r="194" spans="5:8" ht="12.75">
      <c r="E194" s="550"/>
      <c r="H194" s="550"/>
    </row>
    <row r="195" spans="5:8" ht="12.75">
      <c r="E195" s="550"/>
      <c r="H195" s="550"/>
    </row>
    <row r="196" spans="5:8" ht="12.75">
      <c r="E196" s="550"/>
      <c r="H196" s="550"/>
    </row>
    <row r="197" spans="5:8" ht="12.75">
      <c r="E197" s="550"/>
      <c r="H197" s="550"/>
    </row>
    <row r="198" spans="5:8" ht="12.75">
      <c r="E198" s="550"/>
      <c r="H198" s="550"/>
    </row>
    <row r="199" spans="5:8" ht="12.75">
      <c r="E199" s="550"/>
      <c r="H199" s="550"/>
    </row>
    <row r="200" spans="5:8" ht="12.75">
      <c r="E200" s="550"/>
      <c r="H200" s="550"/>
    </row>
    <row r="201" spans="5:8" ht="12.75">
      <c r="E201" s="550"/>
      <c r="H201" s="550"/>
    </row>
    <row r="202" spans="5:8" ht="12.75">
      <c r="E202" s="550"/>
      <c r="H202" s="550"/>
    </row>
    <row r="203" spans="5:8" ht="12.75">
      <c r="E203" s="550"/>
      <c r="H203" s="550"/>
    </row>
    <row r="204" spans="5:8" ht="12.75">
      <c r="E204" s="550"/>
      <c r="H204" s="550"/>
    </row>
    <row r="205" ht="12.75">
      <c r="H205" s="550"/>
    </row>
  </sheetData>
  <sheetProtection password="CF53" sheet="1" objects="1" scenarios="1" selectLockedCells="1" selectUnlockedCells="1"/>
  <mergeCells count="7">
    <mergeCell ref="I39:J39"/>
    <mergeCell ref="G1:H1"/>
    <mergeCell ref="A5:A6"/>
    <mergeCell ref="B5:B6"/>
    <mergeCell ref="C5:E5"/>
    <mergeCell ref="F5:H5"/>
    <mergeCell ref="A3:H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F17"/>
  <sheetViews>
    <sheetView showGridLines="0" view="pageBreakPreview" zoomScaleSheetLayoutView="100" workbookViewId="0" topLeftCell="A9">
      <selection activeCell="E13" sqref="E13"/>
    </sheetView>
  </sheetViews>
  <sheetFormatPr defaultColWidth="9.00390625" defaultRowHeight="12.75"/>
  <cols>
    <col min="1" max="1" width="4.75390625" style="64" bestFit="1" customWidth="1"/>
    <col min="2" max="2" width="35.375" style="65" customWidth="1"/>
    <col min="3" max="3" width="11.25390625" style="65" customWidth="1"/>
    <col min="4" max="4" width="13.125" style="66" customWidth="1"/>
    <col min="5" max="5" width="12.125" style="66" customWidth="1"/>
    <col min="6" max="6" width="10.00390625" style="66" customWidth="1"/>
    <col min="7" max="16384" width="9.125" style="65" customWidth="1"/>
  </cols>
  <sheetData>
    <row r="1" spans="5:6" ht="12.75">
      <c r="E1" s="1535" t="s">
        <v>414</v>
      </c>
      <c r="F1" s="1535"/>
    </row>
    <row r="2" spans="5:6" ht="23.25" customHeight="1">
      <c r="E2" s="30"/>
      <c r="F2" s="30"/>
    </row>
    <row r="3" spans="1:6" ht="12" customHeight="1">
      <c r="A3" s="1483" t="s">
        <v>95</v>
      </c>
      <c r="B3" s="1483"/>
      <c r="C3" s="1483"/>
      <c r="D3" s="1483"/>
      <c r="E3" s="1483"/>
      <c r="F3" s="1483"/>
    </row>
    <row r="4" spans="1:6" ht="4.5" customHeight="1">
      <c r="A4" s="31"/>
      <c r="B4" s="31"/>
      <c r="C4" s="31"/>
      <c r="D4" s="36"/>
      <c r="E4" s="36"/>
      <c r="F4" s="36"/>
    </row>
    <row r="5" ht="12" customHeight="1" thickBot="1">
      <c r="F5" s="66" t="s">
        <v>67</v>
      </c>
    </row>
    <row r="6" spans="1:6" ht="31.5" customHeight="1">
      <c r="A6" s="871" t="s">
        <v>338</v>
      </c>
      <c r="B6" s="872" t="s">
        <v>69</v>
      </c>
      <c r="C6" s="1190" t="s">
        <v>232</v>
      </c>
      <c r="D6" s="1190" t="s">
        <v>70</v>
      </c>
      <c r="E6" s="872" t="s">
        <v>71</v>
      </c>
      <c r="F6" s="1191" t="s">
        <v>72</v>
      </c>
    </row>
    <row r="7" spans="1:6" s="774" customFormat="1" ht="12" customHeight="1" thickBot="1">
      <c r="A7" s="1216">
        <v>1</v>
      </c>
      <c r="B7" s="1217">
        <v>2</v>
      </c>
      <c r="C7" s="1217">
        <v>3</v>
      </c>
      <c r="D7" s="1217">
        <v>4</v>
      </c>
      <c r="E7" s="1217">
        <v>5</v>
      </c>
      <c r="F7" s="1218">
        <v>6</v>
      </c>
    </row>
    <row r="8" spans="1:6" ht="24.75" customHeight="1">
      <c r="A8" s="771" t="s">
        <v>654</v>
      </c>
      <c r="B8" s="1484" t="s">
        <v>96</v>
      </c>
      <c r="C8" s="1534"/>
      <c r="D8" s="772">
        <f>SUM(D10,D9,D11)</f>
        <v>37118004</v>
      </c>
      <c r="E8" s="772">
        <f>SUM(E10,E9,E11)</f>
        <v>30912349.209999997</v>
      </c>
      <c r="F8" s="773">
        <f>E8/D8*100</f>
        <v>83.28128099237232</v>
      </c>
    </row>
    <row r="9" spans="1:6" ht="58.5" customHeight="1">
      <c r="A9" s="69" t="s">
        <v>341</v>
      </c>
      <c r="B9" s="70" t="s">
        <v>1035</v>
      </c>
      <c r="C9" s="71" t="s">
        <v>234</v>
      </c>
      <c r="D9" s="72">
        <v>11181980</v>
      </c>
      <c r="E9" s="72">
        <v>4926325.38</v>
      </c>
      <c r="F9" s="73">
        <f aca="true" t="shared" si="0" ref="F9:F14">E9/D9*100</f>
        <v>44.05593088165066</v>
      </c>
    </row>
    <row r="10" spans="1:6" ht="33.75" customHeight="1">
      <c r="A10" s="79" t="s">
        <v>342</v>
      </c>
      <c r="B10" s="80" t="s">
        <v>856</v>
      </c>
      <c r="C10" s="81" t="s">
        <v>233</v>
      </c>
      <c r="D10" s="82">
        <v>420239</v>
      </c>
      <c r="E10" s="82">
        <v>420239</v>
      </c>
      <c r="F10" s="83">
        <f>E10/D10*100</f>
        <v>100</v>
      </c>
    </row>
    <row r="11" spans="1:6" ht="34.5" customHeight="1" thickBot="1">
      <c r="A11" s="67" t="s">
        <v>419</v>
      </c>
      <c r="B11" s="84" t="s">
        <v>1037</v>
      </c>
      <c r="C11" s="68" t="s">
        <v>235</v>
      </c>
      <c r="D11" s="85">
        <v>25515785</v>
      </c>
      <c r="E11" s="85">
        <v>25565784.83</v>
      </c>
      <c r="F11" s="86">
        <f t="shared" si="0"/>
        <v>100.1959564638125</v>
      </c>
    </row>
    <row r="12" spans="1:6" ht="24.75" customHeight="1">
      <c r="A12" s="771" t="s">
        <v>659</v>
      </c>
      <c r="B12" s="1484" t="s">
        <v>97</v>
      </c>
      <c r="C12" s="1534"/>
      <c r="D12" s="772">
        <f>SUM(D13,D14,D15)</f>
        <v>23453315</v>
      </c>
      <c r="E12" s="772">
        <f>SUM(E13,E14,E15)</f>
        <v>3387615</v>
      </c>
      <c r="F12" s="773">
        <f t="shared" si="0"/>
        <v>14.44407752166378</v>
      </c>
    </row>
    <row r="13" spans="1:6" ht="54.75" customHeight="1">
      <c r="A13" s="74" t="s">
        <v>341</v>
      </c>
      <c r="B13" s="75" t="s">
        <v>519</v>
      </c>
      <c r="C13" s="76" t="s">
        <v>516</v>
      </c>
      <c r="D13" s="77">
        <v>15467965</v>
      </c>
      <c r="E13" s="77">
        <v>0</v>
      </c>
      <c r="F13" s="78">
        <f>E13/D13*100</f>
        <v>0</v>
      </c>
    </row>
    <row r="14" spans="1:6" ht="33" customHeight="1">
      <c r="A14" s="74" t="s">
        <v>342</v>
      </c>
      <c r="B14" s="75" t="s">
        <v>1036</v>
      </c>
      <c r="C14" s="76" t="s">
        <v>237</v>
      </c>
      <c r="D14" s="77">
        <v>5000000</v>
      </c>
      <c r="E14" s="77">
        <v>2000000</v>
      </c>
      <c r="F14" s="78">
        <f t="shared" si="0"/>
        <v>40</v>
      </c>
    </row>
    <row r="15" spans="1:6" ht="43.5" customHeight="1">
      <c r="A15" s="74" t="s">
        <v>419</v>
      </c>
      <c r="B15" s="75" t="s">
        <v>515</v>
      </c>
      <c r="C15" s="76" t="s">
        <v>236</v>
      </c>
      <c r="D15" s="77">
        <f>SUM(D16,D17)</f>
        <v>2985350</v>
      </c>
      <c r="E15" s="77">
        <f>SUM(E16,E17)</f>
        <v>1387615</v>
      </c>
      <c r="F15" s="78">
        <f>E15/D15*100</f>
        <v>46.48081464484901</v>
      </c>
    </row>
    <row r="16" spans="1:6" s="92" customFormat="1" ht="19.5" customHeight="1">
      <c r="A16" s="87" t="s">
        <v>517</v>
      </c>
      <c r="B16" s="88" t="s">
        <v>201</v>
      </c>
      <c r="C16" s="89" t="s">
        <v>236</v>
      </c>
      <c r="D16" s="90">
        <v>2400000</v>
      </c>
      <c r="E16" s="90">
        <v>1200000</v>
      </c>
      <c r="F16" s="91">
        <f>E16/D16*100</f>
        <v>50</v>
      </c>
    </row>
    <row r="17" spans="1:6" s="98" customFormat="1" ht="19.5" customHeight="1" thickBot="1">
      <c r="A17" s="93" t="s">
        <v>518</v>
      </c>
      <c r="B17" s="94" t="s">
        <v>200</v>
      </c>
      <c r="C17" s="95" t="s">
        <v>236</v>
      </c>
      <c r="D17" s="96">
        <v>585350</v>
      </c>
      <c r="E17" s="96">
        <v>187615</v>
      </c>
      <c r="F17" s="97">
        <f>E17/D17*100</f>
        <v>32.05176390193901</v>
      </c>
    </row>
  </sheetData>
  <sheetProtection password="CF53" sheet="1" objects="1" scenarios="1" selectLockedCells="1" selectUnlockedCells="1"/>
  <mergeCells count="4">
    <mergeCell ref="A3:F3"/>
    <mergeCell ref="B8:C8"/>
    <mergeCell ref="E1:F1"/>
    <mergeCell ref="B12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>
    <tabColor indexed="10"/>
  </sheetPr>
  <dimension ref="A1:Q480"/>
  <sheetViews>
    <sheetView view="pageBreakPreview" zoomScaleSheetLayoutView="100" workbookViewId="0" topLeftCell="A1">
      <selection activeCell="E29" sqref="E29"/>
    </sheetView>
  </sheetViews>
  <sheetFormatPr defaultColWidth="9.00390625" defaultRowHeight="12.75"/>
  <cols>
    <col min="1" max="1" width="5.625" style="335" customWidth="1"/>
    <col min="2" max="2" width="6.375" style="335" customWidth="1"/>
    <col min="3" max="3" width="5.125" style="335" customWidth="1"/>
    <col min="4" max="4" width="40.25390625" style="336" customWidth="1"/>
    <col min="5" max="6" width="13.375" style="139" customWidth="1"/>
    <col min="7" max="7" width="5.625" style="326" customWidth="1"/>
    <col min="8" max="8" width="9.125" style="139" customWidth="1"/>
    <col min="9" max="9" width="29.875" style="139" customWidth="1"/>
    <col min="10" max="12" width="9.125" style="139" customWidth="1"/>
    <col min="13" max="13" width="7.25390625" style="139" customWidth="1"/>
    <col min="14" max="14" width="7.875" style="139" customWidth="1"/>
    <col min="15" max="15" width="5.25390625" style="139" customWidth="1"/>
    <col min="16" max="16" width="35.125" style="139" customWidth="1"/>
    <col min="17" max="17" width="22.625" style="139" customWidth="1"/>
    <col min="18" max="16384" width="9.125" style="139" customWidth="1"/>
  </cols>
  <sheetData>
    <row r="1" spans="1:16" s="123" customFormat="1" ht="12.75">
      <c r="A1" s="121"/>
      <c r="B1" s="121"/>
      <c r="C1" s="121"/>
      <c r="D1" s="122"/>
      <c r="E1" s="122"/>
      <c r="F1" s="1518" t="s">
        <v>1091</v>
      </c>
      <c r="G1" s="1518"/>
      <c r="P1" s="123" t="s">
        <v>377</v>
      </c>
    </row>
    <row r="2" spans="1:16" s="123" customFormat="1" ht="17.25" customHeight="1">
      <c r="A2" s="121"/>
      <c r="B2" s="121"/>
      <c r="C2" s="121"/>
      <c r="E2" s="122"/>
      <c r="G2" s="124"/>
      <c r="P2" s="123" t="s">
        <v>378</v>
      </c>
    </row>
    <row r="3" spans="1:17" s="126" customFormat="1" ht="16.5" customHeight="1">
      <c r="A3" s="1519" t="s">
        <v>282</v>
      </c>
      <c r="B3" s="1519"/>
      <c r="C3" s="1519"/>
      <c r="D3" s="1519"/>
      <c r="E3" s="1519"/>
      <c r="F3" s="1519"/>
      <c r="G3" s="1519"/>
      <c r="M3" s="1495" t="s">
        <v>253</v>
      </c>
      <c r="N3" s="1495"/>
      <c r="O3" s="1495"/>
      <c r="P3" s="1495"/>
      <c r="Q3" s="1495"/>
    </row>
    <row r="4" spans="1:7" s="123" customFormat="1" ht="13.5" thickBot="1">
      <c r="A4" s="121"/>
      <c r="B4" s="121"/>
      <c r="C4" s="121"/>
      <c r="D4" s="122"/>
      <c r="G4" s="124"/>
    </row>
    <row r="5" spans="1:17" s="127" customFormat="1" ht="15" customHeight="1">
      <c r="A5" s="1192" t="s">
        <v>249</v>
      </c>
      <c r="B5" s="1193" t="s">
        <v>68</v>
      </c>
      <c r="C5" s="1193" t="s">
        <v>254</v>
      </c>
      <c r="D5" s="1193" t="s">
        <v>69</v>
      </c>
      <c r="E5" s="934" t="s">
        <v>70</v>
      </c>
      <c r="F5" s="1194" t="s">
        <v>71</v>
      </c>
      <c r="G5" s="1219" t="s">
        <v>72</v>
      </c>
      <c r="M5" s="128" t="s">
        <v>249</v>
      </c>
      <c r="N5" s="128" t="s">
        <v>68</v>
      </c>
      <c r="O5" s="128" t="s">
        <v>254</v>
      </c>
      <c r="P5" s="128" t="s">
        <v>69</v>
      </c>
      <c r="Q5" s="128" t="s">
        <v>255</v>
      </c>
    </row>
    <row r="6" spans="1:17" s="129" customFormat="1" ht="13.5" customHeight="1" thickBot="1">
      <c r="A6" s="1119">
        <v>1</v>
      </c>
      <c r="B6" s="1120">
        <v>2</v>
      </c>
      <c r="C6" s="1120">
        <v>3</v>
      </c>
      <c r="D6" s="1120">
        <v>4</v>
      </c>
      <c r="E6" s="1121">
        <v>5</v>
      </c>
      <c r="F6" s="1122">
        <v>6</v>
      </c>
      <c r="G6" s="1220">
        <v>7</v>
      </c>
      <c r="M6" s="130">
        <v>1</v>
      </c>
      <c r="N6" s="130">
        <v>2</v>
      </c>
      <c r="O6" s="130">
        <v>3</v>
      </c>
      <c r="P6" s="130">
        <v>4</v>
      </c>
      <c r="Q6" s="130">
        <v>5</v>
      </c>
    </row>
    <row r="7" spans="1:17" s="394" customFormat="1" ht="22.5" customHeight="1">
      <c r="A7" s="1537" t="s">
        <v>260</v>
      </c>
      <c r="B7" s="1538"/>
      <c r="C7" s="1538"/>
      <c r="D7" s="1539"/>
      <c r="E7" s="392">
        <f>SUM(E8,E11,E16,E19,E31,E39,E53,E59,E72,E77,E86,E124,E133,E147,E159,E187,E193,E196,E213,E216)</f>
        <v>161611572.66</v>
      </c>
      <c r="F7" s="392">
        <f>SUM(F8,F11,F16,F19,F31,F39,F53,F59,F72,F77,F86,F124,F133,F147,F159,F187,F193,F196,F213,F216)</f>
        <v>56784515.58</v>
      </c>
      <c r="G7" s="393">
        <f aca="true" t="shared" si="0" ref="G7:G14">F7/E7*100</f>
        <v>35.136416684381764</v>
      </c>
      <c r="M7" s="395"/>
      <c r="N7" s="395"/>
      <c r="O7" s="395"/>
      <c r="P7" s="395"/>
      <c r="Q7" s="395"/>
    </row>
    <row r="8" spans="1:17" s="104" customFormat="1" ht="16.5" customHeight="1">
      <c r="A8" s="99" t="s">
        <v>73</v>
      </c>
      <c r="B8" s="100"/>
      <c r="C8" s="100"/>
      <c r="D8" s="101" t="s">
        <v>807</v>
      </c>
      <c r="E8" s="102">
        <f>SUM(E9)</f>
        <v>15163.66</v>
      </c>
      <c r="F8" s="102">
        <f>SUM(F9)</f>
        <v>15163.66</v>
      </c>
      <c r="G8" s="103">
        <f t="shared" si="0"/>
        <v>100</v>
      </c>
      <c r="M8" s="105"/>
      <c r="N8" s="105"/>
      <c r="O8" s="105"/>
      <c r="P8" s="105"/>
      <c r="Q8" s="105"/>
    </row>
    <row r="9" spans="1:17" s="111" customFormat="1" ht="19.5" customHeight="1">
      <c r="A9" s="106"/>
      <c r="B9" s="107" t="s">
        <v>813</v>
      </c>
      <c r="C9" s="107"/>
      <c r="D9" s="108" t="s">
        <v>74</v>
      </c>
      <c r="E9" s="109">
        <f>SUM(E10)</f>
        <v>15163.66</v>
      </c>
      <c r="F9" s="109">
        <f>SUM(F10)</f>
        <v>15163.66</v>
      </c>
      <c r="G9" s="110">
        <f t="shared" si="0"/>
        <v>100</v>
      </c>
      <c r="M9" s="112"/>
      <c r="N9" s="112"/>
      <c r="O9" s="112"/>
      <c r="P9" s="112"/>
      <c r="Q9" s="112"/>
    </row>
    <row r="10" spans="1:17" s="119" customFormat="1" ht="55.5" customHeight="1">
      <c r="A10" s="113"/>
      <c r="B10" s="114"/>
      <c r="C10" s="115">
        <v>2010</v>
      </c>
      <c r="D10" s="116" t="s">
        <v>382</v>
      </c>
      <c r="E10" s="117">
        <v>15163.66</v>
      </c>
      <c r="F10" s="117">
        <v>15163.66</v>
      </c>
      <c r="G10" s="118">
        <f t="shared" si="0"/>
        <v>100</v>
      </c>
      <c r="M10" s="120"/>
      <c r="N10" s="120"/>
      <c r="O10" s="120"/>
      <c r="P10" s="120"/>
      <c r="Q10" s="120"/>
    </row>
    <row r="11" spans="1:17" s="134" customFormat="1" ht="18" customHeight="1">
      <c r="A11" s="99" t="s">
        <v>75</v>
      </c>
      <c r="B11" s="131"/>
      <c r="C11" s="131"/>
      <c r="D11" s="132" t="s">
        <v>256</v>
      </c>
      <c r="E11" s="133">
        <f>SUM(E12)</f>
        <v>76000</v>
      </c>
      <c r="F11" s="133">
        <f>SUM(F12)</f>
        <v>83647.92</v>
      </c>
      <c r="G11" s="103">
        <f t="shared" si="0"/>
        <v>110.06305263157894</v>
      </c>
      <c r="M11" s="135"/>
      <c r="N11" s="135"/>
      <c r="O11" s="135"/>
      <c r="P11" s="135"/>
      <c r="Q11" s="135"/>
    </row>
    <row r="12" spans="1:17" ht="21" customHeight="1">
      <c r="A12" s="106"/>
      <c r="B12" s="136" t="s">
        <v>76</v>
      </c>
      <c r="C12" s="136"/>
      <c r="D12" s="137" t="s">
        <v>74</v>
      </c>
      <c r="E12" s="138">
        <f>SUM(E13,E14,E15)</f>
        <v>76000</v>
      </c>
      <c r="F12" s="138">
        <f>SUM(F13,F14,F15)</f>
        <v>83647.92</v>
      </c>
      <c r="G12" s="110">
        <f t="shared" si="0"/>
        <v>110.06305263157894</v>
      </c>
      <c r="M12" s="140"/>
      <c r="N12" s="140"/>
      <c r="O12" s="140"/>
      <c r="P12" s="140"/>
      <c r="Q12" s="140"/>
    </row>
    <row r="13" spans="1:17" s="144" customFormat="1" ht="21" customHeight="1">
      <c r="A13" s="113"/>
      <c r="B13" s="141"/>
      <c r="C13" s="141" t="s">
        <v>574</v>
      </c>
      <c r="D13" s="142" t="s">
        <v>259</v>
      </c>
      <c r="E13" s="143">
        <v>1000</v>
      </c>
      <c r="F13" s="143">
        <v>1592.48</v>
      </c>
      <c r="G13" s="118">
        <f t="shared" si="0"/>
        <v>159.24800000000002</v>
      </c>
      <c r="M13" s="145"/>
      <c r="N13" s="145"/>
      <c r="O13" s="145"/>
      <c r="P13" s="145"/>
      <c r="Q13" s="145"/>
    </row>
    <row r="14" spans="1:17" s="144" customFormat="1" ht="21" customHeight="1">
      <c r="A14" s="113"/>
      <c r="B14" s="141"/>
      <c r="C14" s="141" t="s">
        <v>544</v>
      </c>
      <c r="D14" s="146" t="s">
        <v>543</v>
      </c>
      <c r="E14" s="143">
        <v>75000</v>
      </c>
      <c r="F14" s="143">
        <v>81996.41</v>
      </c>
      <c r="G14" s="118">
        <f t="shared" si="0"/>
        <v>109.32854666666667</v>
      </c>
      <c r="M14" s="145"/>
      <c r="N14" s="145"/>
      <c r="O14" s="145"/>
      <c r="P14" s="145"/>
      <c r="Q14" s="145"/>
    </row>
    <row r="15" spans="1:17" s="144" customFormat="1" ht="21" customHeight="1">
      <c r="A15" s="113"/>
      <c r="B15" s="141"/>
      <c r="C15" s="141" t="s">
        <v>571</v>
      </c>
      <c r="D15" s="146" t="s">
        <v>263</v>
      </c>
      <c r="E15" s="143">
        <v>0</v>
      </c>
      <c r="F15" s="143">
        <v>59.03</v>
      </c>
      <c r="G15" s="118" t="s">
        <v>312</v>
      </c>
      <c r="M15" s="145"/>
      <c r="N15" s="145"/>
      <c r="O15" s="145"/>
      <c r="P15" s="145"/>
      <c r="Q15" s="145"/>
    </row>
    <row r="16" spans="1:17" s="134" customFormat="1" ht="19.5" customHeight="1">
      <c r="A16" s="99" t="s">
        <v>375</v>
      </c>
      <c r="B16" s="131"/>
      <c r="C16" s="131"/>
      <c r="D16" s="132" t="s">
        <v>380</v>
      </c>
      <c r="E16" s="133">
        <f>E18</f>
        <v>0</v>
      </c>
      <c r="F16" s="133">
        <f>F17</f>
        <v>11696.61</v>
      </c>
      <c r="G16" s="103" t="s">
        <v>312</v>
      </c>
      <c r="M16" s="147"/>
      <c r="N16" s="147"/>
      <c r="O16" s="147"/>
      <c r="P16" s="147"/>
      <c r="Q16" s="147"/>
    </row>
    <row r="17" spans="1:17" ht="21.75" customHeight="1">
      <c r="A17" s="106"/>
      <c r="B17" s="136" t="s">
        <v>576</v>
      </c>
      <c r="C17" s="136"/>
      <c r="D17" s="137" t="s">
        <v>577</v>
      </c>
      <c r="E17" s="164">
        <f>E18</f>
        <v>0</v>
      </c>
      <c r="F17" s="138">
        <f>F18</f>
        <v>11696.61</v>
      </c>
      <c r="G17" s="110" t="s">
        <v>312</v>
      </c>
      <c r="M17" s="140"/>
      <c r="N17" s="140"/>
      <c r="O17" s="140"/>
      <c r="P17" s="140"/>
      <c r="Q17" s="140"/>
    </row>
    <row r="18" spans="1:17" s="144" customFormat="1" ht="29.25" customHeight="1">
      <c r="A18" s="113"/>
      <c r="B18" s="141"/>
      <c r="C18" s="141" t="s">
        <v>578</v>
      </c>
      <c r="D18" s="146" t="s">
        <v>395</v>
      </c>
      <c r="E18" s="211">
        <v>0</v>
      </c>
      <c r="F18" s="143">
        <v>11696.61</v>
      </c>
      <c r="G18" s="118" t="s">
        <v>312</v>
      </c>
      <c r="M18" s="145"/>
      <c r="N18" s="145"/>
      <c r="O18" s="145"/>
      <c r="P18" s="145"/>
      <c r="Q18" s="145"/>
    </row>
    <row r="19" spans="1:7" ht="19.5" customHeight="1">
      <c r="A19" s="99" t="s">
        <v>78</v>
      </c>
      <c r="B19" s="131"/>
      <c r="C19" s="131"/>
      <c r="D19" s="148" t="s">
        <v>79</v>
      </c>
      <c r="E19" s="151">
        <f>SUM(E20,E24)</f>
        <v>20623953</v>
      </c>
      <c r="F19" s="152">
        <f>SUM(F20,F24)</f>
        <v>5847.43</v>
      </c>
      <c r="G19" s="153" t="s">
        <v>312</v>
      </c>
    </row>
    <row r="20" spans="1:17" ht="19.5" customHeight="1">
      <c r="A20" s="106"/>
      <c r="B20" s="136" t="s">
        <v>81</v>
      </c>
      <c r="C20" s="136"/>
      <c r="D20" s="108" t="s">
        <v>82</v>
      </c>
      <c r="E20" s="164">
        <f>SUM(E21,E22,E23)</f>
        <v>0</v>
      </c>
      <c r="F20" s="138">
        <f>SUM(F21,F22,F23)</f>
        <v>5847.43</v>
      </c>
      <c r="G20" s="110" t="s">
        <v>312</v>
      </c>
      <c r="M20" s="140"/>
      <c r="N20" s="140"/>
      <c r="O20" s="140"/>
      <c r="P20" s="140"/>
      <c r="Q20" s="140"/>
    </row>
    <row r="21" spans="1:17" ht="27.75" customHeight="1">
      <c r="A21" s="113"/>
      <c r="B21" s="141"/>
      <c r="C21" s="141" t="s">
        <v>573</v>
      </c>
      <c r="D21" s="146" t="s">
        <v>1251</v>
      </c>
      <c r="E21" s="211">
        <v>0</v>
      </c>
      <c r="F21" s="143">
        <v>5847.43</v>
      </c>
      <c r="G21" s="118" t="s">
        <v>312</v>
      </c>
      <c r="M21" s="140"/>
      <c r="N21" s="140"/>
      <c r="O21" s="140"/>
      <c r="P21" s="140"/>
      <c r="Q21" s="140"/>
    </row>
    <row r="22" spans="1:17" s="144" customFormat="1" ht="20.25" customHeight="1" hidden="1">
      <c r="A22" s="113"/>
      <c r="B22" s="141"/>
      <c r="C22" s="141" t="s">
        <v>544</v>
      </c>
      <c r="D22" s="146" t="s">
        <v>543</v>
      </c>
      <c r="E22" s="143">
        <v>0</v>
      </c>
      <c r="F22" s="143">
        <v>0</v>
      </c>
      <c r="G22" s="118" t="s">
        <v>312</v>
      </c>
      <c r="M22" s="145"/>
      <c r="N22" s="145"/>
      <c r="O22" s="145"/>
      <c r="P22" s="145"/>
      <c r="Q22" s="145"/>
    </row>
    <row r="23" spans="1:17" s="144" customFormat="1" ht="20.25" customHeight="1" hidden="1">
      <c r="A23" s="113"/>
      <c r="B23" s="141"/>
      <c r="C23" s="141" t="s">
        <v>572</v>
      </c>
      <c r="D23" s="146" t="s">
        <v>262</v>
      </c>
      <c r="E23" s="143">
        <v>0</v>
      </c>
      <c r="F23" s="143">
        <v>0</v>
      </c>
      <c r="G23" s="118" t="s">
        <v>312</v>
      </c>
      <c r="M23" s="145"/>
      <c r="N23" s="145"/>
      <c r="O23" s="145"/>
      <c r="P23" s="145"/>
      <c r="Q23" s="145"/>
    </row>
    <row r="24" spans="1:17" ht="21.75" customHeight="1">
      <c r="A24" s="106"/>
      <c r="B24" s="162" t="s">
        <v>420</v>
      </c>
      <c r="C24" s="136"/>
      <c r="D24" s="108" t="s">
        <v>421</v>
      </c>
      <c r="E24" s="109">
        <f>SUM(E25,E27)</f>
        <v>20623953</v>
      </c>
      <c r="F24" s="109">
        <f>SUM(F25,F27)</f>
        <v>0</v>
      </c>
      <c r="G24" s="110" t="s">
        <v>312</v>
      </c>
      <c r="M24" s="140"/>
      <c r="N24" s="140"/>
      <c r="O24" s="140"/>
      <c r="P24" s="140"/>
      <c r="Q24" s="140"/>
    </row>
    <row r="25" spans="1:17" s="144" customFormat="1" ht="54.75" customHeight="1">
      <c r="A25" s="113"/>
      <c r="B25" s="150"/>
      <c r="C25" s="141" t="s">
        <v>1223</v>
      </c>
      <c r="D25" s="146" t="s">
        <v>642</v>
      </c>
      <c r="E25" s="117">
        <v>15467966</v>
      </c>
      <c r="F25" s="117">
        <v>0</v>
      </c>
      <c r="G25" s="118" t="s">
        <v>312</v>
      </c>
      <c r="M25" s="145"/>
      <c r="N25" s="145"/>
      <c r="O25" s="145"/>
      <c r="P25" s="145"/>
      <c r="Q25" s="145"/>
    </row>
    <row r="26" spans="1:17" s="144" customFormat="1" ht="66.75" customHeight="1">
      <c r="A26" s="113"/>
      <c r="B26" s="150"/>
      <c r="C26" s="141"/>
      <c r="D26" s="116" t="s">
        <v>709</v>
      </c>
      <c r="E26" s="117"/>
      <c r="F26" s="117"/>
      <c r="G26" s="118"/>
      <c r="M26" s="145"/>
      <c r="N26" s="145"/>
      <c r="O26" s="145"/>
      <c r="P26" s="145"/>
      <c r="Q26" s="145"/>
    </row>
    <row r="27" spans="1:17" s="144" customFormat="1" ht="54" customHeight="1">
      <c r="A27" s="113"/>
      <c r="B27" s="150"/>
      <c r="C27" s="141" t="s">
        <v>1117</v>
      </c>
      <c r="D27" s="146" t="s">
        <v>642</v>
      </c>
      <c r="E27" s="117">
        <v>5155987</v>
      </c>
      <c r="F27" s="117">
        <v>0</v>
      </c>
      <c r="G27" s="118" t="s">
        <v>312</v>
      </c>
      <c r="M27" s="145"/>
      <c r="N27" s="145"/>
      <c r="O27" s="145"/>
      <c r="P27" s="145"/>
      <c r="Q27" s="145"/>
    </row>
    <row r="28" spans="1:17" s="144" customFormat="1" ht="66.75" customHeight="1" thickBot="1">
      <c r="A28" s="227"/>
      <c r="B28" s="416"/>
      <c r="C28" s="228"/>
      <c r="D28" s="735" t="s">
        <v>711</v>
      </c>
      <c r="E28" s="417"/>
      <c r="F28" s="417"/>
      <c r="G28" s="418"/>
      <c r="M28" s="145"/>
      <c r="N28" s="145"/>
      <c r="O28" s="145"/>
      <c r="P28" s="145"/>
      <c r="Q28" s="145"/>
    </row>
    <row r="29" spans="1:7" s="160" customFormat="1" ht="15" customHeight="1" thickBot="1">
      <c r="A29" s="396"/>
      <c r="B29" s="396"/>
      <c r="C29" s="396"/>
      <c r="D29" s="252"/>
      <c r="E29" s="397"/>
      <c r="F29" s="397"/>
      <c r="G29" s="398"/>
    </row>
    <row r="30" spans="1:17" s="129" customFormat="1" ht="12" customHeight="1" thickBot="1">
      <c r="A30" s="1223">
        <v>1</v>
      </c>
      <c r="B30" s="1224">
        <v>2</v>
      </c>
      <c r="C30" s="1224">
        <v>3</v>
      </c>
      <c r="D30" s="1224">
        <v>4</v>
      </c>
      <c r="E30" s="1225">
        <v>5</v>
      </c>
      <c r="F30" s="1226">
        <v>6</v>
      </c>
      <c r="G30" s="1227">
        <v>7</v>
      </c>
      <c r="M30" s="130">
        <v>1</v>
      </c>
      <c r="N30" s="130">
        <v>2</v>
      </c>
      <c r="O30" s="130">
        <v>3</v>
      </c>
      <c r="P30" s="130">
        <v>4</v>
      </c>
      <c r="Q30" s="130">
        <v>5</v>
      </c>
    </row>
    <row r="31" spans="1:17" s="134" customFormat="1" ht="15" customHeight="1">
      <c r="A31" s="99" t="s">
        <v>83</v>
      </c>
      <c r="B31" s="131"/>
      <c r="C31" s="131"/>
      <c r="D31" s="148" t="s">
        <v>84</v>
      </c>
      <c r="E31" s="133">
        <f>SUM(E32,E37)</f>
        <v>49950</v>
      </c>
      <c r="F31" s="133">
        <f>SUM(F32,F37)</f>
        <v>47</v>
      </c>
      <c r="G31" s="103">
        <f>F31/E31*100</f>
        <v>0.0940940940940941</v>
      </c>
      <c r="M31" s="147"/>
      <c r="N31" s="147"/>
      <c r="O31" s="147"/>
      <c r="P31" s="147"/>
      <c r="Q31" s="147"/>
    </row>
    <row r="32" spans="1:17" ht="16.5" customHeight="1">
      <c r="A32" s="106"/>
      <c r="B32" s="136" t="s">
        <v>397</v>
      </c>
      <c r="C32" s="136"/>
      <c r="D32" s="108" t="s">
        <v>399</v>
      </c>
      <c r="E32" s="138">
        <f>SUM(E33,E34,E35)</f>
        <v>49950</v>
      </c>
      <c r="F32" s="138">
        <f>SUM(F33,F34,F35)</f>
        <v>47</v>
      </c>
      <c r="G32" s="110">
        <f>F32/E32*100</f>
        <v>0.0940940940940941</v>
      </c>
      <c r="M32" s="140"/>
      <c r="N32" s="140"/>
      <c r="O32" s="140"/>
      <c r="P32" s="140"/>
      <c r="Q32" s="140"/>
    </row>
    <row r="33" spans="1:17" ht="21" customHeight="1">
      <c r="A33" s="113"/>
      <c r="B33" s="141"/>
      <c r="C33" s="141" t="s">
        <v>544</v>
      </c>
      <c r="D33" s="146" t="s">
        <v>543</v>
      </c>
      <c r="E33" s="143">
        <v>0</v>
      </c>
      <c r="F33" s="143">
        <v>47</v>
      </c>
      <c r="G33" s="118" t="s">
        <v>312</v>
      </c>
      <c r="M33" s="140"/>
      <c r="N33" s="140"/>
      <c r="O33" s="140"/>
      <c r="P33" s="140"/>
      <c r="Q33" s="140"/>
    </row>
    <row r="34" spans="1:17" s="144" customFormat="1" ht="21" customHeight="1" hidden="1">
      <c r="A34" s="113"/>
      <c r="B34" s="114"/>
      <c r="C34" s="114" t="s">
        <v>572</v>
      </c>
      <c r="D34" s="154" t="s">
        <v>262</v>
      </c>
      <c r="E34" s="155">
        <v>0</v>
      </c>
      <c r="F34" s="155">
        <v>0</v>
      </c>
      <c r="G34" s="118" t="s">
        <v>312</v>
      </c>
      <c r="M34" s="145"/>
      <c r="N34" s="145"/>
      <c r="O34" s="145"/>
      <c r="P34" s="145"/>
      <c r="Q34" s="145"/>
    </row>
    <row r="35" spans="1:17" s="144" customFormat="1" ht="54" customHeight="1">
      <c r="A35" s="113"/>
      <c r="B35" s="141"/>
      <c r="C35" s="141" t="s">
        <v>50</v>
      </c>
      <c r="D35" s="146" t="s">
        <v>309</v>
      </c>
      <c r="E35" s="1543">
        <v>49950</v>
      </c>
      <c r="F35" s="1543">
        <v>0</v>
      </c>
      <c r="G35" s="1536">
        <f>F35/E35*100</f>
        <v>0</v>
      </c>
      <c r="M35" s="145"/>
      <c r="N35" s="145"/>
      <c r="O35" s="145"/>
      <c r="P35" s="145"/>
      <c r="Q35" s="145"/>
    </row>
    <row r="36" spans="1:17" s="144" customFormat="1" ht="34.5" customHeight="1">
      <c r="A36" s="113"/>
      <c r="B36" s="141"/>
      <c r="C36" s="141"/>
      <c r="D36" s="146" t="s">
        <v>560</v>
      </c>
      <c r="E36" s="1543"/>
      <c r="F36" s="1543"/>
      <c r="G36" s="1536"/>
      <c r="M36" s="145"/>
      <c r="N36" s="145"/>
      <c r="O36" s="145"/>
      <c r="P36" s="145"/>
      <c r="Q36" s="145"/>
    </row>
    <row r="37" spans="1:17" s="144" customFormat="1" ht="18" customHeight="1" hidden="1">
      <c r="A37" s="106"/>
      <c r="B37" s="136" t="s">
        <v>833</v>
      </c>
      <c r="C37" s="136"/>
      <c r="D37" s="108" t="s">
        <v>74</v>
      </c>
      <c r="E37" s="138">
        <f>SUM(E38)</f>
        <v>0</v>
      </c>
      <c r="F37" s="138">
        <f>SUM(F38)</f>
        <v>0</v>
      </c>
      <c r="G37" s="110" t="e">
        <f aca="true" t="shared" si="1" ref="G37:G46">F37/E37*100</f>
        <v>#DIV/0!</v>
      </c>
      <c r="M37" s="145"/>
      <c r="N37" s="145"/>
      <c r="O37" s="145"/>
      <c r="P37" s="145"/>
      <c r="Q37" s="145"/>
    </row>
    <row r="38" spans="1:17" s="144" customFormat="1" ht="44.25" customHeight="1" hidden="1">
      <c r="A38" s="113"/>
      <c r="B38" s="141"/>
      <c r="C38" s="141" t="s">
        <v>601</v>
      </c>
      <c r="D38" s="146" t="s">
        <v>413</v>
      </c>
      <c r="E38" s="143">
        <v>0</v>
      </c>
      <c r="F38" s="143">
        <v>0</v>
      </c>
      <c r="G38" s="118" t="e">
        <f t="shared" si="1"/>
        <v>#DIV/0!</v>
      </c>
      <c r="M38" s="145"/>
      <c r="N38" s="145"/>
      <c r="O38" s="145"/>
      <c r="P38" s="145"/>
      <c r="Q38" s="145"/>
    </row>
    <row r="39" spans="1:17" s="134" customFormat="1" ht="21" customHeight="1">
      <c r="A39" s="99" t="s">
        <v>85</v>
      </c>
      <c r="B39" s="131"/>
      <c r="C39" s="131"/>
      <c r="D39" s="132" t="s">
        <v>86</v>
      </c>
      <c r="E39" s="133">
        <f>SUM(E40,E50)</f>
        <v>38863000</v>
      </c>
      <c r="F39" s="133">
        <f>SUM(F40,F50)</f>
        <v>8019990.33</v>
      </c>
      <c r="G39" s="103">
        <f t="shared" si="1"/>
        <v>20.636570336824228</v>
      </c>
      <c r="M39" s="147"/>
      <c r="N39" s="147"/>
      <c r="O39" s="147"/>
      <c r="P39" s="147"/>
      <c r="Q39" s="147"/>
    </row>
    <row r="40" spans="1:17" ht="21" customHeight="1">
      <c r="A40" s="113"/>
      <c r="B40" s="136" t="s">
        <v>87</v>
      </c>
      <c r="C40" s="136"/>
      <c r="D40" s="137" t="s">
        <v>88</v>
      </c>
      <c r="E40" s="138">
        <f>SUM(E41,E42,E43,E44,E45,E46,E47,E48,E49)</f>
        <v>38863000</v>
      </c>
      <c r="F40" s="138">
        <f>SUM(F41,F42,F43,F44,F45,F46,F47,F48,F49)</f>
        <v>8019990.33</v>
      </c>
      <c r="G40" s="110">
        <f t="shared" si="1"/>
        <v>20.636570336824228</v>
      </c>
      <c r="M40" s="140"/>
      <c r="N40" s="140"/>
      <c r="O40" s="140"/>
      <c r="P40" s="140"/>
      <c r="Q40" s="140"/>
    </row>
    <row r="41" spans="1:17" s="144" customFormat="1" ht="29.25" customHeight="1">
      <c r="A41" s="113"/>
      <c r="B41" s="141"/>
      <c r="C41" s="141" t="s">
        <v>579</v>
      </c>
      <c r="D41" s="146" t="s">
        <v>537</v>
      </c>
      <c r="E41" s="143">
        <v>900000</v>
      </c>
      <c r="F41" s="143">
        <v>1097313.33</v>
      </c>
      <c r="G41" s="118">
        <f t="shared" si="1"/>
        <v>121.92370333333334</v>
      </c>
      <c r="M41" s="145"/>
      <c r="N41" s="145"/>
      <c r="O41" s="145"/>
      <c r="P41" s="145"/>
      <c r="Q41" s="145"/>
    </row>
    <row r="42" spans="1:17" s="144" customFormat="1" ht="29.25" customHeight="1">
      <c r="A42" s="113"/>
      <c r="B42" s="141"/>
      <c r="C42" s="141" t="s">
        <v>573</v>
      </c>
      <c r="D42" s="146" t="s">
        <v>1251</v>
      </c>
      <c r="E42" s="143">
        <v>0</v>
      </c>
      <c r="F42" s="143">
        <v>161.04</v>
      </c>
      <c r="G42" s="118" t="s">
        <v>312</v>
      </c>
      <c r="M42" s="145"/>
      <c r="N42" s="145"/>
      <c r="O42" s="145"/>
      <c r="P42" s="145"/>
      <c r="Q42" s="145"/>
    </row>
    <row r="43" spans="1:17" s="144" customFormat="1" ht="69" customHeight="1">
      <c r="A43" s="113"/>
      <c r="B43" s="141"/>
      <c r="C43" s="141" t="s">
        <v>575</v>
      </c>
      <c r="D43" s="146" t="s">
        <v>629</v>
      </c>
      <c r="E43" s="143">
        <v>2000000</v>
      </c>
      <c r="F43" s="143">
        <v>986164.57</v>
      </c>
      <c r="G43" s="118">
        <f t="shared" si="1"/>
        <v>49.3082285</v>
      </c>
      <c r="M43" s="145"/>
      <c r="N43" s="145"/>
      <c r="O43" s="145"/>
      <c r="P43" s="145"/>
      <c r="Q43" s="145"/>
    </row>
    <row r="44" spans="1:17" s="144" customFormat="1" ht="42" customHeight="1">
      <c r="A44" s="113"/>
      <c r="B44" s="141"/>
      <c r="C44" s="141" t="s">
        <v>581</v>
      </c>
      <c r="D44" s="146" t="s">
        <v>266</v>
      </c>
      <c r="E44" s="143">
        <v>100000</v>
      </c>
      <c r="F44" s="143">
        <v>63179.52</v>
      </c>
      <c r="G44" s="118">
        <f t="shared" si="1"/>
        <v>63.17952</v>
      </c>
      <c r="M44" s="145"/>
      <c r="N44" s="145"/>
      <c r="O44" s="145"/>
      <c r="P44" s="145"/>
      <c r="Q44" s="145"/>
    </row>
    <row r="45" spans="1:17" s="156" customFormat="1" ht="39" customHeight="1">
      <c r="A45" s="113"/>
      <c r="B45" s="141"/>
      <c r="C45" s="141" t="s">
        <v>582</v>
      </c>
      <c r="D45" s="146" t="s">
        <v>643</v>
      </c>
      <c r="E45" s="143">
        <v>35773000</v>
      </c>
      <c r="F45" s="143">
        <v>5823165.89</v>
      </c>
      <c r="G45" s="118">
        <f t="shared" si="1"/>
        <v>16.278103290190927</v>
      </c>
      <c r="M45" s="157"/>
      <c r="N45" s="157"/>
      <c r="O45" s="157"/>
      <c r="P45" s="157"/>
      <c r="Q45" s="157"/>
    </row>
    <row r="46" spans="1:17" s="144" customFormat="1" ht="19.5" customHeight="1">
      <c r="A46" s="113"/>
      <c r="B46" s="114"/>
      <c r="C46" s="114" t="s">
        <v>571</v>
      </c>
      <c r="D46" s="154" t="s">
        <v>263</v>
      </c>
      <c r="E46" s="155">
        <v>50000</v>
      </c>
      <c r="F46" s="155">
        <v>24968.75</v>
      </c>
      <c r="G46" s="118">
        <f t="shared" si="1"/>
        <v>49.9375</v>
      </c>
      <c r="M46" s="145"/>
      <c r="N46" s="145"/>
      <c r="O46" s="145"/>
      <c r="P46" s="145"/>
      <c r="Q46" s="145"/>
    </row>
    <row r="47" spans="1:17" s="144" customFormat="1" ht="19.5" customHeight="1">
      <c r="A47" s="113"/>
      <c r="B47" s="114"/>
      <c r="C47" s="158" t="s">
        <v>572</v>
      </c>
      <c r="D47" s="116" t="s">
        <v>262</v>
      </c>
      <c r="E47" s="159">
        <v>0</v>
      </c>
      <c r="F47" s="159">
        <v>25037.23</v>
      </c>
      <c r="G47" s="118" t="s">
        <v>312</v>
      </c>
      <c r="M47" s="160"/>
      <c r="N47" s="160"/>
      <c r="O47" s="160"/>
      <c r="P47" s="160"/>
      <c r="Q47" s="160"/>
    </row>
    <row r="48" spans="1:7" s="144" customFormat="1" ht="63" customHeight="1" hidden="1">
      <c r="A48" s="175"/>
      <c r="B48" s="176"/>
      <c r="C48" s="115">
        <v>2010</v>
      </c>
      <c r="D48" s="116" t="s">
        <v>382</v>
      </c>
      <c r="E48" s="159">
        <v>0</v>
      </c>
      <c r="F48" s="159">
        <v>0</v>
      </c>
      <c r="G48" s="118" t="e">
        <f>F48/E48*100</f>
        <v>#DIV/0!</v>
      </c>
    </row>
    <row r="49" spans="1:7" s="144" customFormat="1" ht="55.5" customHeight="1">
      <c r="A49" s="175"/>
      <c r="B49" s="176"/>
      <c r="C49" s="115">
        <v>2020</v>
      </c>
      <c r="D49" s="116" t="s">
        <v>396</v>
      </c>
      <c r="E49" s="159">
        <v>40000</v>
      </c>
      <c r="F49" s="159">
        <v>0</v>
      </c>
      <c r="G49" s="118">
        <f>F49/E49*100</f>
        <v>0</v>
      </c>
    </row>
    <row r="50" spans="1:7" ht="20.25" customHeight="1" hidden="1">
      <c r="A50" s="171"/>
      <c r="B50" s="172" t="s">
        <v>837</v>
      </c>
      <c r="C50" s="189"/>
      <c r="D50" s="177" t="s">
        <v>74</v>
      </c>
      <c r="E50" s="174">
        <f>SUM(E51,E52)</f>
        <v>0</v>
      </c>
      <c r="F50" s="174">
        <f>SUM(F51,F52)</f>
        <v>0</v>
      </c>
      <c r="G50" s="110" t="s">
        <v>312</v>
      </c>
    </row>
    <row r="51" spans="1:7" s="144" customFormat="1" ht="30" customHeight="1" hidden="1">
      <c r="A51" s="175"/>
      <c r="B51" s="176"/>
      <c r="C51" s="158" t="s">
        <v>573</v>
      </c>
      <c r="D51" s="116" t="s">
        <v>1251</v>
      </c>
      <c r="E51" s="159">
        <v>0</v>
      </c>
      <c r="F51" s="159">
        <v>0</v>
      </c>
      <c r="G51" s="118" t="s">
        <v>312</v>
      </c>
    </row>
    <row r="52" spans="1:7" s="144" customFormat="1" ht="53.25" customHeight="1" hidden="1">
      <c r="A52" s="175"/>
      <c r="B52" s="176"/>
      <c r="C52" s="115">
        <v>6290</v>
      </c>
      <c r="D52" s="146" t="s">
        <v>642</v>
      </c>
      <c r="E52" s="159">
        <v>0</v>
      </c>
      <c r="F52" s="159">
        <v>0</v>
      </c>
      <c r="G52" s="118" t="s">
        <v>312</v>
      </c>
    </row>
    <row r="53" spans="1:7" ht="19.5" customHeight="1">
      <c r="A53" s="167" t="s">
        <v>89</v>
      </c>
      <c r="B53" s="168"/>
      <c r="C53" s="169"/>
      <c r="D53" s="170" t="s">
        <v>90</v>
      </c>
      <c r="E53" s="152">
        <f>SUM(E54,E56)</f>
        <v>170000</v>
      </c>
      <c r="F53" s="152">
        <f>SUM(F54,F56)</f>
        <v>82232.26999999999</v>
      </c>
      <c r="G53" s="103">
        <f>F53/E53*100</f>
        <v>48.37192352941176</v>
      </c>
    </row>
    <row r="54" spans="1:7" ht="19.5" customHeight="1">
      <c r="A54" s="171"/>
      <c r="B54" s="172" t="s">
        <v>838</v>
      </c>
      <c r="C54" s="169"/>
      <c r="D54" s="173" t="s">
        <v>839</v>
      </c>
      <c r="E54" s="174">
        <f>SUM(E55)</f>
        <v>0</v>
      </c>
      <c r="F54" s="174">
        <f>SUM(F55)</f>
        <v>390.29</v>
      </c>
      <c r="G54" s="110" t="s">
        <v>312</v>
      </c>
    </row>
    <row r="55" spans="1:7" s="144" customFormat="1" ht="29.25" customHeight="1">
      <c r="A55" s="175"/>
      <c r="B55" s="176"/>
      <c r="C55" s="176" t="s">
        <v>573</v>
      </c>
      <c r="D55" s="116" t="s">
        <v>1251</v>
      </c>
      <c r="E55" s="159">
        <v>0</v>
      </c>
      <c r="F55" s="159">
        <v>390.29</v>
      </c>
      <c r="G55" s="118" t="s">
        <v>312</v>
      </c>
    </row>
    <row r="56" spans="1:7" ht="19.5" customHeight="1">
      <c r="A56" s="171"/>
      <c r="B56" s="172" t="s">
        <v>99</v>
      </c>
      <c r="C56" s="172"/>
      <c r="D56" s="173" t="s">
        <v>100</v>
      </c>
      <c r="E56" s="174">
        <f>SUM(E57,E58)</f>
        <v>170000</v>
      </c>
      <c r="F56" s="174">
        <f>SUM(F57,F58)</f>
        <v>81841.98</v>
      </c>
      <c r="G56" s="110">
        <f aca="true" t="shared" si="2" ref="G56:G66">F56/E56*100</f>
        <v>48.14234117647059</v>
      </c>
    </row>
    <row r="57" spans="1:7" ht="29.25" customHeight="1" hidden="1">
      <c r="A57" s="171"/>
      <c r="B57" s="172"/>
      <c r="C57" s="176" t="s">
        <v>573</v>
      </c>
      <c r="D57" s="116" t="s">
        <v>1251</v>
      </c>
      <c r="E57" s="159">
        <v>0</v>
      </c>
      <c r="F57" s="159">
        <v>0</v>
      </c>
      <c r="G57" s="110" t="s">
        <v>312</v>
      </c>
    </row>
    <row r="58" spans="1:7" s="144" customFormat="1" ht="19.5" customHeight="1">
      <c r="A58" s="175"/>
      <c r="B58" s="176"/>
      <c r="C58" s="176" t="s">
        <v>570</v>
      </c>
      <c r="D58" s="178" t="s">
        <v>325</v>
      </c>
      <c r="E58" s="159">
        <v>170000</v>
      </c>
      <c r="F58" s="159">
        <v>81841.98</v>
      </c>
      <c r="G58" s="118">
        <f t="shared" si="2"/>
        <v>48.14234117647059</v>
      </c>
    </row>
    <row r="59" spans="1:17" s="134" customFormat="1" ht="19.5" customHeight="1">
      <c r="A59" s="167" t="s">
        <v>101</v>
      </c>
      <c r="B59" s="168"/>
      <c r="C59" s="168"/>
      <c r="D59" s="170" t="s">
        <v>102</v>
      </c>
      <c r="E59" s="152">
        <f>SUM(E60,E64)</f>
        <v>414600</v>
      </c>
      <c r="F59" s="152">
        <f>SUM(F60,F64)</f>
        <v>266588.82</v>
      </c>
      <c r="G59" s="103">
        <f t="shared" si="2"/>
        <v>64.3002460202605</v>
      </c>
      <c r="M59" s="147"/>
      <c r="N59" s="147"/>
      <c r="O59" s="147"/>
      <c r="P59" s="147"/>
      <c r="Q59" s="147"/>
    </row>
    <row r="60" spans="1:7" ht="19.5" customHeight="1">
      <c r="A60" s="171"/>
      <c r="B60" s="172" t="s">
        <v>103</v>
      </c>
      <c r="C60" s="172"/>
      <c r="D60" s="173" t="s">
        <v>109</v>
      </c>
      <c r="E60" s="174">
        <f>SUM(E61)</f>
        <v>360000</v>
      </c>
      <c r="F60" s="174">
        <f>SUM(F61)</f>
        <v>194135</v>
      </c>
      <c r="G60" s="110">
        <f t="shared" si="2"/>
        <v>53.92638888888889</v>
      </c>
    </row>
    <row r="61" spans="1:7" s="144" customFormat="1" ht="56.25" customHeight="1" thickBot="1">
      <c r="A61" s="736"/>
      <c r="B61" s="737"/>
      <c r="C61" s="737" t="s">
        <v>619</v>
      </c>
      <c r="D61" s="735" t="s">
        <v>382</v>
      </c>
      <c r="E61" s="738">
        <v>360000</v>
      </c>
      <c r="F61" s="738">
        <v>194135</v>
      </c>
      <c r="G61" s="418">
        <f t="shared" si="2"/>
        <v>53.92638888888889</v>
      </c>
    </row>
    <row r="62" spans="1:7" s="160" customFormat="1" ht="15.75" customHeight="1" thickBot="1">
      <c r="A62" s="327"/>
      <c r="B62" s="327"/>
      <c r="C62" s="327"/>
      <c r="D62" s="252"/>
      <c r="E62" s="329"/>
      <c r="F62" s="329"/>
      <c r="G62" s="398"/>
    </row>
    <row r="63" spans="1:17" s="129" customFormat="1" ht="12" customHeight="1" thickBot="1">
      <c r="A63" s="1223">
        <v>1</v>
      </c>
      <c r="B63" s="1224">
        <v>2</v>
      </c>
      <c r="C63" s="1224">
        <v>3</v>
      </c>
      <c r="D63" s="1224">
        <v>4</v>
      </c>
      <c r="E63" s="1225">
        <v>5</v>
      </c>
      <c r="F63" s="1226">
        <v>6</v>
      </c>
      <c r="G63" s="1227">
        <v>7</v>
      </c>
      <c r="M63" s="734">
        <v>1</v>
      </c>
      <c r="N63" s="734">
        <v>2</v>
      </c>
      <c r="O63" s="734">
        <v>3</v>
      </c>
      <c r="P63" s="734">
        <v>4</v>
      </c>
      <c r="Q63" s="734">
        <v>5</v>
      </c>
    </row>
    <row r="64" spans="1:17" ht="19.5" customHeight="1">
      <c r="A64" s="171"/>
      <c r="B64" s="179" t="s">
        <v>112</v>
      </c>
      <c r="C64" s="179"/>
      <c r="D64" s="180" t="s">
        <v>383</v>
      </c>
      <c r="E64" s="181">
        <f>SUM(E65,E66,E67,E68,E69,E70,E71)</f>
        <v>54600</v>
      </c>
      <c r="F64" s="181">
        <f>SUM(F65,F66,F67,F68,F69,F70,F71)</f>
        <v>72453.81999999999</v>
      </c>
      <c r="G64" s="165">
        <f t="shared" si="2"/>
        <v>132.69930402930402</v>
      </c>
      <c r="M64" s="140"/>
      <c r="N64" s="140"/>
      <c r="O64" s="140"/>
      <c r="P64" s="140"/>
      <c r="Q64" s="140"/>
    </row>
    <row r="65" spans="1:17" s="144" customFormat="1" ht="19.5" customHeight="1">
      <c r="A65" s="182"/>
      <c r="B65" s="183"/>
      <c r="C65" s="183" t="s">
        <v>574</v>
      </c>
      <c r="D65" s="184" t="s">
        <v>259</v>
      </c>
      <c r="E65" s="166">
        <v>36000</v>
      </c>
      <c r="F65" s="159">
        <v>37149.52</v>
      </c>
      <c r="G65" s="149">
        <f t="shared" si="2"/>
        <v>103.19311111111111</v>
      </c>
      <c r="M65" s="145"/>
      <c r="N65" s="145"/>
      <c r="O65" s="145"/>
      <c r="P65" s="145"/>
      <c r="Q65" s="145"/>
    </row>
    <row r="66" spans="1:17" s="144" customFormat="1" ht="69" customHeight="1">
      <c r="A66" s="175"/>
      <c r="B66" s="176"/>
      <c r="C66" s="158" t="s">
        <v>575</v>
      </c>
      <c r="D66" s="116" t="s">
        <v>629</v>
      </c>
      <c r="E66" s="159">
        <v>11800</v>
      </c>
      <c r="F66" s="159">
        <v>5949.69</v>
      </c>
      <c r="G66" s="118">
        <f t="shared" si="2"/>
        <v>50.42110169491525</v>
      </c>
      <c r="M66" s="145"/>
      <c r="N66" s="145"/>
      <c r="O66" s="145"/>
      <c r="P66" s="145"/>
      <c r="Q66" s="145"/>
    </row>
    <row r="67" spans="1:17" s="144" customFormat="1" ht="20.25" customHeight="1">
      <c r="A67" s="175"/>
      <c r="B67" s="176"/>
      <c r="C67" s="158" t="s">
        <v>570</v>
      </c>
      <c r="D67" s="116" t="s">
        <v>325</v>
      </c>
      <c r="E67" s="159">
        <v>0</v>
      </c>
      <c r="F67" s="159">
        <v>4760.95</v>
      </c>
      <c r="G67" s="118" t="s">
        <v>312</v>
      </c>
      <c r="M67" s="160"/>
      <c r="N67" s="160"/>
      <c r="O67" s="160"/>
      <c r="P67" s="160"/>
      <c r="Q67" s="160"/>
    </row>
    <row r="68" spans="1:17" s="144" customFormat="1" ht="20.25" customHeight="1" hidden="1">
      <c r="A68" s="175"/>
      <c r="B68" s="176"/>
      <c r="C68" s="158" t="s">
        <v>544</v>
      </c>
      <c r="D68" s="116" t="s">
        <v>543</v>
      </c>
      <c r="E68" s="159">
        <v>0</v>
      </c>
      <c r="F68" s="159">
        <v>0</v>
      </c>
      <c r="G68" s="118" t="s">
        <v>312</v>
      </c>
      <c r="M68" s="160"/>
      <c r="N68" s="160"/>
      <c r="O68" s="160"/>
      <c r="P68" s="160"/>
      <c r="Q68" s="160"/>
    </row>
    <row r="69" spans="1:17" s="144" customFormat="1" ht="21" customHeight="1">
      <c r="A69" s="175"/>
      <c r="B69" s="176"/>
      <c r="C69" s="158" t="s">
        <v>571</v>
      </c>
      <c r="D69" s="116" t="s">
        <v>263</v>
      </c>
      <c r="E69" s="159">
        <v>0</v>
      </c>
      <c r="F69" s="159">
        <v>3051.36</v>
      </c>
      <c r="G69" s="118" t="s">
        <v>312</v>
      </c>
      <c r="M69" s="160"/>
      <c r="N69" s="160"/>
      <c r="O69" s="160"/>
      <c r="P69" s="160"/>
      <c r="Q69" s="160"/>
    </row>
    <row r="70" spans="1:17" s="144" customFormat="1" ht="21" customHeight="1">
      <c r="A70" s="175"/>
      <c r="B70" s="176"/>
      <c r="C70" s="158" t="s">
        <v>572</v>
      </c>
      <c r="D70" s="116" t="s">
        <v>262</v>
      </c>
      <c r="E70" s="159">
        <v>0</v>
      </c>
      <c r="F70" s="159">
        <v>12885.5</v>
      </c>
      <c r="G70" s="118" t="s">
        <v>312</v>
      </c>
      <c r="M70" s="160"/>
      <c r="N70" s="160"/>
      <c r="O70" s="160"/>
      <c r="P70" s="160"/>
      <c r="Q70" s="160"/>
    </row>
    <row r="71" spans="1:17" s="144" customFormat="1" ht="52.5" customHeight="1">
      <c r="A71" s="175"/>
      <c r="B71" s="176"/>
      <c r="C71" s="158" t="s">
        <v>607</v>
      </c>
      <c r="D71" s="116" t="s">
        <v>627</v>
      </c>
      <c r="E71" s="159">
        <v>6800</v>
      </c>
      <c r="F71" s="159">
        <v>8656.8</v>
      </c>
      <c r="G71" s="118">
        <f aca="true" t="shared" si="3" ref="G71:G77">F71/E71*100</f>
        <v>127.30588235294115</v>
      </c>
      <c r="M71" s="145"/>
      <c r="N71" s="145"/>
      <c r="O71" s="145"/>
      <c r="P71" s="145"/>
      <c r="Q71" s="145"/>
    </row>
    <row r="72" spans="1:7" s="134" customFormat="1" ht="42" customHeight="1">
      <c r="A72" s="185" t="s">
        <v>333</v>
      </c>
      <c r="B72" s="168"/>
      <c r="C72" s="186"/>
      <c r="D72" s="187" t="s">
        <v>116</v>
      </c>
      <c r="E72" s="152">
        <f>SUM(E73,E75)</f>
        <v>6168</v>
      </c>
      <c r="F72" s="152">
        <f>SUM(F73,F75)</f>
        <v>3084</v>
      </c>
      <c r="G72" s="188">
        <f t="shared" si="3"/>
        <v>50</v>
      </c>
    </row>
    <row r="73" spans="1:7" ht="29.25" customHeight="1">
      <c r="A73" s="171"/>
      <c r="B73" s="172" t="s">
        <v>269</v>
      </c>
      <c r="C73" s="189"/>
      <c r="D73" s="177" t="s">
        <v>270</v>
      </c>
      <c r="E73" s="174">
        <f>E74</f>
        <v>6168</v>
      </c>
      <c r="F73" s="174">
        <f>F74</f>
        <v>3084</v>
      </c>
      <c r="G73" s="190">
        <f t="shared" si="3"/>
        <v>50</v>
      </c>
    </row>
    <row r="74" spans="1:7" s="144" customFormat="1" ht="56.25" customHeight="1">
      <c r="A74" s="175"/>
      <c r="B74" s="176"/>
      <c r="C74" s="115">
        <v>2010</v>
      </c>
      <c r="D74" s="116" t="s">
        <v>382</v>
      </c>
      <c r="E74" s="159">
        <v>6168</v>
      </c>
      <c r="F74" s="159">
        <v>3084</v>
      </c>
      <c r="G74" s="191">
        <f t="shared" si="3"/>
        <v>50</v>
      </c>
    </row>
    <row r="75" spans="1:7" s="144" customFormat="1" ht="18.75" customHeight="1" hidden="1">
      <c r="A75" s="171"/>
      <c r="B75" s="172" t="s">
        <v>683</v>
      </c>
      <c r="C75" s="189"/>
      <c r="D75" s="177" t="s">
        <v>227</v>
      </c>
      <c r="E75" s="174">
        <f>E76</f>
        <v>0</v>
      </c>
      <c r="F75" s="174">
        <f>F76</f>
        <v>0</v>
      </c>
      <c r="G75" s="190" t="e">
        <f t="shared" si="3"/>
        <v>#DIV/0!</v>
      </c>
    </row>
    <row r="76" spans="1:7" s="144" customFormat="1" ht="56.25" customHeight="1" hidden="1">
      <c r="A76" s="175"/>
      <c r="B76" s="176"/>
      <c r="C76" s="115">
        <v>2010</v>
      </c>
      <c r="D76" s="116" t="s">
        <v>382</v>
      </c>
      <c r="E76" s="159">
        <v>0</v>
      </c>
      <c r="F76" s="159">
        <v>0</v>
      </c>
      <c r="G76" s="191" t="e">
        <f t="shared" si="3"/>
        <v>#DIV/0!</v>
      </c>
    </row>
    <row r="77" spans="1:7" ht="29.25" customHeight="1">
      <c r="A77" s="167" t="s">
        <v>117</v>
      </c>
      <c r="B77" s="168"/>
      <c r="C77" s="169"/>
      <c r="D77" s="187" t="s">
        <v>207</v>
      </c>
      <c r="E77" s="152">
        <f>SUM(E78,E80,E82)</f>
        <v>59000</v>
      </c>
      <c r="F77" s="152">
        <f>SUM(F78,F80,F82)</f>
        <v>30952.31</v>
      </c>
      <c r="G77" s="103">
        <f t="shared" si="3"/>
        <v>52.461542372881354</v>
      </c>
    </row>
    <row r="78" spans="1:7" ht="17.25" customHeight="1">
      <c r="A78" s="171"/>
      <c r="B78" s="172" t="s">
        <v>119</v>
      </c>
      <c r="C78" s="169"/>
      <c r="D78" s="173" t="s">
        <v>120</v>
      </c>
      <c r="E78" s="174">
        <f>SUM(E79)</f>
        <v>7000</v>
      </c>
      <c r="F78" s="174">
        <f>SUM(F79)</f>
        <v>7000</v>
      </c>
      <c r="G78" s="110">
        <f aca="true" t="shared" si="4" ref="G78:G89">F78/E78*100</f>
        <v>100</v>
      </c>
    </row>
    <row r="79" spans="1:7" s="144" customFormat="1" ht="57.75" customHeight="1">
      <c r="A79" s="175"/>
      <c r="B79" s="176"/>
      <c r="C79" s="115">
        <v>2010</v>
      </c>
      <c r="D79" s="116" t="s">
        <v>382</v>
      </c>
      <c r="E79" s="159">
        <v>7000</v>
      </c>
      <c r="F79" s="159">
        <v>7000</v>
      </c>
      <c r="G79" s="118">
        <f t="shared" si="4"/>
        <v>100</v>
      </c>
    </row>
    <row r="80" spans="1:7" ht="18" customHeight="1">
      <c r="A80" s="171"/>
      <c r="B80" s="172" t="s">
        <v>400</v>
      </c>
      <c r="C80" s="189"/>
      <c r="D80" s="177" t="s">
        <v>401</v>
      </c>
      <c r="E80" s="174">
        <f>E81</f>
        <v>52000</v>
      </c>
      <c r="F80" s="174">
        <f>F81</f>
        <v>23952.31</v>
      </c>
      <c r="G80" s="110">
        <f t="shared" si="4"/>
        <v>46.06213461538462</v>
      </c>
    </row>
    <row r="81" spans="1:7" s="144" customFormat="1" ht="27" customHeight="1">
      <c r="A81" s="175"/>
      <c r="B81" s="176"/>
      <c r="C81" s="158" t="s">
        <v>573</v>
      </c>
      <c r="D81" s="116" t="s">
        <v>1251</v>
      </c>
      <c r="E81" s="159">
        <v>52000</v>
      </c>
      <c r="F81" s="159">
        <v>23952.31</v>
      </c>
      <c r="G81" s="118">
        <f t="shared" si="4"/>
        <v>46.06213461538462</v>
      </c>
    </row>
    <row r="82" spans="1:8" s="144" customFormat="1" ht="21" customHeight="1" hidden="1">
      <c r="A82" s="171"/>
      <c r="B82" s="172" t="s">
        <v>847</v>
      </c>
      <c r="C82" s="189"/>
      <c r="D82" s="177" t="s">
        <v>74</v>
      </c>
      <c r="E82" s="174">
        <f>SUM(E83,E84,E85)</f>
        <v>0</v>
      </c>
      <c r="F82" s="174">
        <f>SUM(F83,F84,F85)</f>
        <v>0</v>
      </c>
      <c r="G82" s="110" t="e">
        <f>F82/E82*100</f>
        <v>#DIV/0!</v>
      </c>
      <c r="H82" s="139"/>
    </row>
    <row r="83" spans="1:7" s="144" customFormat="1" ht="22.5" customHeight="1" hidden="1">
      <c r="A83" s="175"/>
      <c r="B83" s="176"/>
      <c r="C83" s="158" t="s">
        <v>572</v>
      </c>
      <c r="D83" s="116" t="s">
        <v>262</v>
      </c>
      <c r="E83" s="159">
        <v>0</v>
      </c>
      <c r="F83" s="159">
        <v>0</v>
      </c>
      <c r="G83" s="118" t="e">
        <f>F83/E83*100</f>
        <v>#DIV/0!</v>
      </c>
    </row>
    <row r="84" spans="1:7" s="144" customFormat="1" ht="51.75" customHeight="1" hidden="1">
      <c r="A84" s="175"/>
      <c r="B84" s="176"/>
      <c r="C84" s="158" t="s">
        <v>684</v>
      </c>
      <c r="D84" s="116" t="s">
        <v>228</v>
      </c>
      <c r="E84" s="159">
        <v>0</v>
      </c>
      <c r="F84" s="159">
        <v>0</v>
      </c>
      <c r="G84" s="118" t="e">
        <f>F84/E84*100</f>
        <v>#DIV/0!</v>
      </c>
    </row>
    <row r="85" spans="1:7" s="144" customFormat="1" ht="54" customHeight="1" hidden="1">
      <c r="A85" s="175"/>
      <c r="B85" s="176"/>
      <c r="C85" s="158" t="s">
        <v>685</v>
      </c>
      <c r="D85" s="116" t="s">
        <v>229</v>
      </c>
      <c r="E85" s="159">
        <v>0</v>
      </c>
      <c r="F85" s="159">
        <v>0</v>
      </c>
      <c r="G85" s="118" t="e">
        <f>F85/E85*100</f>
        <v>#DIV/0!</v>
      </c>
    </row>
    <row r="86" spans="1:17" s="134" customFormat="1" ht="69" customHeight="1">
      <c r="A86" s="185" t="s">
        <v>368</v>
      </c>
      <c r="B86" s="168"/>
      <c r="C86" s="168"/>
      <c r="D86" s="187" t="s">
        <v>797</v>
      </c>
      <c r="E86" s="152">
        <f>SUM(E87,E92,E99,E111,E121)</f>
        <v>70033342</v>
      </c>
      <c r="F86" s="152">
        <f>SUM(F87,F92,F99,F111,F121)</f>
        <v>31523741.93</v>
      </c>
      <c r="G86" s="103">
        <f t="shared" si="4"/>
        <v>45.01247695704711</v>
      </c>
      <c r="M86" s="147"/>
      <c r="N86" s="147"/>
      <c r="O86" s="147"/>
      <c r="P86" s="147"/>
      <c r="Q86" s="147"/>
    </row>
    <row r="87" spans="1:17" ht="19.5" customHeight="1">
      <c r="A87" s="171"/>
      <c r="B87" s="172" t="s">
        <v>271</v>
      </c>
      <c r="C87" s="172"/>
      <c r="D87" s="173" t="s">
        <v>272</v>
      </c>
      <c r="E87" s="174">
        <f>E88+E89</f>
        <v>415000</v>
      </c>
      <c r="F87" s="174">
        <f>F88+F89</f>
        <v>126454.22</v>
      </c>
      <c r="G87" s="110">
        <f t="shared" si="4"/>
        <v>30.47089638554217</v>
      </c>
      <c r="M87" s="140"/>
      <c r="N87" s="140"/>
      <c r="O87" s="140"/>
      <c r="P87" s="140"/>
      <c r="Q87" s="140"/>
    </row>
    <row r="88" spans="1:17" s="144" customFormat="1" ht="29.25" customHeight="1">
      <c r="A88" s="175"/>
      <c r="B88" s="176"/>
      <c r="C88" s="176" t="s">
        <v>583</v>
      </c>
      <c r="D88" s="116" t="s">
        <v>538</v>
      </c>
      <c r="E88" s="159">
        <v>410000</v>
      </c>
      <c r="F88" s="143">
        <v>122203.78</v>
      </c>
      <c r="G88" s="118">
        <f t="shared" si="4"/>
        <v>29.805799999999998</v>
      </c>
      <c r="M88" s="145"/>
      <c r="N88" s="145"/>
      <c r="O88" s="145"/>
      <c r="P88" s="145"/>
      <c r="Q88" s="145"/>
    </row>
    <row r="89" spans="1:17" s="144" customFormat="1" ht="29.25" customHeight="1" thickBot="1">
      <c r="A89" s="736"/>
      <c r="B89" s="737"/>
      <c r="C89" s="739" t="s">
        <v>584</v>
      </c>
      <c r="D89" s="735" t="s">
        <v>531</v>
      </c>
      <c r="E89" s="738">
        <v>5000</v>
      </c>
      <c r="F89" s="231">
        <v>4250.44</v>
      </c>
      <c r="G89" s="418">
        <f t="shared" si="4"/>
        <v>85.0088</v>
      </c>
      <c r="M89" s="145"/>
      <c r="N89" s="145"/>
      <c r="O89" s="145"/>
      <c r="P89" s="145"/>
      <c r="Q89" s="145"/>
    </row>
    <row r="90" spans="1:7" s="160" customFormat="1" ht="54.75" customHeight="1" thickBot="1">
      <c r="A90" s="327"/>
      <c r="B90" s="327"/>
      <c r="C90" s="401"/>
      <c r="D90" s="252"/>
      <c r="E90" s="329"/>
      <c r="F90" s="400"/>
      <c r="G90" s="398"/>
    </row>
    <row r="91" spans="1:17" s="129" customFormat="1" ht="12" customHeight="1" thickBot="1">
      <c r="A91" s="1223">
        <v>1</v>
      </c>
      <c r="B91" s="1224">
        <v>2</v>
      </c>
      <c r="C91" s="1224">
        <v>3</v>
      </c>
      <c r="D91" s="1224">
        <v>4</v>
      </c>
      <c r="E91" s="1225">
        <v>5</v>
      </c>
      <c r="F91" s="1226">
        <v>6</v>
      </c>
      <c r="G91" s="1227">
        <v>7</v>
      </c>
      <c r="M91" s="130">
        <v>1</v>
      </c>
      <c r="N91" s="130">
        <v>2</v>
      </c>
      <c r="O91" s="130">
        <v>3</v>
      </c>
      <c r="P91" s="130">
        <v>4</v>
      </c>
      <c r="Q91" s="130">
        <v>5</v>
      </c>
    </row>
    <row r="92" spans="1:17" ht="57.75" customHeight="1">
      <c r="A92" s="171"/>
      <c r="B92" s="194" t="s">
        <v>415</v>
      </c>
      <c r="C92" s="172"/>
      <c r="D92" s="177" t="s">
        <v>794</v>
      </c>
      <c r="E92" s="174">
        <f>SUM(E93,E94,E95,E96,E97,E98)</f>
        <v>37638000</v>
      </c>
      <c r="F92" s="174">
        <f>SUM(F93,F94,F95,F96,F97,F98)</f>
        <v>15545942.72</v>
      </c>
      <c r="G92" s="110">
        <f>F92/E92*100</f>
        <v>41.30384908868697</v>
      </c>
      <c r="M92" s="140"/>
      <c r="N92" s="140"/>
      <c r="O92" s="140"/>
      <c r="P92" s="140"/>
      <c r="Q92" s="140"/>
    </row>
    <row r="93" spans="1:17" s="144" customFormat="1" ht="19.5" customHeight="1">
      <c r="A93" s="175"/>
      <c r="B93" s="176"/>
      <c r="C93" s="176" t="s">
        <v>585</v>
      </c>
      <c r="D93" s="178" t="s">
        <v>273</v>
      </c>
      <c r="E93" s="159">
        <v>33630000</v>
      </c>
      <c r="F93" s="159">
        <v>12874799.03</v>
      </c>
      <c r="G93" s="118">
        <f aca="true" t="shared" si="5" ref="G93:G187">F93/E93*100</f>
        <v>38.283672405590245</v>
      </c>
      <c r="M93" s="145"/>
      <c r="N93" s="145"/>
      <c r="O93" s="145"/>
      <c r="P93" s="145"/>
      <c r="Q93" s="145"/>
    </row>
    <row r="94" spans="1:17" s="144" customFormat="1" ht="19.5" customHeight="1">
      <c r="A94" s="175"/>
      <c r="B94" s="176"/>
      <c r="C94" s="176" t="s">
        <v>586</v>
      </c>
      <c r="D94" s="178" t="s">
        <v>274</v>
      </c>
      <c r="E94" s="159">
        <v>2000</v>
      </c>
      <c r="F94" s="159">
        <v>4551</v>
      </c>
      <c r="G94" s="118">
        <f t="shared" si="5"/>
        <v>227.55</v>
      </c>
      <c r="M94" s="145"/>
      <c r="N94" s="145"/>
      <c r="O94" s="145"/>
      <c r="P94" s="145"/>
      <c r="Q94" s="145"/>
    </row>
    <row r="95" spans="1:17" s="144" customFormat="1" ht="19.5" customHeight="1">
      <c r="A95" s="175"/>
      <c r="B95" s="176"/>
      <c r="C95" s="176" t="s">
        <v>587</v>
      </c>
      <c r="D95" s="178" t="s">
        <v>275</v>
      </c>
      <c r="E95" s="159">
        <v>46000</v>
      </c>
      <c r="F95" s="159">
        <v>30058</v>
      </c>
      <c r="G95" s="118">
        <f t="shared" si="5"/>
        <v>65.34347826086957</v>
      </c>
      <c r="M95" s="145"/>
      <c r="N95" s="145"/>
      <c r="O95" s="145"/>
      <c r="P95" s="145"/>
      <c r="Q95" s="145"/>
    </row>
    <row r="96" spans="1:17" s="144" customFormat="1" ht="19.5" customHeight="1">
      <c r="A96" s="175"/>
      <c r="B96" s="176"/>
      <c r="C96" s="176" t="s">
        <v>588</v>
      </c>
      <c r="D96" s="178" t="s">
        <v>276</v>
      </c>
      <c r="E96" s="159">
        <v>160000</v>
      </c>
      <c r="F96" s="159">
        <v>77396.88</v>
      </c>
      <c r="G96" s="118">
        <f t="shared" si="5"/>
        <v>48.37305</v>
      </c>
      <c r="M96" s="145"/>
      <c r="N96" s="145"/>
      <c r="O96" s="145"/>
      <c r="P96" s="145"/>
      <c r="Q96" s="145"/>
    </row>
    <row r="97" spans="1:17" s="144" customFormat="1" ht="19.5" customHeight="1">
      <c r="A97" s="175"/>
      <c r="B97" s="176"/>
      <c r="C97" s="176" t="s">
        <v>589</v>
      </c>
      <c r="D97" s="178" t="s">
        <v>277</v>
      </c>
      <c r="E97" s="159">
        <v>200000</v>
      </c>
      <c r="F97" s="159">
        <v>10176</v>
      </c>
      <c r="G97" s="118">
        <f t="shared" si="5"/>
        <v>5.088</v>
      </c>
      <c r="M97" s="145"/>
      <c r="N97" s="145"/>
      <c r="O97" s="145"/>
      <c r="P97" s="145"/>
      <c r="Q97" s="145"/>
    </row>
    <row r="98" spans="1:17" s="144" customFormat="1" ht="28.5" customHeight="1">
      <c r="A98" s="175"/>
      <c r="B98" s="176"/>
      <c r="C98" s="176" t="s">
        <v>584</v>
      </c>
      <c r="D98" s="116" t="s">
        <v>531</v>
      </c>
      <c r="E98" s="159">
        <v>3600000</v>
      </c>
      <c r="F98" s="159">
        <v>2548961.81</v>
      </c>
      <c r="G98" s="118">
        <f t="shared" si="5"/>
        <v>70.80449472222222</v>
      </c>
      <c r="M98" s="145"/>
      <c r="N98" s="145"/>
      <c r="O98" s="145"/>
      <c r="P98" s="145"/>
      <c r="Q98" s="145"/>
    </row>
    <row r="99" spans="1:17" ht="56.25" customHeight="1">
      <c r="A99" s="171"/>
      <c r="B99" s="172" t="s">
        <v>561</v>
      </c>
      <c r="C99" s="172"/>
      <c r="D99" s="177" t="s">
        <v>562</v>
      </c>
      <c r="E99" s="174">
        <f>SUM(E100,E101,E102,E103,E104,E108,E105,E106,E107,E109,E110)</f>
        <v>8138500</v>
      </c>
      <c r="F99" s="174">
        <f>SUM(F100,F101,F102,F103,F104,F108,F105,F106,F107,F109,F110)</f>
        <v>4555141.319999999</v>
      </c>
      <c r="G99" s="110">
        <f t="shared" si="5"/>
        <v>55.97028101001412</v>
      </c>
      <c r="M99" s="140"/>
      <c r="N99" s="140"/>
      <c r="O99" s="140"/>
      <c r="P99" s="140"/>
      <c r="Q99" s="140"/>
    </row>
    <row r="100" spans="1:17" s="144" customFormat="1" ht="21" customHeight="1">
      <c r="A100" s="175"/>
      <c r="B100" s="176"/>
      <c r="C100" s="176" t="s">
        <v>585</v>
      </c>
      <c r="D100" s="178" t="s">
        <v>273</v>
      </c>
      <c r="E100" s="159">
        <v>3200000</v>
      </c>
      <c r="F100" s="159">
        <v>2029711.36</v>
      </c>
      <c r="G100" s="118">
        <f t="shared" si="5"/>
        <v>63.42848</v>
      </c>
      <c r="M100" s="145"/>
      <c r="N100" s="145"/>
      <c r="O100" s="145"/>
      <c r="P100" s="145"/>
      <c r="Q100" s="145"/>
    </row>
    <row r="101" spans="1:17" s="144" customFormat="1" ht="21" customHeight="1">
      <c r="A101" s="175"/>
      <c r="B101" s="176"/>
      <c r="C101" s="176" t="s">
        <v>586</v>
      </c>
      <c r="D101" s="178" t="s">
        <v>274</v>
      </c>
      <c r="E101" s="159">
        <v>40000</v>
      </c>
      <c r="F101" s="159">
        <v>26934.62</v>
      </c>
      <c r="G101" s="118">
        <f t="shared" si="5"/>
        <v>67.33654999999999</v>
      </c>
      <c r="M101" s="145"/>
      <c r="N101" s="145"/>
      <c r="O101" s="145"/>
      <c r="P101" s="145"/>
      <c r="Q101" s="145"/>
    </row>
    <row r="102" spans="1:17" s="144" customFormat="1" ht="21" customHeight="1">
      <c r="A102" s="175"/>
      <c r="B102" s="176"/>
      <c r="C102" s="176" t="s">
        <v>587</v>
      </c>
      <c r="D102" s="178" t="s">
        <v>275</v>
      </c>
      <c r="E102" s="159">
        <v>500</v>
      </c>
      <c r="F102" s="159">
        <v>436.27</v>
      </c>
      <c r="G102" s="118">
        <f t="shared" si="5"/>
        <v>87.254</v>
      </c>
      <c r="M102" s="145"/>
      <c r="N102" s="145"/>
      <c r="O102" s="145"/>
      <c r="P102" s="145"/>
      <c r="Q102" s="145"/>
    </row>
    <row r="103" spans="1:17" s="144" customFormat="1" ht="21" customHeight="1">
      <c r="A103" s="175"/>
      <c r="B103" s="176"/>
      <c r="C103" s="176" t="s">
        <v>588</v>
      </c>
      <c r="D103" s="178" t="s">
        <v>276</v>
      </c>
      <c r="E103" s="159">
        <v>75000</v>
      </c>
      <c r="F103" s="159">
        <v>39169.2</v>
      </c>
      <c r="G103" s="118">
        <f t="shared" si="5"/>
        <v>52.22559999999999</v>
      </c>
      <c r="M103" s="145"/>
      <c r="N103" s="145"/>
      <c r="O103" s="145"/>
      <c r="P103" s="145"/>
      <c r="Q103" s="145"/>
    </row>
    <row r="104" spans="1:17" s="144" customFormat="1" ht="21" customHeight="1">
      <c r="A104" s="175"/>
      <c r="B104" s="176"/>
      <c r="C104" s="176" t="s">
        <v>590</v>
      </c>
      <c r="D104" s="178" t="s">
        <v>278</v>
      </c>
      <c r="E104" s="159">
        <v>320000</v>
      </c>
      <c r="F104" s="143">
        <v>175642.8</v>
      </c>
      <c r="G104" s="118">
        <f t="shared" si="5"/>
        <v>54.888375</v>
      </c>
      <c r="M104" s="145"/>
      <c r="N104" s="145"/>
      <c r="O104" s="145"/>
      <c r="P104" s="145"/>
      <c r="Q104" s="145"/>
    </row>
    <row r="105" spans="1:17" s="144" customFormat="1" ht="28.5" customHeight="1">
      <c r="A105" s="175"/>
      <c r="B105" s="176"/>
      <c r="C105" s="176" t="s">
        <v>3</v>
      </c>
      <c r="D105" s="116" t="s">
        <v>536</v>
      </c>
      <c r="E105" s="159">
        <v>1800000</v>
      </c>
      <c r="F105" s="159">
        <v>622407.42</v>
      </c>
      <c r="G105" s="118">
        <f t="shared" si="5"/>
        <v>34.578190000000006</v>
      </c>
      <c r="M105" s="145"/>
      <c r="N105" s="145"/>
      <c r="O105" s="145"/>
      <c r="P105" s="145"/>
      <c r="Q105" s="145"/>
    </row>
    <row r="106" spans="1:17" s="144" customFormat="1" ht="21" customHeight="1">
      <c r="A106" s="175"/>
      <c r="B106" s="176"/>
      <c r="C106" s="176" t="s">
        <v>592</v>
      </c>
      <c r="D106" s="178" t="s">
        <v>279</v>
      </c>
      <c r="E106" s="159">
        <v>650000</v>
      </c>
      <c r="F106" s="159">
        <v>234897.5</v>
      </c>
      <c r="G106" s="118">
        <f t="shared" si="5"/>
        <v>36.13807692307692</v>
      </c>
      <c r="M106" s="145"/>
      <c r="N106" s="145"/>
      <c r="O106" s="145"/>
      <c r="P106" s="145"/>
      <c r="Q106" s="145"/>
    </row>
    <row r="107" spans="1:17" s="144" customFormat="1" ht="21" customHeight="1">
      <c r="A107" s="175"/>
      <c r="B107" s="176"/>
      <c r="C107" s="176" t="s">
        <v>589</v>
      </c>
      <c r="D107" s="178" t="s">
        <v>277</v>
      </c>
      <c r="E107" s="159">
        <v>2000000</v>
      </c>
      <c r="F107" s="143">
        <v>1386691.69</v>
      </c>
      <c r="G107" s="118">
        <f t="shared" si="5"/>
        <v>69.33458449999999</v>
      </c>
      <c r="M107" s="145"/>
      <c r="N107" s="145"/>
      <c r="O107" s="145"/>
      <c r="P107" s="145"/>
      <c r="Q107" s="145"/>
    </row>
    <row r="108" spans="1:17" s="144" customFormat="1" ht="21" customHeight="1">
      <c r="A108" s="175"/>
      <c r="B108" s="176"/>
      <c r="C108" s="192" t="s">
        <v>1105</v>
      </c>
      <c r="D108" s="195" t="s">
        <v>1106</v>
      </c>
      <c r="E108" s="159">
        <v>0</v>
      </c>
      <c r="F108" s="159">
        <v>450.9</v>
      </c>
      <c r="G108" s="118" t="s">
        <v>312</v>
      </c>
      <c r="H108" s="310"/>
      <c r="M108" s="145"/>
      <c r="N108" s="145"/>
      <c r="O108" s="145"/>
      <c r="P108" s="145"/>
      <c r="Q108" s="145"/>
    </row>
    <row r="109" spans="1:17" s="144" customFormat="1" ht="27.75" customHeight="1" hidden="1">
      <c r="A109" s="175"/>
      <c r="B109" s="176"/>
      <c r="C109" s="176" t="s">
        <v>257</v>
      </c>
      <c r="D109" s="116" t="s">
        <v>1033</v>
      </c>
      <c r="E109" s="159">
        <v>0</v>
      </c>
      <c r="F109" s="143">
        <v>0</v>
      </c>
      <c r="G109" s="118" t="s">
        <v>312</v>
      </c>
      <c r="M109" s="145"/>
      <c r="N109" s="145"/>
      <c r="O109" s="145"/>
      <c r="P109" s="145"/>
      <c r="Q109" s="145"/>
    </row>
    <row r="110" spans="1:17" s="144" customFormat="1" ht="28.5" customHeight="1">
      <c r="A110" s="175"/>
      <c r="B110" s="176"/>
      <c r="C110" s="176" t="s">
        <v>584</v>
      </c>
      <c r="D110" s="116" t="s">
        <v>531</v>
      </c>
      <c r="E110" s="159">
        <v>53000</v>
      </c>
      <c r="F110" s="159">
        <v>38799.56</v>
      </c>
      <c r="G110" s="118">
        <f t="shared" si="5"/>
        <v>73.20671698113208</v>
      </c>
      <c r="M110" s="145"/>
      <c r="N110" s="145"/>
      <c r="O110" s="145"/>
      <c r="P110" s="145"/>
      <c r="Q110" s="145"/>
    </row>
    <row r="111" spans="1:17" ht="41.25" customHeight="1">
      <c r="A111" s="171"/>
      <c r="B111" s="172" t="s">
        <v>280</v>
      </c>
      <c r="C111" s="172"/>
      <c r="D111" s="177" t="s">
        <v>391</v>
      </c>
      <c r="E111" s="174">
        <f>SUM(E112,E113,E114,E115,E116,E117,E118)</f>
        <v>1795000</v>
      </c>
      <c r="F111" s="174">
        <f>SUM(F112,F113,F114,F115,F116,F117,F118)</f>
        <v>1297139.4</v>
      </c>
      <c r="G111" s="110">
        <f t="shared" si="5"/>
        <v>72.26403342618384</v>
      </c>
      <c r="M111" s="140"/>
      <c r="N111" s="140"/>
      <c r="O111" s="140"/>
      <c r="P111" s="140"/>
      <c r="Q111" s="140"/>
    </row>
    <row r="112" spans="1:17" s="144" customFormat="1" ht="19.5" customHeight="1">
      <c r="A112" s="175"/>
      <c r="B112" s="176"/>
      <c r="C112" s="176" t="s">
        <v>593</v>
      </c>
      <c r="D112" s="178" t="s">
        <v>290</v>
      </c>
      <c r="E112" s="159">
        <v>500000</v>
      </c>
      <c r="F112" s="159">
        <v>282622.3</v>
      </c>
      <c r="G112" s="118">
        <f t="shared" si="5"/>
        <v>56.52446</v>
      </c>
      <c r="M112" s="145"/>
      <c r="N112" s="145"/>
      <c r="O112" s="145"/>
      <c r="P112" s="145"/>
      <c r="Q112" s="145"/>
    </row>
    <row r="113" spans="1:17" s="144" customFormat="1" ht="19.5" customHeight="1">
      <c r="A113" s="175"/>
      <c r="B113" s="176"/>
      <c r="C113" s="176" t="s">
        <v>595</v>
      </c>
      <c r="D113" s="178" t="s">
        <v>389</v>
      </c>
      <c r="E113" s="159">
        <v>5000</v>
      </c>
      <c r="F113" s="159">
        <v>2229.63</v>
      </c>
      <c r="G113" s="118">
        <f>F113/E113*100</f>
        <v>44.592600000000004</v>
      </c>
      <c r="M113" s="145"/>
      <c r="N113" s="145"/>
      <c r="O113" s="145"/>
      <c r="P113" s="145"/>
      <c r="Q113" s="145"/>
    </row>
    <row r="114" spans="1:17" s="144" customFormat="1" ht="27" customHeight="1">
      <c r="A114" s="175"/>
      <c r="B114" s="176"/>
      <c r="C114" s="176" t="s">
        <v>596</v>
      </c>
      <c r="D114" s="116" t="s">
        <v>310</v>
      </c>
      <c r="E114" s="159">
        <v>1200000</v>
      </c>
      <c r="F114" s="159">
        <v>962051.03</v>
      </c>
      <c r="G114" s="118">
        <f>F114/E114*100</f>
        <v>80.17091916666666</v>
      </c>
      <c r="M114" s="145"/>
      <c r="N114" s="145"/>
      <c r="O114" s="145"/>
      <c r="P114" s="145"/>
      <c r="Q114" s="145"/>
    </row>
    <row r="115" spans="1:17" s="144" customFormat="1" ht="41.25" customHeight="1">
      <c r="A115" s="175"/>
      <c r="B115" s="176"/>
      <c r="C115" s="176" t="s">
        <v>580</v>
      </c>
      <c r="D115" s="116" t="s">
        <v>422</v>
      </c>
      <c r="E115" s="159">
        <v>70000</v>
      </c>
      <c r="F115" s="159">
        <v>42176.51</v>
      </c>
      <c r="G115" s="118">
        <f>F115/E115*100</f>
        <v>60.25215714285714</v>
      </c>
      <c r="M115" s="145"/>
      <c r="N115" s="145"/>
      <c r="O115" s="145"/>
      <c r="P115" s="145"/>
      <c r="Q115" s="145"/>
    </row>
    <row r="116" spans="1:17" s="144" customFormat="1" ht="19.5" customHeight="1">
      <c r="A116" s="175"/>
      <c r="B116" s="176"/>
      <c r="C116" s="158" t="s">
        <v>597</v>
      </c>
      <c r="D116" s="116" t="s">
        <v>384</v>
      </c>
      <c r="E116" s="159">
        <v>20000</v>
      </c>
      <c r="F116" s="159">
        <v>7493.73</v>
      </c>
      <c r="G116" s="118">
        <f>F116/E116*100</f>
        <v>37.46865</v>
      </c>
      <c r="M116" s="145"/>
      <c r="N116" s="145"/>
      <c r="O116" s="145"/>
      <c r="P116" s="145"/>
      <c r="Q116" s="145"/>
    </row>
    <row r="117" spans="1:17" s="144" customFormat="1" ht="27.75" customHeight="1" thickBot="1">
      <c r="A117" s="736"/>
      <c r="B117" s="737"/>
      <c r="C117" s="739" t="s">
        <v>584</v>
      </c>
      <c r="D117" s="735" t="s">
        <v>531</v>
      </c>
      <c r="E117" s="738">
        <v>0</v>
      </c>
      <c r="F117" s="738">
        <v>566.2</v>
      </c>
      <c r="G117" s="232" t="s">
        <v>312</v>
      </c>
      <c r="M117" s="145"/>
      <c r="N117" s="145"/>
      <c r="O117" s="145"/>
      <c r="P117" s="145"/>
      <c r="Q117" s="145"/>
    </row>
    <row r="118" spans="1:17" s="144" customFormat="1" ht="19.5" customHeight="1" hidden="1">
      <c r="A118" s="175"/>
      <c r="B118" s="176"/>
      <c r="C118" s="158" t="s">
        <v>571</v>
      </c>
      <c r="D118" s="116" t="s">
        <v>263</v>
      </c>
      <c r="E118" s="159">
        <v>0</v>
      </c>
      <c r="F118" s="159">
        <v>0</v>
      </c>
      <c r="G118" s="110" t="s">
        <v>312</v>
      </c>
      <c r="M118" s="145"/>
      <c r="N118" s="145"/>
      <c r="O118" s="145"/>
      <c r="P118" s="145"/>
      <c r="Q118" s="145"/>
    </row>
    <row r="119" spans="1:7" s="160" customFormat="1" ht="42.75" customHeight="1" thickBot="1">
      <c r="A119" s="327"/>
      <c r="B119" s="327"/>
      <c r="C119" s="401"/>
      <c r="D119" s="252"/>
      <c r="E119" s="329"/>
      <c r="F119" s="329"/>
      <c r="G119" s="399"/>
    </row>
    <row r="120" spans="1:17" s="129" customFormat="1" ht="12" customHeight="1" thickBot="1">
      <c r="A120" s="1223">
        <v>1</v>
      </c>
      <c r="B120" s="1224">
        <v>2</v>
      </c>
      <c r="C120" s="1224">
        <v>3</v>
      </c>
      <c r="D120" s="1224">
        <v>4</v>
      </c>
      <c r="E120" s="1225">
        <v>5</v>
      </c>
      <c r="F120" s="1226">
        <v>6</v>
      </c>
      <c r="G120" s="1227">
        <v>7</v>
      </c>
      <c r="M120" s="130">
        <v>1</v>
      </c>
      <c r="N120" s="130">
        <v>2</v>
      </c>
      <c r="O120" s="130">
        <v>3</v>
      </c>
      <c r="P120" s="130">
        <v>4</v>
      </c>
      <c r="Q120" s="130">
        <v>5</v>
      </c>
    </row>
    <row r="121" spans="1:17" ht="30" customHeight="1">
      <c r="A121" s="171"/>
      <c r="B121" s="172" t="s">
        <v>291</v>
      </c>
      <c r="C121" s="172"/>
      <c r="D121" s="177" t="s">
        <v>292</v>
      </c>
      <c r="E121" s="174">
        <f>E122+E123</f>
        <v>22046842</v>
      </c>
      <c r="F121" s="174">
        <f>F122+F123</f>
        <v>9999064.27</v>
      </c>
      <c r="G121" s="110">
        <f t="shared" si="5"/>
        <v>45.353725807986464</v>
      </c>
      <c r="M121" s="140"/>
      <c r="N121" s="140"/>
      <c r="O121" s="140"/>
      <c r="P121" s="140"/>
      <c r="Q121" s="140"/>
    </row>
    <row r="122" spans="1:17" s="144" customFormat="1" ht="19.5" customHeight="1">
      <c r="A122" s="175"/>
      <c r="B122" s="176"/>
      <c r="C122" s="176" t="s">
        <v>598</v>
      </c>
      <c r="D122" s="178" t="s">
        <v>308</v>
      </c>
      <c r="E122" s="159">
        <v>20646842</v>
      </c>
      <c r="F122" s="143">
        <v>9594890</v>
      </c>
      <c r="G122" s="118">
        <f t="shared" si="5"/>
        <v>46.47146522456073</v>
      </c>
      <c r="M122" s="145"/>
      <c r="N122" s="145"/>
      <c r="O122" s="145"/>
      <c r="P122" s="145"/>
      <c r="Q122" s="145"/>
    </row>
    <row r="123" spans="1:17" s="144" customFormat="1" ht="19.5" customHeight="1">
      <c r="A123" s="175"/>
      <c r="B123" s="176"/>
      <c r="C123" s="176" t="s">
        <v>599</v>
      </c>
      <c r="D123" s="178" t="s">
        <v>313</v>
      </c>
      <c r="E123" s="159">
        <v>1400000</v>
      </c>
      <c r="F123" s="143">
        <v>404174.27</v>
      </c>
      <c r="G123" s="118">
        <f t="shared" si="5"/>
        <v>28.869590714285714</v>
      </c>
      <c r="M123" s="145"/>
      <c r="N123" s="145"/>
      <c r="O123" s="145"/>
      <c r="P123" s="145"/>
      <c r="Q123" s="145"/>
    </row>
    <row r="124" spans="1:17" s="134" customFormat="1" ht="19.5" customHeight="1">
      <c r="A124" s="167" t="s">
        <v>122</v>
      </c>
      <c r="B124" s="168"/>
      <c r="C124" s="168"/>
      <c r="D124" s="170" t="s">
        <v>123</v>
      </c>
      <c r="E124" s="152">
        <f>SUM(E125,E127)</f>
        <v>15396135</v>
      </c>
      <c r="F124" s="152">
        <f>SUM(F125,F127)</f>
        <v>8708379.59</v>
      </c>
      <c r="G124" s="103">
        <f t="shared" si="5"/>
        <v>56.562115037312935</v>
      </c>
      <c r="M124" s="147"/>
      <c r="N124" s="147"/>
      <c r="O124" s="147"/>
      <c r="P124" s="147"/>
      <c r="Q124" s="147"/>
    </row>
    <row r="125" spans="1:17" ht="30.75" customHeight="1">
      <c r="A125" s="171"/>
      <c r="B125" s="172" t="s">
        <v>315</v>
      </c>
      <c r="C125" s="172"/>
      <c r="D125" s="177" t="s">
        <v>318</v>
      </c>
      <c r="E125" s="174">
        <f>E126</f>
        <v>13400135</v>
      </c>
      <c r="F125" s="174">
        <f>F126</f>
        <v>8246240</v>
      </c>
      <c r="G125" s="110">
        <f t="shared" si="5"/>
        <v>61.53848450034272</v>
      </c>
      <c r="M125" s="140"/>
      <c r="N125" s="140"/>
      <c r="O125" s="140"/>
      <c r="P125" s="140"/>
      <c r="Q125" s="140"/>
    </row>
    <row r="126" spans="1:17" s="134" customFormat="1" ht="19.5" customHeight="1">
      <c r="A126" s="167"/>
      <c r="B126" s="168"/>
      <c r="C126" s="176" t="s">
        <v>600</v>
      </c>
      <c r="D126" s="116" t="s">
        <v>386</v>
      </c>
      <c r="E126" s="159">
        <v>13400135</v>
      </c>
      <c r="F126" s="159">
        <v>8246240</v>
      </c>
      <c r="G126" s="118">
        <f t="shared" si="5"/>
        <v>61.53848450034272</v>
      </c>
      <c r="M126" s="147"/>
      <c r="N126" s="147"/>
      <c r="O126" s="147"/>
      <c r="P126" s="147"/>
      <c r="Q126" s="147"/>
    </row>
    <row r="127" spans="1:17" ht="19.5" customHeight="1">
      <c r="A127" s="171"/>
      <c r="B127" s="172" t="s">
        <v>321</v>
      </c>
      <c r="C127" s="172"/>
      <c r="D127" s="173" t="s">
        <v>322</v>
      </c>
      <c r="E127" s="174">
        <f>SUM(E128,E129,E130,E131,E132)</f>
        <v>1996000</v>
      </c>
      <c r="F127" s="174">
        <f>SUM(F128,F129,F130,F131,F132)</f>
        <v>462139.59</v>
      </c>
      <c r="G127" s="110">
        <f t="shared" si="5"/>
        <v>23.15328607214429</v>
      </c>
      <c r="M127" s="140"/>
      <c r="N127" s="140"/>
      <c r="O127" s="140"/>
      <c r="P127" s="140"/>
      <c r="Q127" s="140"/>
    </row>
    <row r="128" spans="1:17" s="144" customFormat="1" ht="30" customHeight="1" hidden="1">
      <c r="A128" s="175"/>
      <c r="B128" s="176"/>
      <c r="C128" s="176" t="s">
        <v>1250</v>
      </c>
      <c r="D128" s="116" t="s">
        <v>1249</v>
      </c>
      <c r="E128" s="159">
        <v>0</v>
      </c>
      <c r="F128" s="159">
        <v>0</v>
      </c>
      <c r="G128" s="118" t="e">
        <f t="shared" si="5"/>
        <v>#DIV/0!</v>
      </c>
      <c r="M128" s="145"/>
      <c r="N128" s="145"/>
      <c r="O128" s="145"/>
      <c r="P128" s="145"/>
      <c r="Q128" s="145"/>
    </row>
    <row r="129" spans="1:17" s="144" customFormat="1" ht="18.75" customHeight="1">
      <c r="A129" s="175"/>
      <c r="B129" s="176"/>
      <c r="C129" s="176" t="s">
        <v>574</v>
      </c>
      <c r="D129" s="116" t="s">
        <v>259</v>
      </c>
      <c r="E129" s="159">
        <v>0</v>
      </c>
      <c r="F129" s="159">
        <v>1339.01</v>
      </c>
      <c r="G129" s="118" t="s">
        <v>312</v>
      </c>
      <c r="M129" s="145"/>
      <c r="N129" s="145"/>
      <c r="O129" s="145"/>
      <c r="P129" s="145"/>
      <c r="Q129" s="145"/>
    </row>
    <row r="130" spans="1:17" s="144" customFormat="1" ht="18.75" customHeight="1">
      <c r="A130" s="175"/>
      <c r="B130" s="176"/>
      <c r="C130" s="176" t="s">
        <v>571</v>
      </c>
      <c r="D130" s="178" t="s">
        <v>323</v>
      </c>
      <c r="E130" s="159">
        <v>300000</v>
      </c>
      <c r="F130" s="159">
        <v>459299</v>
      </c>
      <c r="G130" s="118">
        <f t="shared" si="5"/>
        <v>153.09966666666665</v>
      </c>
      <c r="M130" s="145"/>
      <c r="N130" s="145"/>
      <c r="O130" s="145"/>
      <c r="P130" s="145"/>
      <c r="Q130" s="145"/>
    </row>
    <row r="131" spans="1:17" s="144" customFormat="1" ht="21" customHeight="1">
      <c r="A131" s="175"/>
      <c r="B131" s="176"/>
      <c r="C131" s="158" t="s">
        <v>572</v>
      </c>
      <c r="D131" s="116" t="s">
        <v>262</v>
      </c>
      <c r="E131" s="159">
        <v>0</v>
      </c>
      <c r="F131" s="159">
        <v>1501.58</v>
      </c>
      <c r="G131" s="118" t="s">
        <v>312</v>
      </c>
      <c r="M131" s="145"/>
      <c r="N131" s="145"/>
      <c r="O131" s="145"/>
      <c r="P131" s="145"/>
      <c r="Q131" s="145"/>
    </row>
    <row r="132" spans="1:17" s="144" customFormat="1" ht="44.25" customHeight="1">
      <c r="A132" s="175"/>
      <c r="B132" s="176"/>
      <c r="C132" s="158" t="s">
        <v>604</v>
      </c>
      <c r="D132" s="116" t="s">
        <v>388</v>
      </c>
      <c r="E132" s="159">
        <v>1696000</v>
      </c>
      <c r="F132" s="159">
        <v>0</v>
      </c>
      <c r="G132" s="118">
        <f t="shared" si="5"/>
        <v>0</v>
      </c>
      <c r="M132" s="160"/>
      <c r="N132" s="160"/>
      <c r="O132" s="160"/>
      <c r="P132" s="160"/>
      <c r="Q132" s="160"/>
    </row>
    <row r="133" spans="1:17" s="134" customFormat="1" ht="18.75" customHeight="1">
      <c r="A133" s="167" t="s">
        <v>124</v>
      </c>
      <c r="B133" s="168"/>
      <c r="C133" s="168"/>
      <c r="D133" s="170" t="s">
        <v>125</v>
      </c>
      <c r="E133" s="152">
        <f>SUM(E134,E136,E139,E142)</f>
        <v>192302</v>
      </c>
      <c r="F133" s="152">
        <f>SUM(F134,F136,F139,F142)</f>
        <v>162822.28</v>
      </c>
      <c r="G133" s="103">
        <f>F133/E133*100</f>
        <v>84.6700918347183</v>
      </c>
      <c r="M133" s="198"/>
      <c r="N133" s="198"/>
      <c r="O133" s="198"/>
      <c r="P133" s="198"/>
      <c r="Q133" s="198"/>
    </row>
    <row r="134" spans="1:17" ht="18.75" customHeight="1">
      <c r="A134" s="171"/>
      <c r="B134" s="172" t="s">
        <v>126</v>
      </c>
      <c r="C134" s="172"/>
      <c r="D134" s="173" t="s">
        <v>127</v>
      </c>
      <c r="E134" s="174">
        <f>SUM(E135)</f>
        <v>46060</v>
      </c>
      <c r="F134" s="174">
        <f>SUM(F135)</f>
        <v>34544</v>
      </c>
      <c r="G134" s="110">
        <f>F134/E134*100</f>
        <v>74.99782891880157</v>
      </c>
      <c r="M134" s="196"/>
      <c r="N134" s="196"/>
      <c r="O134" s="196"/>
      <c r="P134" s="196"/>
      <c r="Q134" s="196"/>
    </row>
    <row r="135" spans="1:7" s="144" customFormat="1" ht="47.25" customHeight="1">
      <c r="A135" s="175"/>
      <c r="B135" s="176"/>
      <c r="C135" s="158" t="s">
        <v>604</v>
      </c>
      <c r="D135" s="116" t="s">
        <v>388</v>
      </c>
      <c r="E135" s="159">
        <v>46060</v>
      </c>
      <c r="F135" s="159">
        <v>34544</v>
      </c>
      <c r="G135" s="191">
        <f>F135/E135*100</f>
        <v>74.99782891880157</v>
      </c>
    </row>
    <row r="136" spans="1:7" ht="20.25" customHeight="1">
      <c r="A136" s="171"/>
      <c r="B136" s="172" t="s">
        <v>868</v>
      </c>
      <c r="C136" s="194"/>
      <c r="D136" s="177" t="s">
        <v>869</v>
      </c>
      <c r="E136" s="174">
        <f>SUM(E137,E138)</f>
        <v>0</v>
      </c>
      <c r="F136" s="174">
        <f>SUM(F137,F138)</f>
        <v>7200</v>
      </c>
      <c r="G136" s="190" t="s">
        <v>312</v>
      </c>
    </row>
    <row r="137" spans="1:7" s="144" customFormat="1" ht="29.25" customHeight="1">
      <c r="A137" s="175"/>
      <c r="B137" s="176"/>
      <c r="C137" s="158" t="s">
        <v>573</v>
      </c>
      <c r="D137" s="116" t="s">
        <v>1251</v>
      </c>
      <c r="E137" s="159">
        <v>0</v>
      </c>
      <c r="F137" s="159">
        <v>4200</v>
      </c>
      <c r="G137" s="191" t="s">
        <v>312</v>
      </c>
    </row>
    <row r="138" spans="1:7" s="144" customFormat="1" ht="39.75" customHeight="1">
      <c r="A138" s="175"/>
      <c r="B138" s="176"/>
      <c r="C138" s="158" t="s">
        <v>438</v>
      </c>
      <c r="D138" s="116" t="s">
        <v>439</v>
      </c>
      <c r="E138" s="159">
        <v>0</v>
      </c>
      <c r="F138" s="159">
        <v>3000</v>
      </c>
      <c r="G138" s="191" t="s">
        <v>312</v>
      </c>
    </row>
    <row r="139" spans="1:7" s="144" customFormat="1" ht="16.5" customHeight="1">
      <c r="A139" s="171"/>
      <c r="B139" s="172" t="s">
        <v>128</v>
      </c>
      <c r="C139" s="194"/>
      <c r="D139" s="177" t="s">
        <v>129</v>
      </c>
      <c r="E139" s="174">
        <f>SUM(E140,E141)</f>
        <v>0</v>
      </c>
      <c r="F139" s="174">
        <f>SUM(F140,F141)</f>
        <v>436.28</v>
      </c>
      <c r="G139" s="190" t="s">
        <v>312</v>
      </c>
    </row>
    <row r="140" spans="1:7" s="144" customFormat="1" ht="16.5" customHeight="1">
      <c r="A140" s="175"/>
      <c r="B140" s="176"/>
      <c r="C140" s="158" t="s">
        <v>572</v>
      </c>
      <c r="D140" s="116" t="s">
        <v>262</v>
      </c>
      <c r="E140" s="159">
        <v>0</v>
      </c>
      <c r="F140" s="159">
        <v>436.28</v>
      </c>
      <c r="G140" s="191" t="s">
        <v>312</v>
      </c>
    </row>
    <row r="141" spans="1:7" s="144" customFormat="1" ht="82.5" customHeight="1" hidden="1">
      <c r="A141" s="175"/>
      <c r="B141" s="176"/>
      <c r="C141" s="176" t="s">
        <v>50</v>
      </c>
      <c r="D141" s="116" t="s">
        <v>66</v>
      </c>
      <c r="E141" s="159">
        <v>0</v>
      </c>
      <c r="F141" s="159">
        <v>0</v>
      </c>
      <c r="G141" s="191" t="s">
        <v>312</v>
      </c>
    </row>
    <row r="142" spans="1:7" s="144" customFormat="1" ht="17.25" customHeight="1">
      <c r="A142" s="171"/>
      <c r="B142" s="172" t="s">
        <v>910</v>
      </c>
      <c r="C142" s="194"/>
      <c r="D142" s="177" t="s">
        <v>74</v>
      </c>
      <c r="E142" s="174">
        <f>SUM(E143,E144,E145,E146)</f>
        <v>146242</v>
      </c>
      <c r="F142" s="174">
        <f>SUM(F143,F144,F145,F146)</f>
        <v>120642</v>
      </c>
      <c r="G142" s="190">
        <f>F142/E142*100</f>
        <v>82.49476894462603</v>
      </c>
    </row>
    <row r="143" spans="1:7" s="144" customFormat="1" ht="56.25" customHeight="1" hidden="1">
      <c r="A143" s="175"/>
      <c r="B143" s="176"/>
      <c r="C143" s="158" t="s">
        <v>619</v>
      </c>
      <c r="D143" s="116" t="s">
        <v>382</v>
      </c>
      <c r="E143" s="159">
        <v>0</v>
      </c>
      <c r="F143" s="159">
        <v>0</v>
      </c>
      <c r="G143" s="191" t="e">
        <f>F143/E143*100</f>
        <v>#DIV/0!</v>
      </c>
    </row>
    <row r="144" spans="1:7" s="144" customFormat="1" ht="58.5" customHeight="1">
      <c r="A144" s="175"/>
      <c r="B144" s="176"/>
      <c r="C144" s="158" t="s">
        <v>603</v>
      </c>
      <c r="D144" s="116" t="s">
        <v>396</v>
      </c>
      <c r="E144" s="159">
        <v>370</v>
      </c>
      <c r="F144" s="159">
        <v>370</v>
      </c>
      <c r="G144" s="191">
        <f>F144/E144*100</f>
        <v>100</v>
      </c>
    </row>
    <row r="145" spans="1:7" s="144" customFormat="1" ht="44.25" customHeight="1">
      <c r="A145" s="175"/>
      <c r="B145" s="176"/>
      <c r="C145" s="158" t="s">
        <v>604</v>
      </c>
      <c r="D145" s="116" t="s">
        <v>388</v>
      </c>
      <c r="E145" s="159">
        <v>145872</v>
      </c>
      <c r="F145" s="159">
        <v>120272</v>
      </c>
      <c r="G145" s="191">
        <f>F145/E145*100</f>
        <v>82.45036744543161</v>
      </c>
    </row>
    <row r="146" spans="1:7" s="144" customFormat="1" ht="44.25" customHeight="1" hidden="1">
      <c r="A146" s="175"/>
      <c r="B146" s="176"/>
      <c r="C146" s="158" t="s">
        <v>601</v>
      </c>
      <c r="D146" s="116" t="s">
        <v>413</v>
      </c>
      <c r="E146" s="159">
        <v>0</v>
      </c>
      <c r="F146" s="159">
        <v>0</v>
      </c>
      <c r="G146" s="191" t="e">
        <f>F146/E146*100</f>
        <v>#DIV/0!</v>
      </c>
    </row>
    <row r="147" spans="1:7" ht="19.5" customHeight="1">
      <c r="A147" s="167" t="s">
        <v>133</v>
      </c>
      <c r="B147" s="168"/>
      <c r="C147" s="169"/>
      <c r="D147" s="170" t="s">
        <v>134</v>
      </c>
      <c r="E147" s="152">
        <f>SUM(E148,E150,E152,E154)</f>
        <v>3000</v>
      </c>
      <c r="F147" s="152">
        <f>SUM(F148,F150,F152,F154)</f>
        <v>3040.01</v>
      </c>
      <c r="G147" s="103">
        <f t="shared" si="5"/>
        <v>101.33366666666667</v>
      </c>
    </row>
    <row r="148" spans="1:7" ht="18" customHeight="1" hidden="1">
      <c r="A148" s="171"/>
      <c r="B148" s="179" t="s">
        <v>915</v>
      </c>
      <c r="C148" s="179"/>
      <c r="D148" s="200" t="s">
        <v>829</v>
      </c>
      <c r="E148" s="181">
        <f>SUM(E149)</f>
        <v>0</v>
      </c>
      <c r="F148" s="181">
        <f>SUM(F149)</f>
        <v>0</v>
      </c>
      <c r="G148" s="110" t="s">
        <v>312</v>
      </c>
    </row>
    <row r="149" spans="1:7" ht="20.25" customHeight="1" hidden="1">
      <c r="A149" s="175"/>
      <c r="B149" s="192"/>
      <c r="C149" s="192" t="s">
        <v>572</v>
      </c>
      <c r="D149" s="178" t="s">
        <v>262</v>
      </c>
      <c r="E149" s="193">
        <v>0</v>
      </c>
      <c r="F149" s="193">
        <v>0</v>
      </c>
      <c r="G149" s="118" t="s">
        <v>312</v>
      </c>
    </row>
    <row r="150" spans="1:7" ht="19.5" customHeight="1">
      <c r="A150" s="171"/>
      <c r="B150" s="179" t="s">
        <v>919</v>
      </c>
      <c r="C150" s="199"/>
      <c r="D150" s="180" t="s">
        <v>920</v>
      </c>
      <c r="E150" s="181">
        <f>SUM(E151)</f>
        <v>0</v>
      </c>
      <c r="F150" s="181">
        <f>SUM(F151)</f>
        <v>40.01</v>
      </c>
      <c r="G150" s="110" t="s">
        <v>312</v>
      </c>
    </row>
    <row r="151" spans="1:7" ht="19.5" customHeight="1">
      <c r="A151" s="171"/>
      <c r="B151" s="179"/>
      <c r="C151" s="176" t="s">
        <v>572</v>
      </c>
      <c r="D151" s="178" t="s">
        <v>262</v>
      </c>
      <c r="E151" s="193">
        <v>0</v>
      </c>
      <c r="F151" s="193">
        <v>40.01</v>
      </c>
      <c r="G151" s="110" t="s">
        <v>312</v>
      </c>
    </row>
    <row r="152" spans="1:7" ht="19.5" customHeight="1" hidden="1">
      <c r="A152" s="171"/>
      <c r="B152" s="179" t="s">
        <v>135</v>
      </c>
      <c r="C152" s="199"/>
      <c r="D152" s="180" t="s">
        <v>136</v>
      </c>
      <c r="E152" s="181">
        <f>SUM(E153)</f>
        <v>0</v>
      </c>
      <c r="F152" s="181">
        <f>SUM(F153)</f>
        <v>0</v>
      </c>
      <c r="G152" s="110" t="s">
        <v>312</v>
      </c>
    </row>
    <row r="153" spans="1:7" ht="19.5" customHeight="1" hidden="1">
      <c r="A153" s="171"/>
      <c r="B153" s="179"/>
      <c r="C153" s="176" t="s">
        <v>572</v>
      </c>
      <c r="D153" s="178" t="s">
        <v>262</v>
      </c>
      <c r="E153" s="193">
        <v>0</v>
      </c>
      <c r="F153" s="193">
        <v>0</v>
      </c>
      <c r="G153" s="110" t="s">
        <v>312</v>
      </c>
    </row>
    <row r="154" spans="1:7" ht="19.5" customHeight="1" thickBot="1">
      <c r="A154" s="740"/>
      <c r="B154" s="741" t="s">
        <v>921</v>
      </c>
      <c r="C154" s="742"/>
      <c r="D154" s="743" t="s">
        <v>74</v>
      </c>
      <c r="E154" s="744">
        <f>SUM(E155,E158)</f>
        <v>3000</v>
      </c>
      <c r="F154" s="744">
        <f>SUM(F155,F158)</f>
        <v>3000</v>
      </c>
      <c r="G154" s="232">
        <f t="shared" si="5"/>
        <v>100</v>
      </c>
    </row>
    <row r="155" spans="1:7" s="144" customFormat="1" ht="58.5" customHeight="1" hidden="1">
      <c r="A155" s="175"/>
      <c r="B155" s="176"/>
      <c r="C155" s="115">
        <v>2010</v>
      </c>
      <c r="D155" s="116" t="s">
        <v>382</v>
      </c>
      <c r="E155" s="159">
        <v>0</v>
      </c>
      <c r="F155" s="159">
        <v>0</v>
      </c>
      <c r="G155" s="118" t="e">
        <f t="shared" si="5"/>
        <v>#DIV/0!</v>
      </c>
    </row>
    <row r="156" spans="1:7" s="160" customFormat="1" ht="33" customHeight="1" thickBot="1">
      <c r="A156" s="327"/>
      <c r="B156" s="327"/>
      <c r="C156" s="402"/>
      <c r="D156" s="252"/>
      <c r="E156" s="329"/>
      <c r="F156" s="329"/>
      <c r="G156" s="398"/>
    </row>
    <row r="157" spans="1:17" s="129" customFormat="1" ht="12" customHeight="1" thickBot="1">
      <c r="A157" s="1223">
        <v>1</v>
      </c>
      <c r="B157" s="1224">
        <v>2</v>
      </c>
      <c r="C157" s="1224">
        <v>3</v>
      </c>
      <c r="D157" s="1224">
        <v>4</v>
      </c>
      <c r="E157" s="1225">
        <v>5</v>
      </c>
      <c r="F157" s="1226">
        <v>6</v>
      </c>
      <c r="G157" s="1227">
        <v>7</v>
      </c>
      <c r="M157" s="130">
        <v>1</v>
      </c>
      <c r="N157" s="130">
        <v>2</v>
      </c>
      <c r="O157" s="130">
        <v>3</v>
      </c>
      <c r="P157" s="130">
        <v>4</v>
      </c>
      <c r="Q157" s="130">
        <v>5</v>
      </c>
    </row>
    <row r="158" spans="1:7" s="144" customFormat="1" ht="55.5" customHeight="1">
      <c r="A158" s="175"/>
      <c r="B158" s="176"/>
      <c r="C158" s="115">
        <v>2020</v>
      </c>
      <c r="D158" s="116" t="s">
        <v>396</v>
      </c>
      <c r="E158" s="159">
        <v>3000</v>
      </c>
      <c r="F158" s="159">
        <v>3000</v>
      </c>
      <c r="G158" s="118">
        <f t="shared" si="5"/>
        <v>100</v>
      </c>
    </row>
    <row r="159" spans="1:7" s="134" customFormat="1" ht="21.75" customHeight="1">
      <c r="A159" s="167" t="s">
        <v>610</v>
      </c>
      <c r="B159" s="168"/>
      <c r="C159" s="186"/>
      <c r="D159" s="148" t="s">
        <v>621</v>
      </c>
      <c r="E159" s="152">
        <f>SUM(E160,E162,E165,E167,E169,E173,E179,E183)</f>
        <v>8358400</v>
      </c>
      <c r="F159" s="152">
        <f>SUM(F160,F162,F165,F167,F169,F173,F179,F183)</f>
        <v>4261991.08</v>
      </c>
      <c r="G159" s="103">
        <f t="shared" si="5"/>
        <v>50.99051349540582</v>
      </c>
    </row>
    <row r="160" spans="1:7" s="134" customFormat="1" ht="21.75" customHeight="1">
      <c r="A160" s="171"/>
      <c r="B160" s="172" t="s">
        <v>924</v>
      </c>
      <c r="C160" s="189"/>
      <c r="D160" s="200" t="s">
        <v>925</v>
      </c>
      <c r="E160" s="174">
        <f>SUM(E161)</f>
        <v>0</v>
      </c>
      <c r="F160" s="174">
        <f>SUM(F161)</f>
        <v>2101.89</v>
      </c>
      <c r="G160" s="118" t="s">
        <v>312</v>
      </c>
    </row>
    <row r="161" spans="1:7" s="134" customFormat="1" ht="21.75" customHeight="1">
      <c r="A161" s="175"/>
      <c r="B161" s="176"/>
      <c r="C161" s="158" t="s">
        <v>572</v>
      </c>
      <c r="D161" s="197" t="s">
        <v>262</v>
      </c>
      <c r="E161" s="193">
        <v>0</v>
      </c>
      <c r="F161" s="159">
        <v>2101.89</v>
      </c>
      <c r="G161" s="118" t="s">
        <v>312</v>
      </c>
    </row>
    <row r="162" spans="1:7" ht="21.75" customHeight="1">
      <c r="A162" s="171"/>
      <c r="B162" s="172" t="s">
        <v>622</v>
      </c>
      <c r="C162" s="189"/>
      <c r="D162" s="200" t="s">
        <v>387</v>
      </c>
      <c r="E162" s="174">
        <f>SUM(E163,E164)</f>
        <v>154000</v>
      </c>
      <c r="F162" s="174">
        <f>SUM(F163,F164)</f>
        <v>69687.02</v>
      </c>
      <c r="G162" s="110">
        <f>F162/E162*100</f>
        <v>45.25131168831169</v>
      </c>
    </row>
    <row r="163" spans="1:7" ht="23.25" customHeight="1">
      <c r="A163" s="171"/>
      <c r="B163" s="172"/>
      <c r="C163" s="158" t="s">
        <v>570</v>
      </c>
      <c r="D163" s="116" t="s">
        <v>325</v>
      </c>
      <c r="E163" s="193">
        <v>12000</v>
      </c>
      <c r="F163" s="159">
        <v>5787.02</v>
      </c>
      <c r="G163" s="118">
        <f>F163/E163*100</f>
        <v>48.22516666666667</v>
      </c>
    </row>
    <row r="164" spans="1:7" s="144" customFormat="1" ht="58.5" customHeight="1">
      <c r="A164" s="175"/>
      <c r="B164" s="176"/>
      <c r="C164" s="115">
        <v>2010</v>
      </c>
      <c r="D164" s="116" t="s">
        <v>382</v>
      </c>
      <c r="E164" s="193">
        <v>142000</v>
      </c>
      <c r="F164" s="159">
        <v>63900</v>
      </c>
      <c r="G164" s="118">
        <f>F164/E164*100</f>
        <v>45</v>
      </c>
    </row>
    <row r="165" spans="1:7" ht="46.5" customHeight="1">
      <c r="A165" s="171"/>
      <c r="B165" s="172" t="s">
        <v>612</v>
      </c>
      <c r="C165" s="189"/>
      <c r="D165" s="201" t="s">
        <v>849</v>
      </c>
      <c r="E165" s="181">
        <f>E166</f>
        <v>5732000</v>
      </c>
      <c r="F165" s="181">
        <f>F166</f>
        <v>2865996</v>
      </c>
      <c r="G165" s="110">
        <f t="shared" si="5"/>
        <v>49.99993021632938</v>
      </c>
    </row>
    <row r="166" spans="1:7" s="196" customFormat="1" ht="58.5" customHeight="1">
      <c r="A166" s="175"/>
      <c r="B166" s="176"/>
      <c r="C166" s="115">
        <v>2010</v>
      </c>
      <c r="D166" s="116" t="s">
        <v>382</v>
      </c>
      <c r="E166" s="159">
        <v>5732000</v>
      </c>
      <c r="F166" s="159">
        <v>2865996</v>
      </c>
      <c r="G166" s="118">
        <f t="shared" si="5"/>
        <v>49.99993021632938</v>
      </c>
    </row>
    <row r="167" spans="1:7" ht="69" customHeight="1">
      <c r="A167" s="171"/>
      <c r="B167" s="172" t="s">
        <v>613</v>
      </c>
      <c r="C167" s="189"/>
      <c r="D167" s="108" t="s">
        <v>710</v>
      </c>
      <c r="E167" s="174">
        <f>E168</f>
        <v>80000</v>
      </c>
      <c r="F167" s="174">
        <f>F168</f>
        <v>39996</v>
      </c>
      <c r="G167" s="110">
        <f t="shared" si="5"/>
        <v>49.995</v>
      </c>
    </row>
    <row r="168" spans="1:7" s="144" customFormat="1" ht="56.25" customHeight="1">
      <c r="A168" s="175"/>
      <c r="B168" s="176"/>
      <c r="C168" s="115">
        <v>2010</v>
      </c>
      <c r="D168" s="116" t="s">
        <v>382</v>
      </c>
      <c r="E168" s="159">
        <v>80000</v>
      </c>
      <c r="F168" s="159">
        <v>39996</v>
      </c>
      <c r="G168" s="118">
        <f t="shared" si="5"/>
        <v>49.995</v>
      </c>
    </row>
    <row r="169" spans="1:7" ht="32.25" customHeight="1">
      <c r="A169" s="175"/>
      <c r="B169" s="172" t="s">
        <v>614</v>
      </c>
      <c r="C169" s="115"/>
      <c r="D169" s="108" t="s">
        <v>795</v>
      </c>
      <c r="E169" s="174">
        <f>E170+E171+E172</f>
        <v>1344000</v>
      </c>
      <c r="F169" s="174">
        <f>F170+F171+F172</f>
        <v>671994</v>
      </c>
      <c r="G169" s="110">
        <f t="shared" si="5"/>
        <v>49.99955357142857</v>
      </c>
    </row>
    <row r="170" spans="1:7" s="144" customFormat="1" ht="21" customHeight="1" hidden="1">
      <c r="A170" s="175"/>
      <c r="B170" s="176"/>
      <c r="C170" s="158" t="s">
        <v>572</v>
      </c>
      <c r="D170" s="116" t="s">
        <v>262</v>
      </c>
      <c r="E170" s="159">
        <v>0</v>
      </c>
      <c r="F170" s="159">
        <v>0</v>
      </c>
      <c r="G170" s="118" t="s">
        <v>312</v>
      </c>
    </row>
    <row r="171" spans="1:7" s="144" customFormat="1" ht="57" customHeight="1">
      <c r="A171" s="175"/>
      <c r="B171" s="176"/>
      <c r="C171" s="115">
        <v>2010</v>
      </c>
      <c r="D171" s="116" t="s">
        <v>382</v>
      </c>
      <c r="E171" s="159">
        <v>811000</v>
      </c>
      <c r="F171" s="159">
        <v>405498</v>
      </c>
      <c r="G171" s="118">
        <f t="shared" si="5"/>
        <v>49.99975339087546</v>
      </c>
    </row>
    <row r="172" spans="1:7" s="144" customFormat="1" ht="44.25" customHeight="1">
      <c r="A172" s="175"/>
      <c r="B172" s="176"/>
      <c r="C172" s="115">
        <v>2030</v>
      </c>
      <c r="D172" s="116" t="s">
        <v>388</v>
      </c>
      <c r="E172" s="159">
        <v>533000</v>
      </c>
      <c r="F172" s="159">
        <v>266496</v>
      </c>
      <c r="G172" s="118">
        <f t="shared" si="5"/>
        <v>49.999249530956845</v>
      </c>
    </row>
    <row r="173" spans="1:7" ht="21.75" customHeight="1">
      <c r="A173" s="171"/>
      <c r="B173" s="172" t="s">
        <v>616</v>
      </c>
      <c r="C173" s="189"/>
      <c r="D173" s="108" t="s">
        <v>145</v>
      </c>
      <c r="E173" s="174">
        <f>SUM(E174,E175,E176)</f>
        <v>563000</v>
      </c>
      <c r="F173" s="174">
        <f>SUM(F174,F175,F176)</f>
        <v>307833.71</v>
      </c>
      <c r="G173" s="110">
        <f t="shared" si="5"/>
        <v>54.677390763765544</v>
      </c>
    </row>
    <row r="174" spans="1:7" s="144" customFormat="1" ht="21.75" customHeight="1">
      <c r="A174" s="175"/>
      <c r="B174" s="176"/>
      <c r="C174" s="158" t="s">
        <v>571</v>
      </c>
      <c r="D174" s="178" t="s">
        <v>323</v>
      </c>
      <c r="E174" s="159">
        <v>0</v>
      </c>
      <c r="F174" s="159">
        <v>9251.21</v>
      </c>
      <c r="G174" s="118" t="s">
        <v>312</v>
      </c>
    </row>
    <row r="175" spans="1:7" ht="21.75" customHeight="1">
      <c r="A175" s="171"/>
      <c r="B175" s="172"/>
      <c r="C175" s="158" t="s">
        <v>572</v>
      </c>
      <c r="D175" s="116" t="s">
        <v>262</v>
      </c>
      <c r="E175" s="159">
        <v>0</v>
      </c>
      <c r="F175" s="159">
        <v>7082.5</v>
      </c>
      <c r="G175" s="118" t="s">
        <v>312</v>
      </c>
    </row>
    <row r="176" spans="1:7" s="144" customFormat="1" ht="43.5" customHeight="1" thickBot="1">
      <c r="A176" s="736"/>
      <c r="B176" s="737"/>
      <c r="C176" s="739" t="s">
        <v>604</v>
      </c>
      <c r="D176" s="735" t="s">
        <v>388</v>
      </c>
      <c r="E176" s="738">
        <v>563000</v>
      </c>
      <c r="F176" s="738">
        <v>291500</v>
      </c>
      <c r="G176" s="418">
        <f t="shared" si="5"/>
        <v>51.776198934280636</v>
      </c>
    </row>
    <row r="177" spans="1:7" s="160" customFormat="1" ht="28.5" customHeight="1" thickBot="1">
      <c r="A177" s="327"/>
      <c r="B177" s="327"/>
      <c r="C177" s="401"/>
      <c r="D177" s="252"/>
      <c r="E177" s="329"/>
      <c r="F177" s="329"/>
      <c r="G177" s="398"/>
    </row>
    <row r="178" spans="1:17" s="129" customFormat="1" ht="12" customHeight="1" thickBot="1">
      <c r="A178" s="1223">
        <v>1</v>
      </c>
      <c r="B178" s="1224">
        <v>2</v>
      </c>
      <c r="C178" s="1224">
        <v>3</v>
      </c>
      <c r="D178" s="1224">
        <v>4</v>
      </c>
      <c r="E178" s="1225">
        <v>5</v>
      </c>
      <c r="F178" s="1226">
        <v>6</v>
      </c>
      <c r="G178" s="1227">
        <v>7</v>
      </c>
      <c r="M178" s="130">
        <v>1</v>
      </c>
      <c r="N178" s="130">
        <v>2</v>
      </c>
      <c r="O178" s="130">
        <v>3</v>
      </c>
      <c r="P178" s="130">
        <v>4</v>
      </c>
      <c r="Q178" s="130">
        <v>5</v>
      </c>
    </row>
    <row r="179" spans="1:7" ht="27.75" customHeight="1">
      <c r="A179" s="171"/>
      <c r="B179" s="172" t="s">
        <v>618</v>
      </c>
      <c r="C179" s="189"/>
      <c r="D179" s="108" t="s">
        <v>148</v>
      </c>
      <c r="E179" s="174">
        <f>SUM(E180,E181,E182)</f>
        <v>127000</v>
      </c>
      <c r="F179" s="174">
        <f>SUM(F180,F181,F182)</f>
        <v>60386.46</v>
      </c>
      <c r="G179" s="110">
        <f t="shared" si="5"/>
        <v>47.5483937007874</v>
      </c>
    </row>
    <row r="180" spans="1:7" s="144" customFormat="1" ht="17.25" customHeight="1">
      <c r="A180" s="175"/>
      <c r="B180" s="176"/>
      <c r="C180" s="158" t="s">
        <v>570</v>
      </c>
      <c r="D180" s="146" t="s">
        <v>325</v>
      </c>
      <c r="E180" s="159">
        <v>55000</v>
      </c>
      <c r="F180" s="159">
        <v>28387.17</v>
      </c>
      <c r="G180" s="118">
        <f t="shared" si="5"/>
        <v>51.613036363636354</v>
      </c>
    </row>
    <row r="181" spans="1:7" s="144" customFormat="1" ht="17.25" customHeight="1">
      <c r="A181" s="175"/>
      <c r="B181" s="176"/>
      <c r="C181" s="158" t="s">
        <v>571</v>
      </c>
      <c r="D181" s="178" t="s">
        <v>323</v>
      </c>
      <c r="E181" s="159">
        <v>0</v>
      </c>
      <c r="F181" s="159">
        <v>1.29</v>
      </c>
      <c r="G181" s="118" t="s">
        <v>312</v>
      </c>
    </row>
    <row r="182" spans="1:7" ht="56.25" customHeight="1">
      <c r="A182" s="175"/>
      <c r="B182" s="176"/>
      <c r="C182" s="158" t="s">
        <v>619</v>
      </c>
      <c r="D182" s="116" t="s">
        <v>382</v>
      </c>
      <c r="E182" s="159">
        <v>72000</v>
      </c>
      <c r="F182" s="159">
        <v>31998</v>
      </c>
      <c r="G182" s="118">
        <f t="shared" si="5"/>
        <v>44.44166666666667</v>
      </c>
    </row>
    <row r="183" spans="1:7" ht="18" customHeight="1">
      <c r="A183" s="171"/>
      <c r="B183" s="172" t="s">
        <v>620</v>
      </c>
      <c r="C183" s="194"/>
      <c r="D183" s="108" t="s">
        <v>74</v>
      </c>
      <c r="E183" s="174">
        <f>SUM(E184,E185,E186)</f>
        <v>358400</v>
      </c>
      <c r="F183" s="174">
        <f>SUM(F184,F185,F186)</f>
        <v>243996</v>
      </c>
      <c r="G183" s="110">
        <f t="shared" si="5"/>
        <v>68.07924107142857</v>
      </c>
    </row>
    <row r="184" spans="1:7" s="144" customFormat="1" ht="30.75" customHeight="1" hidden="1">
      <c r="A184" s="175"/>
      <c r="B184" s="176"/>
      <c r="C184" s="158" t="s">
        <v>573</v>
      </c>
      <c r="D184" s="116" t="s">
        <v>1251</v>
      </c>
      <c r="E184" s="159">
        <v>0</v>
      </c>
      <c r="F184" s="159">
        <v>0</v>
      </c>
      <c r="G184" s="118" t="s">
        <v>312</v>
      </c>
    </row>
    <row r="185" spans="1:7" s="144" customFormat="1" ht="55.5" customHeight="1" hidden="1">
      <c r="A185" s="175"/>
      <c r="B185" s="176"/>
      <c r="C185" s="158" t="s">
        <v>603</v>
      </c>
      <c r="D185" s="146" t="s">
        <v>226</v>
      </c>
      <c r="E185" s="159">
        <v>0</v>
      </c>
      <c r="F185" s="159">
        <v>0</v>
      </c>
      <c r="G185" s="118" t="e">
        <f t="shared" si="5"/>
        <v>#DIV/0!</v>
      </c>
    </row>
    <row r="186" spans="1:7" ht="42" customHeight="1">
      <c r="A186" s="175"/>
      <c r="B186" s="176"/>
      <c r="C186" s="158" t="s">
        <v>604</v>
      </c>
      <c r="D186" s="116" t="s">
        <v>388</v>
      </c>
      <c r="E186" s="159">
        <v>358400</v>
      </c>
      <c r="F186" s="159">
        <v>243996</v>
      </c>
      <c r="G186" s="118">
        <f t="shared" si="5"/>
        <v>68.07924107142857</v>
      </c>
    </row>
    <row r="187" spans="1:7" s="134" customFormat="1" ht="30" customHeight="1">
      <c r="A187" s="167" t="s">
        <v>137</v>
      </c>
      <c r="B187" s="168"/>
      <c r="C187" s="202"/>
      <c r="D187" s="187" t="s">
        <v>930</v>
      </c>
      <c r="E187" s="152">
        <f>SUM(E188)</f>
        <v>216774</v>
      </c>
      <c r="F187" s="152">
        <f>SUM(F188)</f>
        <v>216774</v>
      </c>
      <c r="G187" s="103">
        <f t="shared" si="5"/>
        <v>100</v>
      </c>
    </row>
    <row r="188" spans="1:7" ht="20.25" customHeight="1">
      <c r="A188" s="171"/>
      <c r="B188" s="172" t="s">
        <v>934</v>
      </c>
      <c r="C188" s="194"/>
      <c r="D188" s="108" t="s">
        <v>74</v>
      </c>
      <c r="E188" s="174">
        <f>SUM(E189,E191)</f>
        <v>216774</v>
      </c>
      <c r="F188" s="174">
        <f>SUM(F189,F191)</f>
        <v>216774</v>
      </c>
      <c r="G188" s="110">
        <f>F188/E188*100</f>
        <v>100</v>
      </c>
    </row>
    <row r="189" spans="1:7" ht="29.25" customHeight="1">
      <c r="A189" s="175"/>
      <c r="B189" s="176"/>
      <c r="C189" s="158" t="s">
        <v>752</v>
      </c>
      <c r="D189" s="146" t="s">
        <v>753</v>
      </c>
      <c r="E189" s="159">
        <v>204731</v>
      </c>
      <c r="F189" s="159">
        <v>204731</v>
      </c>
      <c r="G189" s="118">
        <f>F189/E189*100</f>
        <v>100</v>
      </c>
    </row>
    <row r="190" spans="1:7" ht="67.5" customHeight="1">
      <c r="A190" s="175"/>
      <c r="B190" s="176"/>
      <c r="C190" s="158"/>
      <c r="D190" s="116" t="s">
        <v>709</v>
      </c>
      <c r="E190" s="159"/>
      <c r="F190" s="159"/>
      <c r="G190" s="118"/>
    </row>
    <row r="191" spans="1:7" ht="30.75" customHeight="1">
      <c r="A191" s="175"/>
      <c r="B191" s="176"/>
      <c r="C191" s="158" t="s">
        <v>754</v>
      </c>
      <c r="D191" s="146" t="s">
        <v>753</v>
      </c>
      <c r="E191" s="159">
        <v>12043</v>
      </c>
      <c r="F191" s="159">
        <v>12043</v>
      </c>
      <c r="G191" s="118">
        <f>F191/E191*100</f>
        <v>100</v>
      </c>
    </row>
    <row r="192" spans="1:7" ht="68.25" customHeight="1">
      <c r="A192" s="175"/>
      <c r="B192" s="176"/>
      <c r="C192" s="158"/>
      <c r="D192" s="116" t="s">
        <v>711</v>
      </c>
      <c r="E192" s="159"/>
      <c r="F192" s="159"/>
      <c r="G192" s="118"/>
    </row>
    <row r="193" spans="1:7" ht="21" customHeight="1">
      <c r="A193" s="167" t="s">
        <v>149</v>
      </c>
      <c r="B193" s="168"/>
      <c r="C193" s="168"/>
      <c r="D193" s="187" t="s">
        <v>153</v>
      </c>
      <c r="E193" s="152">
        <f>SUM(E194)</f>
        <v>107560</v>
      </c>
      <c r="F193" s="152">
        <f>SUM(F194)</f>
        <v>107560</v>
      </c>
      <c r="G193" s="103">
        <f aca="true" t="shared" si="6" ref="G193:G208">F193/E193*100</f>
        <v>100</v>
      </c>
    </row>
    <row r="194" spans="1:17" ht="20.25" customHeight="1">
      <c r="A194" s="171"/>
      <c r="B194" s="172" t="s">
        <v>209</v>
      </c>
      <c r="C194" s="172"/>
      <c r="D194" s="177" t="s">
        <v>210</v>
      </c>
      <c r="E194" s="174">
        <f>SUM(E195)</f>
        <v>107560</v>
      </c>
      <c r="F194" s="174">
        <f>SUM(F195)</f>
        <v>107560</v>
      </c>
      <c r="G194" s="110">
        <f t="shared" si="6"/>
        <v>100</v>
      </c>
      <c r="M194" s="140"/>
      <c r="N194" s="140"/>
      <c r="O194" s="140"/>
      <c r="P194" s="140"/>
      <c r="Q194" s="140"/>
    </row>
    <row r="195" spans="1:17" s="144" customFormat="1" ht="46.5" customHeight="1">
      <c r="A195" s="175"/>
      <c r="B195" s="176"/>
      <c r="C195" s="176" t="s">
        <v>604</v>
      </c>
      <c r="D195" s="116" t="s">
        <v>388</v>
      </c>
      <c r="E195" s="159">
        <v>107560</v>
      </c>
      <c r="F195" s="159">
        <v>107560</v>
      </c>
      <c r="G195" s="118">
        <f t="shared" si="6"/>
        <v>100</v>
      </c>
      <c r="M195" s="145"/>
      <c r="N195" s="145"/>
      <c r="O195" s="145"/>
      <c r="P195" s="145"/>
      <c r="Q195" s="145"/>
    </row>
    <row r="196" spans="1:17" s="144" customFormat="1" ht="29.25" customHeight="1">
      <c r="A196" s="167" t="s">
        <v>212</v>
      </c>
      <c r="B196" s="168"/>
      <c r="C196" s="168"/>
      <c r="D196" s="187" t="s">
        <v>326</v>
      </c>
      <c r="E196" s="152">
        <f>SUM(E197,E203,E206,E208)</f>
        <v>6695202</v>
      </c>
      <c r="F196" s="152">
        <f>SUM(F197,F203,F206,F208)</f>
        <v>3087831.79</v>
      </c>
      <c r="G196" s="103">
        <f t="shared" si="6"/>
        <v>46.120069118153566</v>
      </c>
      <c r="M196" s="145"/>
      <c r="N196" s="145"/>
      <c r="O196" s="145"/>
      <c r="P196" s="145"/>
      <c r="Q196" s="145"/>
    </row>
    <row r="197" spans="1:17" ht="21.75" customHeight="1">
      <c r="A197" s="171"/>
      <c r="B197" s="172" t="s">
        <v>623</v>
      </c>
      <c r="C197" s="194"/>
      <c r="D197" s="177" t="s">
        <v>624</v>
      </c>
      <c r="E197" s="174">
        <f>SUM(E198,E199,E200)</f>
        <v>216554</v>
      </c>
      <c r="F197" s="174">
        <f>SUM(F198,F199,F200)</f>
        <v>710691.1100000001</v>
      </c>
      <c r="G197" s="110" t="s">
        <v>312</v>
      </c>
      <c r="M197" s="196"/>
      <c r="N197" s="196"/>
      <c r="O197" s="196"/>
      <c r="P197" s="196"/>
      <c r="Q197" s="196"/>
    </row>
    <row r="198" spans="1:17" s="144" customFormat="1" ht="21.75" customHeight="1">
      <c r="A198" s="175"/>
      <c r="B198" s="176"/>
      <c r="C198" s="158" t="s">
        <v>544</v>
      </c>
      <c r="D198" s="116" t="s">
        <v>543</v>
      </c>
      <c r="E198" s="159">
        <v>0</v>
      </c>
      <c r="F198" s="159">
        <v>276024.59</v>
      </c>
      <c r="G198" s="118" t="s">
        <v>312</v>
      </c>
      <c r="M198" s="160"/>
      <c r="N198" s="160"/>
      <c r="O198" s="160"/>
      <c r="P198" s="160"/>
      <c r="Q198" s="160"/>
    </row>
    <row r="199" spans="1:17" s="144" customFormat="1" ht="21.75" customHeight="1">
      <c r="A199" s="175"/>
      <c r="B199" s="176"/>
      <c r="C199" s="158" t="s">
        <v>572</v>
      </c>
      <c r="D199" s="116" t="s">
        <v>262</v>
      </c>
      <c r="E199" s="159">
        <v>216554</v>
      </c>
      <c r="F199" s="159">
        <v>413040.52</v>
      </c>
      <c r="G199" s="118" t="s">
        <v>312</v>
      </c>
      <c r="M199" s="160"/>
      <c r="N199" s="160"/>
      <c r="O199" s="160"/>
      <c r="P199" s="160"/>
      <c r="Q199" s="160"/>
    </row>
    <row r="200" spans="1:17" ht="30.75" customHeight="1" thickBot="1">
      <c r="A200" s="736"/>
      <c r="B200" s="737"/>
      <c r="C200" s="739" t="s">
        <v>578</v>
      </c>
      <c r="D200" s="735" t="s">
        <v>395</v>
      </c>
      <c r="E200" s="738">
        <v>0</v>
      </c>
      <c r="F200" s="738">
        <v>21626</v>
      </c>
      <c r="G200" s="418" t="s">
        <v>312</v>
      </c>
      <c r="M200" s="196"/>
      <c r="N200" s="196"/>
      <c r="O200" s="196"/>
      <c r="P200" s="196"/>
      <c r="Q200" s="196"/>
    </row>
    <row r="201" spans="1:7" s="196" customFormat="1" ht="34.5" customHeight="1" thickBot="1">
      <c r="A201" s="327"/>
      <c r="B201" s="327"/>
      <c r="C201" s="401"/>
      <c r="D201" s="252"/>
      <c r="E201" s="329"/>
      <c r="F201" s="329"/>
      <c r="G201" s="398"/>
    </row>
    <row r="202" spans="1:17" s="129" customFormat="1" ht="12" customHeight="1" thickBot="1">
      <c r="A202" s="1223">
        <v>1</v>
      </c>
      <c r="B202" s="1224">
        <v>2</v>
      </c>
      <c r="C202" s="1224">
        <v>3</v>
      </c>
      <c r="D202" s="1224">
        <v>4</v>
      </c>
      <c r="E202" s="1225">
        <v>5</v>
      </c>
      <c r="F202" s="1226">
        <v>6</v>
      </c>
      <c r="G202" s="1227">
        <v>7</v>
      </c>
      <c r="M202" s="130">
        <v>1</v>
      </c>
      <c r="N202" s="130">
        <v>2</v>
      </c>
      <c r="O202" s="130">
        <v>3</v>
      </c>
      <c r="P202" s="130">
        <v>4</v>
      </c>
      <c r="Q202" s="130">
        <v>5</v>
      </c>
    </row>
    <row r="203" spans="1:17" ht="18" customHeight="1">
      <c r="A203" s="171"/>
      <c r="B203" s="172" t="s">
        <v>945</v>
      </c>
      <c r="C203" s="194"/>
      <c r="D203" s="177" t="s">
        <v>946</v>
      </c>
      <c r="E203" s="174">
        <f>SUM(E204)</f>
        <v>1240848</v>
      </c>
      <c r="F203" s="174">
        <f>SUM(F204)</f>
        <v>0</v>
      </c>
      <c r="G203" s="110">
        <f t="shared" si="6"/>
        <v>0</v>
      </c>
      <c r="M203" s="196"/>
      <c r="N203" s="196"/>
      <c r="O203" s="196"/>
      <c r="P203" s="196"/>
      <c r="Q203" s="196"/>
    </row>
    <row r="204" spans="1:17" ht="53.25" customHeight="1">
      <c r="A204" s="175"/>
      <c r="B204" s="176"/>
      <c r="C204" s="158" t="s">
        <v>1223</v>
      </c>
      <c r="D204" s="146" t="s">
        <v>642</v>
      </c>
      <c r="E204" s="159">
        <v>1240848</v>
      </c>
      <c r="F204" s="159">
        <v>0</v>
      </c>
      <c r="G204" s="118">
        <f t="shared" si="6"/>
        <v>0</v>
      </c>
      <c r="M204" s="196"/>
      <c r="N204" s="196"/>
      <c r="O204" s="196"/>
      <c r="P204" s="196"/>
      <c r="Q204" s="196"/>
    </row>
    <row r="205" spans="1:17" ht="69" customHeight="1">
      <c r="A205" s="175"/>
      <c r="B205" s="176"/>
      <c r="C205" s="158"/>
      <c r="D205" s="116" t="s">
        <v>709</v>
      </c>
      <c r="E205" s="159"/>
      <c r="F205" s="159"/>
      <c r="G205" s="118"/>
      <c r="M205" s="196"/>
      <c r="N205" s="196"/>
      <c r="O205" s="196"/>
      <c r="P205" s="196"/>
      <c r="Q205" s="196"/>
    </row>
    <row r="206" spans="1:17" s="144" customFormat="1" ht="30.75" customHeight="1">
      <c r="A206" s="171"/>
      <c r="B206" s="172" t="s">
        <v>423</v>
      </c>
      <c r="C206" s="189"/>
      <c r="D206" s="177" t="s">
        <v>424</v>
      </c>
      <c r="E206" s="174">
        <f>E207</f>
        <v>9000</v>
      </c>
      <c r="F206" s="174">
        <f>F207</f>
        <v>8182.99</v>
      </c>
      <c r="G206" s="110">
        <f t="shared" si="6"/>
        <v>90.92211111111111</v>
      </c>
      <c r="M206" s="160"/>
      <c r="N206" s="160"/>
      <c r="O206" s="160"/>
      <c r="P206" s="160"/>
      <c r="Q206" s="160"/>
    </row>
    <row r="207" spans="1:17" s="144" customFormat="1" ht="22.5" customHeight="1">
      <c r="A207" s="175"/>
      <c r="B207" s="176"/>
      <c r="C207" s="158" t="s">
        <v>605</v>
      </c>
      <c r="D207" s="116" t="s">
        <v>425</v>
      </c>
      <c r="E207" s="159">
        <v>9000</v>
      </c>
      <c r="F207" s="159">
        <v>8182.99</v>
      </c>
      <c r="G207" s="118">
        <f t="shared" si="6"/>
        <v>90.92211111111111</v>
      </c>
      <c r="M207" s="160"/>
      <c r="N207" s="160"/>
      <c r="O207" s="160"/>
      <c r="P207" s="160"/>
      <c r="Q207" s="160"/>
    </row>
    <row r="208" spans="1:7" ht="20.25" customHeight="1">
      <c r="A208" s="171"/>
      <c r="B208" s="172" t="s">
        <v>216</v>
      </c>
      <c r="C208" s="172"/>
      <c r="D208" s="173" t="s">
        <v>74</v>
      </c>
      <c r="E208" s="174">
        <f>SUM(E209,E210,E211,E212)</f>
        <v>5228800</v>
      </c>
      <c r="F208" s="174">
        <f>SUM(F209,F210,F211,F212)</f>
        <v>2368957.69</v>
      </c>
      <c r="G208" s="110">
        <f t="shared" si="6"/>
        <v>45.30595337362301</v>
      </c>
    </row>
    <row r="209" spans="1:17" ht="69.75" customHeight="1">
      <c r="A209" s="175"/>
      <c r="B209" s="176"/>
      <c r="C209" s="158" t="s">
        <v>575</v>
      </c>
      <c r="D209" s="116" t="s">
        <v>629</v>
      </c>
      <c r="E209" s="159">
        <v>2200</v>
      </c>
      <c r="F209" s="159">
        <v>1023.71</v>
      </c>
      <c r="G209" s="118">
        <f aca="true" t="shared" si="7" ref="G209:G221">F209/E209*100</f>
        <v>46.532272727272726</v>
      </c>
      <c r="M209" s="140"/>
      <c r="N209" s="140"/>
      <c r="O209" s="140"/>
      <c r="P209" s="140"/>
      <c r="Q209" s="140"/>
    </row>
    <row r="210" spans="1:17" s="144" customFormat="1" ht="21.75" customHeight="1">
      <c r="A210" s="175"/>
      <c r="B210" s="176"/>
      <c r="C210" s="158" t="s">
        <v>544</v>
      </c>
      <c r="D210" s="116" t="s">
        <v>543</v>
      </c>
      <c r="E210" s="159">
        <v>276600</v>
      </c>
      <c r="F210" s="159">
        <v>56521.48</v>
      </c>
      <c r="G210" s="118">
        <f t="shared" si="7"/>
        <v>20.434374548083877</v>
      </c>
      <c r="M210" s="145"/>
      <c r="N210" s="145"/>
      <c r="O210" s="145"/>
      <c r="P210" s="145"/>
      <c r="Q210" s="145"/>
    </row>
    <row r="211" spans="1:17" s="144" customFormat="1" ht="18.75" customHeight="1">
      <c r="A211" s="175"/>
      <c r="B211" s="176"/>
      <c r="C211" s="176" t="s">
        <v>571</v>
      </c>
      <c r="D211" s="178" t="s">
        <v>323</v>
      </c>
      <c r="E211" s="159">
        <v>0</v>
      </c>
      <c r="F211" s="159">
        <v>1</v>
      </c>
      <c r="G211" s="118" t="s">
        <v>312</v>
      </c>
      <c r="M211" s="145"/>
      <c r="N211" s="145"/>
      <c r="O211" s="145"/>
      <c r="P211" s="145"/>
      <c r="Q211" s="145"/>
    </row>
    <row r="212" spans="1:17" s="144" customFormat="1" ht="21.75" customHeight="1">
      <c r="A212" s="175"/>
      <c r="B212" s="176"/>
      <c r="C212" s="176" t="s">
        <v>572</v>
      </c>
      <c r="D212" s="178" t="s">
        <v>262</v>
      </c>
      <c r="E212" s="159">
        <v>4950000</v>
      </c>
      <c r="F212" s="159">
        <v>2311411.5</v>
      </c>
      <c r="G212" s="118">
        <f t="shared" si="7"/>
        <v>46.69518181818182</v>
      </c>
      <c r="M212" s="145"/>
      <c r="N212" s="145"/>
      <c r="O212" s="145"/>
      <c r="P212" s="145"/>
      <c r="Q212" s="145"/>
    </row>
    <row r="213" spans="1:17" s="134" customFormat="1" ht="27.75" customHeight="1">
      <c r="A213" s="167" t="s">
        <v>239</v>
      </c>
      <c r="B213" s="168"/>
      <c r="C213" s="168"/>
      <c r="D213" s="187" t="s">
        <v>951</v>
      </c>
      <c r="E213" s="152">
        <f>SUM(E214)</f>
        <v>43900</v>
      </c>
      <c r="F213" s="152">
        <f>SUM(F214)</f>
        <v>49757.89</v>
      </c>
      <c r="G213" s="103">
        <f t="shared" si="7"/>
        <v>113.34371298405468</v>
      </c>
      <c r="M213" s="147"/>
      <c r="N213" s="147"/>
      <c r="O213" s="147"/>
      <c r="P213" s="147"/>
      <c r="Q213" s="147"/>
    </row>
    <row r="214" spans="1:17" ht="21.75" customHeight="1">
      <c r="A214" s="171"/>
      <c r="B214" s="172" t="s">
        <v>952</v>
      </c>
      <c r="C214" s="172"/>
      <c r="D214" s="173" t="s">
        <v>953</v>
      </c>
      <c r="E214" s="174">
        <f>SUM(E215)</f>
        <v>43900</v>
      </c>
      <c r="F214" s="174">
        <f>SUM(F215)</f>
        <v>49757.89</v>
      </c>
      <c r="G214" s="110">
        <f t="shared" si="7"/>
        <v>113.34371298405468</v>
      </c>
      <c r="M214" s="140"/>
      <c r="N214" s="140"/>
      <c r="O214" s="140"/>
      <c r="P214" s="140"/>
      <c r="Q214" s="140"/>
    </row>
    <row r="215" spans="1:17" s="144" customFormat="1" ht="38.25" customHeight="1">
      <c r="A215" s="175"/>
      <c r="B215" s="176"/>
      <c r="C215" s="176" t="s">
        <v>438</v>
      </c>
      <c r="D215" s="116" t="s">
        <v>439</v>
      </c>
      <c r="E215" s="159">
        <v>43900</v>
      </c>
      <c r="F215" s="159">
        <v>49757.89</v>
      </c>
      <c r="G215" s="118">
        <f t="shared" si="7"/>
        <v>113.34371298405468</v>
      </c>
      <c r="M215" s="145"/>
      <c r="N215" s="145"/>
      <c r="O215" s="145"/>
      <c r="P215" s="145"/>
      <c r="Q215" s="145"/>
    </row>
    <row r="216" spans="1:17" ht="21" customHeight="1">
      <c r="A216" s="167" t="s">
        <v>240</v>
      </c>
      <c r="B216" s="168"/>
      <c r="C216" s="202"/>
      <c r="D216" s="187" t="s">
        <v>241</v>
      </c>
      <c r="E216" s="152">
        <f>SUM(E217,E220)</f>
        <v>287123</v>
      </c>
      <c r="F216" s="152">
        <f>SUM(F217,F220)</f>
        <v>143366.66</v>
      </c>
      <c r="G216" s="103">
        <f t="shared" si="7"/>
        <v>49.93214058086604</v>
      </c>
      <c r="M216" s="140"/>
      <c r="N216" s="140"/>
      <c r="O216" s="140"/>
      <c r="P216" s="140"/>
      <c r="Q216" s="140"/>
    </row>
    <row r="217" spans="1:17" s="144" customFormat="1" ht="18" customHeight="1" hidden="1">
      <c r="A217" s="171"/>
      <c r="B217" s="172" t="s">
        <v>245</v>
      </c>
      <c r="C217" s="194"/>
      <c r="D217" s="177" t="s">
        <v>246</v>
      </c>
      <c r="E217" s="174">
        <f>SUM(E218,E219)</f>
        <v>0</v>
      </c>
      <c r="F217" s="174">
        <f>SUM(F218,F219)</f>
        <v>0</v>
      </c>
      <c r="G217" s="110" t="e">
        <f t="shared" si="7"/>
        <v>#DIV/0!</v>
      </c>
      <c r="M217" s="145"/>
      <c r="N217" s="145"/>
      <c r="O217" s="145"/>
      <c r="P217" s="145"/>
      <c r="Q217" s="145"/>
    </row>
    <row r="218" spans="1:17" s="134" customFormat="1" ht="29.25" customHeight="1" hidden="1">
      <c r="A218" s="171"/>
      <c r="B218" s="172"/>
      <c r="C218" s="176" t="s">
        <v>573</v>
      </c>
      <c r="D218" s="116" t="s">
        <v>1251</v>
      </c>
      <c r="E218" s="159">
        <v>0</v>
      </c>
      <c r="F218" s="159">
        <v>0</v>
      </c>
      <c r="G218" s="118" t="s">
        <v>312</v>
      </c>
      <c r="M218" s="147"/>
      <c r="N218" s="147"/>
      <c r="O218" s="147"/>
      <c r="P218" s="147"/>
      <c r="Q218" s="147"/>
    </row>
    <row r="219" spans="1:17" ht="57" customHeight="1" hidden="1">
      <c r="A219" s="175"/>
      <c r="B219" s="176"/>
      <c r="C219" s="158" t="s">
        <v>606</v>
      </c>
      <c r="D219" s="116" t="s">
        <v>107</v>
      </c>
      <c r="E219" s="159">
        <v>0</v>
      </c>
      <c r="F219" s="159">
        <v>0</v>
      </c>
      <c r="G219" s="118" t="e">
        <f t="shared" si="7"/>
        <v>#DIV/0!</v>
      </c>
      <c r="M219" s="140"/>
      <c r="N219" s="140"/>
      <c r="O219" s="140"/>
      <c r="P219" s="140"/>
      <c r="Q219" s="140"/>
    </row>
    <row r="220" spans="1:17" ht="19.5" customHeight="1">
      <c r="A220" s="171"/>
      <c r="B220" s="311" t="s">
        <v>247</v>
      </c>
      <c r="C220" s="312"/>
      <c r="D220" s="313" t="s">
        <v>248</v>
      </c>
      <c r="E220" s="314">
        <f>SUM(E221)</f>
        <v>287123</v>
      </c>
      <c r="F220" s="314">
        <f>SUM(F221)</f>
        <v>143366.66</v>
      </c>
      <c r="G220" s="165">
        <f t="shared" si="7"/>
        <v>49.93214058086604</v>
      </c>
      <c r="M220" s="140"/>
      <c r="N220" s="140"/>
      <c r="O220" s="140"/>
      <c r="P220" s="140"/>
      <c r="Q220" s="140"/>
    </row>
    <row r="221" spans="1:17" ht="44.25" customHeight="1">
      <c r="A221" s="411"/>
      <c r="B221" s="731"/>
      <c r="C221" s="732" t="s">
        <v>438</v>
      </c>
      <c r="D221" s="316" t="s">
        <v>439</v>
      </c>
      <c r="E221" s="317">
        <v>287123</v>
      </c>
      <c r="F221" s="317">
        <v>143366.66</v>
      </c>
      <c r="G221" s="318">
        <f t="shared" si="7"/>
        <v>49.93214058086604</v>
      </c>
      <c r="M221" s="140"/>
      <c r="N221" s="140"/>
      <c r="O221" s="140"/>
      <c r="P221" s="140"/>
      <c r="Q221" s="140"/>
    </row>
    <row r="222" spans="1:17" s="404" customFormat="1" ht="19.5" customHeight="1">
      <c r="A222" s="1537" t="s">
        <v>261</v>
      </c>
      <c r="B222" s="1538"/>
      <c r="C222" s="1538"/>
      <c r="D222" s="1539"/>
      <c r="E222" s="403">
        <f>SUM(E223,E226,E240,E243,E253,E264,E268,E276,E290,E293,E286,E307,E317,E328)</f>
        <v>57074201</v>
      </c>
      <c r="F222" s="403">
        <f>SUM(F223,F226,F240,F243,F253,F264,F268,F276,F290,F293,F286,F307,F317,F328)</f>
        <v>28874082.44</v>
      </c>
      <c r="G222" s="393">
        <f aca="true" t="shared" si="8" ref="G222:G237">F222/E222*100</f>
        <v>50.590427783649574</v>
      </c>
      <c r="M222" s="405"/>
      <c r="N222" s="405"/>
      <c r="O222" s="405"/>
      <c r="P222" s="405"/>
      <c r="Q222" s="405"/>
    </row>
    <row r="223" spans="1:17" s="319" customFormat="1" ht="16.5" customHeight="1" hidden="1">
      <c r="A223" s="99" t="s">
        <v>73</v>
      </c>
      <c r="B223" s="100"/>
      <c r="C223" s="100"/>
      <c r="D223" s="101" t="s">
        <v>807</v>
      </c>
      <c r="E223" s="102">
        <f>SUM(E224)</f>
        <v>0</v>
      </c>
      <c r="F223" s="102">
        <f>SUM(F224)</f>
        <v>0</v>
      </c>
      <c r="G223" s="103" t="e">
        <f t="shared" si="8"/>
        <v>#DIV/0!</v>
      </c>
      <c r="M223" s="320"/>
      <c r="N223" s="320"/>
      <c r="O223" s="320"/>
      <c r="P223" s="320"/>
      <c r="Q223" s="320"/>
    </row>
    <row r="224" spans="1:17" s="206" customFormat="1" ht="30.75" customHeight="1" hidden="1">
      <c r="A224" s="106"/>
      <c r="B224" s="107" t="s">
        <v>540</v>
      </c>
      <c r="C224" s="107"/>
      <c r="D224" s="321" t="s">
        <v>542</v>
      </c>
      <c r="E224" s="109">
        <f>SUM(E225)</f>
        <v>0</v>
      </c>
      <c r="F224" s="109">
        <f>SUM(F225)</f>
        <v>0</v>
      </c>
      <c r="G224" s="110" t="e">
        <f t="shared" si="8"/>
        <v>#DIV/0!</v>
      </c>
      <c r="M224" s="207"/>
      <c r="N224" s="207"/>
      <c r="O224" s="207"/>
      <c r="P224" s="207"/>
      <c r="Q224" s="207"/>
    </row>
    <row r="225" spans="1:17" s="206" customFormat="1" ht="59.25" customHeight="1" hidden="1">
      <c r="A225" s="113"/>
      <c r="B225" s="114"/>
      <c r="C225" s="114" t="s">
        <v>541</v>
      </c>
      <c r="D225" s="146" t="s">
        <v>379</v>
      </c>
      <c r="E225" s="117">
        <v>0</v>
      </c>
      <c r="F225" s="117">
        <v>0</v>
      </c>
      <c r="G225" s="118" t="e">
        <f t="shared" si="8"/>
        <v>#DIV/0!</v>
      </c>
      <c r="M225" s="207"/>
      <c r="N225" s="207"/>
      <c r="O225" s="207"/>
      <c r="P225" s="207"/>
      <c r="Q225" s="207"/>
    </row>
    <row r="226" spans="1:17" s="204" customFormat="1" ht="21.75" customHeight="1">
      <c r="A226" s="99" t="s">
        <v>78</v>
      </c>
      <c r="B226" s="131"/>
      <c r="C226" s="131"/>
      <c r="D226" s="148" t="s">
        <v>79</v>
      </c>
      <c r="E226" s="133">
        <f>SUM(E227,E232)</f>
        <v>3835538</v>
      </c>
      <c r="F226" s="133">
        <f>SUM(F227,F232)</f>
        <v>343531.75</v>
      </c>
      <c r="G226" s="103">
        <f t="shared" si="8"/>
        <v>8.956546643521717</v>
      </c>
      <c r="M226" s="205"/>
      <c r="N226" s="205"/>
      <c r="O226" s="205"/>
      <c r="P226" s="205"/>
      <c r="Q226" s="205"/>
    </row>
    <row r="227" spans="1:17" s="206" customFormat="1" ht="19.5" customHeight="1">
      <c r="A227" s="106"/>
      <c r="B227" s="136" t="s">
        <v>108</v>
      </c>
      <c r="C227" s="136"/>
      <c r="D227" s="108" t="s">
        <v>1224</v>
      </c>
      <c r="E227" s="138">
        <f>SUM(E228)</f>
        <v>429847</v>
      </c>
      <c r="F227" s="138">
        <f>SUM(F228)</f>
        <v>0</v>
      </c>
      <c r="G227" s="110" t="s">
        <v>312</v>
      </c>
      <c r="M227" s="207"/>
      <c r="N227" s="207"/>
      <c r="O227" s="207"/>
      <c r="P227" s="207"/>
      <c r="Q227" s="207"/>
    </row>
    <row r="228" spans="1:17" s="156" customFormat="1" ht="54" customHeight="1">
      <c r="A228" s="113"/>
      <c r="B228" s="141"/>
      <c r="C228" s="141" t="s">
        <v>1223</v>
      </c>
      <c r="D228" s="146" t="s">
        <v>107</v>
      </c>
      <c r="E228" s="143">
        <v>429847</v>
      </c>
      <c r="F228" s="143">
        <v>0</v>
      </c>
      <c r="G228" s="118" t="s">
        <v>312</v>
      </c>
      <c r="M228" s="157"/>
      <c r="N228" s="157"/>
      <c r="O228" s="157"/>
      <c r="P228" s="157"/>
      <c r="Q228" s="157"/>
    </row>
    <row r="229" spans="1:17" s="156" customFormat="1" ht="65.25" customHeight="1" thickBot="1">
      <c r="A229" s="227"/>
      <c r="B229" s="228"/>
      <c r="C229" s="228"/>
      <c r="D229" s="230" t="s">
        <v>709</v>
      </c>
      <c r="E229" s="231"/>
      <c r="F229" s="231"/>
      <c r="G229" s="418"/>
      <c r="M229" s="157"/>
      <c r="N229" s="157"/>
      <c r="O229" s="157"/>
      <c r="P229" s="157"/>
      <c r="Q229" s="157"/>
    </row>
    <row r="230" spans="1:7" s="222" customFormat="1" ht="18" customHeight="1" thickBot="1">
      <c r="A230" s="396"/>
      <c r="B230" s="396"/>
      <c r="C230" s="396"/>
      <c r="D230" s="406"/>
      <c r="E230" s="400"/>
      <c r="F230" s="400"/>
      <c r="G230" s="398"/>
    </row>
    <row r="231" spans="1:17" s="129" customFormat="1" ht="12" customHeight="1" thickBot="1">
      <c r="A231" s="1223">
        <v>1</v>
      </c>
      <c r="B231" s="1224">
        <v>2</v>
      </c>
      <c r="C231" s="1224">
        <v>3</v>
      </c>
      <c r="D231" s="1224">
        <v>4</v>
      </c>
      <c r="E231" s="1225">
        <v>5</v>
      </c>
      <c r="F231" s="1226">
        <v>6</v>
      </c>
      <c r="G231" s="1227">
        <v>7</v>
      </c>
      <c r="M231" s="734">
        <v>1</v>
      </c>
      <c r="N231" s="734">
        <v>2</v>
      </c>
      <c r="O231" s="734">
        <v>3</v>
      </c>
      <c r="P231" s="734">
        <v>4</v>
      </c>
      <c r="Q231" s="734">
        <v>5</v>
      </c>
    </row>
    <row r="232" spans="1:17" s="206" customFormat="1" ht="39" customHeight="1">
      <c r="A232" s="106"/>
      <c r="B232" s="136" t="s">
        <v>80</v>
      </c>
      <c r="C232" s="136"/>
      <c r="D232" s="108" t="s">
        <v>591</v>
      </c>
      <c r="E232" s="138">
        <f>SUM(E233,E234,E235,E236,E237,E239)</f>
        <v>3405691</v>
      </c>
      <c r="F232" s="138">
        <f>SUM(F233,F234,F235,F236,F237,F239)</f>
        <v>343531.75</v>
      </c>
      <c r="G232" s="110">
        <f t="shared" si="8"/>
        <v>10.086991156860678</v>
      </c>
      <c r="M232" s="207"/>
      <c r="N232" s="207"/>
      <c r="O232" s="207"/>
      <c r="P232" s="207"/>
      <c r="Q232" s="207"/>
    </row>
    <row r="233" spans="1:17" s="156" customFormat="1" ht="27" customHeight="1">
      <c r="A233" s="113"/>
      <c r="B233" s="141"/>
      <c r="C233" s="141" t="s">
        <v>573</v>
      </c>
      <c r="D233" s="146" t="s">
        <v>1251</v>
      </c>
      <c r="E233" s="143">
        <v>0</v>
      </c>
      <c r="F233" s="143">
        <v>8045.17</v>
      </c>
      <c r="G233" s="118" t="s">
        <v>312</v>
      </c>
      <c r="M233" s="157"/>
      <c r="N233" s="157"/>
      <c r="O233" s="157"/>
      <c r="P233" s="157"/>
      <c r="Q233" s="157"/>
    </row>
    <row r="234" spans="1:17" s="156" customFormat="1" ht="27.75" customHeight="1">
      <c r="A234" s="113"/>
      <c r="B234" s="141"/>
      <c r="C234" s="141" t="s">
        <v>1250</v>
      </c>
      <c r="D234" s="146" t="s">
        <v>1249</v>
      </c>
      <c r="E234" s="143">
        <v>140000</v>
      </c>
      <c r="F234" s="143">
        <v>0</v>
      </c>
      <c r="G234" s="118" t="s">
        <v>312</v>
      </c>
      <c r="M234" s="157"/>
      <c r="N234" s="157"/>
      <c r="O234" s="157"/>
      <c r="P234" s="157"/>
      <c r="Q234" s="157"/>
    </row>
    <row r="235" spans="1:17" s="156" customFormat="1" ht="18" customHeight="1" hidden="1">
      <c r="A235" s="113"/>
      <c r="B235" s="141"/>
      <c r="C235" s="141" t="s">
        <v>572</v>
      </c>
      <c r="D235" s="146" t="s">
        <v>262</v>
      </c>
      <c r="E235" s="143">
        <v>0</v>
      </c>
      <c r="F235" s="143">
        <v>0</v>
      </c>
      <c r="G235" s="118" t="s">
        <v>312</v>
      </c>
      <c r="M235" s="157"/>
      <c r="N235" s="157"/>
      <c r="O235" s="157"/>
      <c r="P235" s="157"/>
      <c r="Q235" s="157"/>
    </row>
    <row r="236" spans="1:17" s="156" customFormat="1" ht="51" customHeight="1">
      <c r="A236" s="113"/>
      <c r="B236" s="141"/>
      <c r="C236" s="141" t="s">
        <v>606</v>
      </c>
      <c r="D236" s="146" t="s">
        <v>642</v>
      </c>
      <c r="E236" s="117">
        <v>387191</v>
      </c>
      <c r="F236" s="117">
        <v>0</v>
      </c>
      <c r="G236" s="149">
        <f t="shared" si="8"/>
        <v>0</v>
      </c>
      <c r="M236" s="157"/>
      <c r="N236" s="157"/>
      <c r="O236" s="157"/>
      <c r="P236" s="157"/>
      <c r="Q236" s="157"/>
    </row>
    <row r="237" spans="1:17" s="156" customFormat="1" ht="57" customHeight="1">
      <c r="A237" s="113"/>
      <c r="B237" s="150"/>
      <c r="C237" s="141" t="s">
        <v>1116</v>
      </c>
      <c r="D237" s="146" t="s">
        <v>788</v>
      </c>
      <c r="E237" s="117">
        <v>878500</v>
      </c>
      <c r="F237" s="117">
        <v>0</v>
      </c>
      <c r="G237" s="149">
        <f t="shared" si="8"/>
        <v>0</v>
      </c>
      <c r="M237" s="157"/>
      <c r="N237" s="157"/>
      <c r="O237" s="157"/>
      <c r="P237" s="157"/>
      <c r="Q237" s="157"/>
    </row>
    <row r="238" spans="1:17" s="156" customFormat="1" ht="30" customHeight="1">
      <c r="A238" s="113"/>
      <c r="B238" s="150"/>
      <c r="C238" s="141"/>
      <c r="D238" s="146" t="s">
        <v>789</v>
      </c>
      <c r="E238" s="117"/>
      <c r="F238" s="117"/>
      <c r="G238" s="118"/>
      <c r="M238" s="157"/>
      <c r="N238" s="157"/>
      <c r="O238" s="157"/>
      <c r="P238" s="157"/>
      <c r="Q238" s="157"/>
    </row>
    <row r="239" spans="1:17" s="156" customFormat="1" ht="40.5" customHeight="1">
      <c r="A239" s="113"/>
      <c r="B239" s="150"/>
      <c r="C239" s="141" t="s">
        <v>230</v>
      </c>
      <c r="D239" s="146" t="s">
        <v>231</v>
      </c>
      <c r="E239" s="117">
        <v>2000000</v>
      </c>
      <c r="F239" s="117">
        <v>335486.58</v>
      </c>
      <c r="G239" s="118">
        <f>F239/E239*100</f>
        <v>16.774329</v>
      </c>
      <c r="M239" s="157"/>
      <c r="N239" s="157"/>
      <c r="O239" s="157"/>
      <c r="P239" s="157"/>
      <c r="Q239" s="157"/>
    </row>
    <row r="240" spans="1:17" s="204" customFormat="1" ht="20.25" customHeight="1">
      <c r="A240" s="99" t="s">
        <v>85</v>
      </c>
      <c r="B240" s="161"/>
      <c r="C240" s="131"/>
      <c r="D240" s="132" t="s">
        <v>86</v>
      </c>
      <c r="E240" s="133">
        <f>SUM(E241)</f>
        <v>127000</v>
      </c>
      <c r="F240" s="133">
        <f>SUM(F241)</f>
        <v>63498</v>
      </c>
      <c r="G240" s="103">
        <f>F240/E240*100</f>
        <v>49.99842519685039</v>
      </c>
      <c r="M240" s="205"/>
      <c r="N240" s="205"/>
      <c r="O240" s="205"/>
      <c r="P240" s="205"/>
      <c r="Q240" s="205"/>
    </row>
    <row r="241" spans="1:17" s="206" customFormat="1" ht="21" customHeight="1">
      <c r="A241" s="113"/>
      <c r="B241" s="162" t="s">
        <v>87</v>
      </c>
      <c r="C241" s="162"/>
      <c r="D241" s="163" t="s">
        <v>88</v>
      </c>
      <c r="E241" s="164">
        <f>SUM(E242)</f>
        <v>127000</v>
      </c>
      <c r="F241" s="164">
        <f>SUM(F242)</f>
        <v>63498</v>
      </c>
      <c r="G241" s="165">
        <f>F241/E241*100</f>
        <v>49.99842519685039</v>
      </c>
      <c r="M241" s="207"/>
      <c r="N241" s="207"/>
      <c r="O241" s="207"/>
      <c r="P241" s="207"/>
      <c r="Q241" s="207"/>
    </row>
    <row r="242" spans="1:17" s="212" customFormat="1" ht="57" customHeight="1">
      <c r="A242" s="208"/>
      <c r="B242" s="162"/>
      <c r="C242" s="209">
        <v>2110</v>
      </c>
      <c r="D242" s="210" t="s">
        <v>379</v>
      </c>
      <c r="E242" s="211">
        <v>127000</v>
      </c>
      <c r="F242" s="211">
        <v>63498</v>
      </c>
      <c r="G242" s="149">
        <f>F242/E242*100</f>
        <v>49.99842519685039</v>
      </c>
      <c r="M242" s="213">
        <v>1</v>
      </c>
      <c r="N242" s="213">
        <v>2</v>
      </c>
      <c r="O242" s="213">
        <v>3</v>
      </c>
      <c r="P242" s="213">
        <v>4</v>
      </c>
      <c r="Q242" s="213">
        <v>5</v>
      </c>
    </row>
    <row r="243" spans="1:7" s="206" customFormat="1" ht="19.5" customHeight="1">
      <c r="A243" s="99" t="s">
        <v>89</v>
      </c>
      <c r="B243" s="131"/>
      <c r="C243" s="214"/>
      <c r="D243" s="132" t="s">
        <v>90</v>
      </c>
      <c r="E243" s="133">
        <f>SUM(E244,E246,E249)</f>
        <v>391000</v>
      </c>
      <c r="F243" s="133">
        <f>SUM(F244,F246,F249)</f>
        <v>206605.95</v>
      </c>
      <c r="G243" s="103">
        <f aca="true" t="shared" si="9" ref="G243:G249">F243/E243*100</f>
        <v>52.84039641943734</v>
      </c>
    </row>
    <row r="244" spans="1:7" s="206" customFormat="1" ht="19.5" customHeight="1">
      <c r="A244" s="106"/>
      <c r="B244" s="136" t="s">
        <v>91</v>
      </c>
      <c r="C244" s="136"/>
      <c r="D244" s="137" t="s">
        <v>381</v>
      </c>
      <c r="E244" s="138">
        <f>E245</f>
        <v>51000</v>
      </c>
      <c r="F244" s="138">
        <f>F245</f>
        <v>27388</v>
      </c>
      <c r="G244" s="110">
        <f t="shared" si="9"/>
        <v>53.70196078431373</v>
      </c>
    </row>
    <row r="245" spans="1:7" s="156" customFormat="1" ht="54.75" customHeight="1">
      <c r="A245" s="113"/>
      <c r="B245" s="141"/>
      <c r="C245" s="141" t="s">
        <v>541</v>
      </c>
      <c r="D245" s="146" t="s">
        <v>379</v>
      </c>
      <c r="E245" s="143">
        <v>51000</v>
      </c>
      <c r="F245" s="143">
        <v>27388</v>
      </c>
      <c r="G245" s="118">
        <f t="shared" si="9"/>
        <v>53.70196078431373</v>
      </c>
    </row>
    <row r="246" spans="1:7" s="206" customFormat="1" ht="19.5" customHeight="1">
      <c r="A246" s="106"/>
      <c r="B246" s="136" t="s">
        <v>92</v>
      </c>
      <c r="C246" s="136"/>
      <c r="D246" s="108" t="s">
        <v>93</v>
      </c>
      <c r="E246" s="138">
        <f>SUM(E247,E248)</f>
        <v>14000</v>
      </c>
      <c r="F246" s="138">
        <f>SUM(F247,F248)</f>
        <v>8419.95</v>
      </c>
      <c r="G246" s="110">
        <f t="shared" si="9"/>
        <v>60.14250000000001</v>
      </c>
    </row>
    <row r="247" spans="1:7" s="156" customFormat="1" ht="28.5" customHeight="1">
      <c r="A247" s="113"/>
      <c r="B247" s="141"/>
      <c r="C247" s="141" t="s">
        <v>573</v>
      </c>
      <c r="D247" s="146" t="s">
        <v>1251</v>
      </c>
      <c r="E247" s="143">
        <v>0</v>
      </c>
      <c r="F247" s="143">
        <v>903.95</v>
      </c>
      <c r="G247" s="118" t="s">
        <v>312</v>
      </c>
    </row>
    <row r="248" spans="1:7" s="156" customFormat="1" ht="60.75" customHeight="1">
      <c r="A248" s="113"/>
      <c r="B248" s="141"/>
      <c r="C248" s="141" t="s">
        <v>541</v>
      </c>
      <c r="D248" s="146" t="s">
        <v>379</v>
      </c>
      <c r="E248" s="143">
        <v>14000</v>
      </c>
      <c r="F248" s="143">
        <v>7516</v>
      </c>
      <c r="G248" s="118">
        <f t="shared" si="9"/>
        <v>53.68571428571428</v>
      </c>
    </row>
    <row r="249" spans="1:7" s="206" customFormat="1" ht="19.5" customHeight="1">
      <c r="A249" s="106"/>
      <c r="B249" s="136" t="s">
        <v>94</v>
      </c>
      <c r="C249" s="136"/>
      <c r="D249" s="137" t="s">
        <v>98</v>
      </c>
      <c r="E249" s="138">
        <f>SUM(E250)</f>
        <v>326000</v>
      </c>
      <c r="F249" s="138">
        <f>SUM(F250)</f>
        <v>170798</v>
      </c>
      <c r="G249" s="110">
        <f t="shared" si="9"/>
        <v>52.392024539877305</v>
      </c>
    </row>
    <row r="250" spans="1:7" s="156" customFormat="1" ht="60" customHeight="1" thickBot="1">
      <c r="A250" s="227"/>
      <c r="B250" s="228"/>
      <c r="C250" s="228" t="s">
        <v>541</v>
      </c>
      <c r="D250" s="230" t="s">
        <v>379</v>
      </c>
      <c r="E250" s="231">
        <v>326000</v>
      </c>
      <c r="F250" s="231">
        <v>170798</v>
      </c>
      <c r="G250" s="418">
        <f>F250/E250*100</f>
        <v>52.392024539877305</v>
      </c>
    </row>
    <row r="251" spans="1:7" s="222" customFormat="1" ht="28.5" customHeight="1" thickBot="1">
      <c r="A251" s="396"/>
      <c r="B251" s="396"/>
      <c r="C251" s="396"/>
      <c r="D251" s="406"/>
      <c r="E251" s="400"/>
      <c r="F251" s="400"/>
      <c r="G251" s="398"/>
    </row>
    <row r="252" spans="1:17" s="129" customFormat="1" ht="12" customHeight="1" thickBot="1">
      <c r="A252" s="1223">
        <v>1</v>
      </c>
      <c r="B252" s="1224">
        <v>2</v>
      </c>
      <c r="C252" s="1224">
        <v>3</v>
      </c>
      <c r="D252" s="1224">
        <v>4</v>
      </c>
      <c r="E252" s="1225">
        <v>5</v>
      </c>
      <c r="F252" s="1226">
        <v>6</v>
      </c>
      <c r="G252" s="1227">
        <v>7</v>
      </c>
      <c r="M252" s="734">
        <v>1</v>
      </c>
      <c r="N252" s="734">
        <v>2</v>
      </c>
      <c r="O252" s="734">
        <v>3</v>
      </c>
      <c r="P252" s="734">
        <v>4</v>
      </c>
      <c r="Q252" s="734">
        <v>5</v>
      </c>
    </row>
    <row r="253" spans="1:17" s="204" customFormat="1" ht="19.5" customHeight="1">
      <c r="A253" s="99" t="s">
        <v>101</v>
      </c>
      <c r="B253" s="131"/>
      <c r="C253" s="131"/>
      <c r="D253" s="132" t="s">
        <v>102</v>
      </c>
      <c r="E253" s="133">
        <f>SUM(E254,E256,E261)</f>
        <v>749600</v>
      </c>
      <c r="F253" s="133">
        <f>SUM(F254,F256,F261)</f>
        <v>752612.43</v>
      </c>
      <c r="G253" s="103">
        <f>F253/E253*100</f>
        <v>100.40187166488795</v>
      </c>
      <c r="M253" s="205"/>
      <c r="N253" s="205"/>
      <c r="O253" s="205"/>
      <c r="P253" s="205"/>
      <c r="Q253" s="205"/>
    </row>
    <row r="254" spans="1:7" s="206" customFormat="1" ht="19.5" customHeight="1">
      <c r="A254" s="106"/>
      <c r="B254" s="136" t="s">
        <v>103</v>
      </c>
      <c r="C254" s="136"/>
      <c r="D254" s="137" t="s">
        <v>109</v>
      </c>
      <c r="E254" s="138">
        <f>SUM(E255)</f>
        <v>80000</v>
      </c>
      <c r="F254" s="138">
        <f>SUM(F255)</f>
        <v>43096</v>
      </c>
      <c r="G254" s="110">
        <f>F254/E254*100</f>
        <v>53.87</v>
      </c>
    </row>
    <row r="255" spans="1:7" s="156" customFormat="1" ht="59.25" customHeight="1">
      <c r="A255" s="113"/>
      <c r="B255" s="141"/>
      <c r="C255" s="141" t="s">
        <v>541</v>
      </c>
      <c r="D255" s="146" t="s">
        <v>379</v>
      </c>
      <c r="E255" s="143">
        <v>80000</v>
      </c>
      <c r="F255" s="143">
        <v>43096</v>
      </c>
      <c r="G255" s="118">
        <f>F255/E255*100</f>
        <v>53.87</v>
      </c>
    </row>
    <row r="256" spans="1:17" s="206" customFormat="1" ht="19.5" customHeight="1">
      <c r="A256" s="106"/>
      <c r="B256" s="136" t="s">
        <v>110</v>
      </c>
      <c r="C256" s="136"/>
      <c r="D256" s="137" t="s">
        <v>111</v>
      </c>
      <c r="E256" s="138">
        <f>SUM(E257,E258,E259,E260)</f>
        <v>649600</v>
      </c>
      <c r="F256" s="138">
        <f>SUM(F257,F258,F259,F260)</f>
        <v>689516.43</v>
      </c>
      <c r="G256" s="110">
        <f>F256/E256*100</f>
        <v>106.14477062807883</v>
      </c>
      <c r="M256" s="207"/>
      <c r="N256" s="207"/>
      <c r="O256" s="207"/>
      <c r="P256" s="207"/>
      <c r="Q256" s="207"/>
    </row>
    <row r="257" spans="1:17" s="206" customFormat="1" ht="19.5" customHeight="1">
      <c r="A257" s="113"/>
      <c r="B257" s="141"/>
      <c r="C257" s="141" t="s">
        <v>574</v>
      </c>
      <c r="D257" s="146" t="s">
        <v>259</v>
      </c>
      <c r="E257" s="143">
        <v>0</v>
      </c>
      <c r="F257" s="143">
        <v>975</v>
      </c>
      <c r="G257" s="118" t="s">
        <v>312</v>
      </c>
      <c r="M257" s="207"/>
      <c r="N257" s="207"/>
      <c r="O257" s="207"/>
      <c r="P257" s="207"/>
      <c r="Q257" s="207"/>
    </row>
    <row r="258" spans="1:17" s="206" customFormat="1" ht="69" customHeight="1">
      <c r="A258" s="113"/>
      <c r="B258" s="141"/>
      <c r="C258" s="141" t="s">
        <v>575</v>
      </c>
      <c r="D258" s="146" t="s">
        <v>629</v>
      </c>
      <c r="E258" s="143">
        <v>47100</v>
      </c>
      <c r="F258" s="143">
        <v>25195.86</v>
      </c>
      <c r="G258" s="118">
        <f aca="true" t="shared" si="10" ref="G258:G269">F258/E258*100</f>
        <v>53.494394904458595</v>
      </c>
      <c r="M258" s="207"/>
      <c r="N258" s="207"/>
      <c r="O258" s="207"/>
      <c r="P258" s="207"/>
      <c r="Q258" s="207"/>
    </row>
    <row r="259" spans="1:17" s="206" customFormat="1" ht="20.25" customHeight="1">
      <c r="A259" s="113"/>
      <c r="B259" s="141"/>
      <c r="C259" s="141" t="s">
        <v>571</v>
      </c>
      <c r="D259" s="142" t="s">
        <v>323</v>
      </c>
      <c r="E259" s="143">
        <v>0</v>
      </c>
      <c r="F259" s="143">
        <v>226.4</v>
      </c>
      <c r="G259" s="118"/>
      <c r="H259" s="156"/>
      <c r="M259" s="207"/>
      <c r="N259" s="207"/>
      <c r="O259" s="207"/>
      <c r="P259" s="207"/>
      <c r="Q259" s="207"/>
    </row>
    <row r="260" spans="1:17" s="206" customFormat="1" ht="42.75" customHeight="1">
      <c r="A260" s="113"/>
      <c r="B260" s="141"/>
      <c r="C260" s="141" t="s">
        <v>607</v>
      </c>
      <c r="D260" s="146" t="s">
        <v>627</v>
      </c>
      <c r="E260" s="143">
        <v>602500</v>
      </c>
      <c r="F260" s="143">
        <v>663119.17</v>
      </c>
      <c r="G260" s="118">
        <f t="shared" si="10"/>
        <v>110.06127302904565</v>
      </c>
      <c r="M260" s="207"/>
      <c r="N260" s="207"/>
      <c r="O260" s="207"/>
      <c r="P260" s="207"/>
      <c r="Q260" s="207"/>
    </row>
    <row r="261" spans="1:7" s="206" customFormat="1" ht="19.5" customHeight="1">
      <c r="A261" s="106"/>
      <c r="B261" s="136" t="s">
        <v>113</v>
      </c>
      <c r="C261" s="214"/>
      <c r="D261" s="137" t="s">
        <v>114</v>
      </c>
      <c r="E261" s="138">
        <f>E262+E263</f>
        <v>20000</v>
      </c>
      <c r="F261" s="138">
        <f>F262+F263</f>
        <v>20000</v>
      </c>
      <c r="G261" s="110">
        <f t="shared" si="10"/>
        <v>100</v>
      </c>
    </row>
    <row r="262" spans="1:7" s="156" customFormat="1" ht="56.25" customHeight="1">
      <c r="A262" s="113"/>
      <c r="B262" s="141"/>
      <c r="C262" s="215">
        <v>2110</v>
      </c>
      <c r="D262" s="146" t="s">
        <v>379</v>
      </c>
      <c r="E262" s="143">
        <v>17000</v>
      </c>
      <c r="F262" s="143">
        <v>17000</v>
      </c>
      <c r="G262" s="118">
        <f t="shared" si="10"/>
        <v>100</v>
      </c>
    </row>
    <row r="263" spans="1:7" s="156" customFormat="1" ht="56.25" customHeight="1">
      <c r="A263" s="113"/>
      <c r="B263" s="141"/>
      <c r="C263" s="215">
        <v>2120</v>
      </c>
      <c r="D263" s="146" t="s">
        <v>268</v>
      </c>
      <c r="E263" s="143">
        <v>3000</v>
      </c>
      <c r="F263" s="143">
        <v>3000</v>
      </c>
      <c r="G263" s="118">
        <f t="shared" si="10"/>
        <v>100</v>
      </c>
    </row>
    <row r="264" spans="1:7" s="206" customFormat="1" ht="29.25" customHeight="1">
      <c r="A264" s="99" t="s">
        <v>117</v>
      </c>
      <c r="B264" s="131"/>
      <c r="C264" s="214"/>
      <c r="D264" s="148" t="s">
        <v>207</v>
      </c>
      <c r="E264" s="133">
        <f>SUM(E265)</f>
        <v>3565822</v>
      </c>
      <c r="F264" s="133">
        <f>SUM(F265)</f>
        <v>2183867</v>
      </c>
      <c r="G264" s="103">
        <f t="shared" si="10"/>
        <v>61.244419940198924</v>
      </c>
    </row>
    <row r="265" spans="1:7" s="206" customFormat="1" ht="19.5" customHeight="1">
      <c r="A265" s="106"/>
      <c r="B265" s="136" t="s">
        <v>118</v>
      </c>
      <c r="C265" s="214"/>
      <c r="D265" s="108" t="s">
        <v>385</v>
      </c>
      <c r="E265" s="138">
        <f>SUM(E266,E267)</f>
        <v>3565822</v>
      </c>
      <c r="F265" s="138">
        <f>SUM(F266,F267)</f>
        <v>2183867</v>
      </c>
      <c r="G265" s="110">
        <f t="shared" si="10"/>
        <v>61.244419940198924</v>
      </c>
    </row>
    <row r="266" spans="1:7" s="156" customFormat="1" ht="56.25" customHeight="1">
      <c r="A266" s="113"/>
      <c r="B266" s="114"/>
      <c r="C266" s="216">
        <v>2110</v>
      </c>
      <c r="D266" s="146" t="s">
        <v>379</v>
      </c>
      <c r="E266" s="155">
        <v>3565822</v>
      </c>
      <c r="F266" s="155">
        <v>2183867</v>
      </c>
      <c r="G266" s="118">
        <f t="shared" si="10"/>
        <v>61.244419940198924</v>
      </c>
    </row>
    <row r="267" spans="1:7" s="156" customFormat="1" ht="57.75" customHeight="1" hidden="1">
      <c r="A267" s="113"/>
      <c r="B267" s="114"/>
      <c r="C267" s="216">
        <v>6410</v>
      </c>
      <c r="D267" s="146" t="s">
        <v>1240</v>
      </c>
      <c r="E267" s="155">
        <v>0</v>
      </c>
      <c r="F267" s="155">
        <v>0</v>
      </c>
      <c r="G267" s="118" t="e">
        <f t="shared" si="10"/>
        <v>#DIV/0!</v>
      </c>
    </row>
    <row r="268" spans="1:17" s="204" customFormat="1" ht="69" customHeight="1">
      <c r="A268" s="217" t="s">
        <v>368</v>
      </c>
      <c r="B268" s="131"/>
      <c r="C268" s="131"/>
      <c r="D268" s="148" t="s">
        <v>797</v>
      </c>
      <c r="E268" s="133">
        <f>SUM(E269,E271)</f>
        <v>6558515</v>
      </c>
      <c r="F268" s="133">
        <f>SUM(F269,F271)</f>
        <v>3141685.89</v>
      </c>
      <c r="G268" s="103">
        <f t="shared" si="10"/>
        <v>47.902396960287504</v>
      </c>
      <c r="M268" s="205"/>
      <c r="N268" s="205"/>
      <c r="O268" s="205"/>
      <c r="P268" s="205"/>
      <c r="Q268" s="205"/>
    </row>
    <row r="269" spans="1:17" s="206" customFormat="1" ht="41.25" customHeight="1">
      <c r="A269" s="106"/>
      <c r="B269" s="136" t="s">
        <v>280</v>
      </c>
      <c r="C269" s="136"/>
      <c r="D269" s="108" t="s">
        <v>391</v>
      </c>
      <c r="E269" s="138">
        <f>SUM(E270)</f>
        <v>518840</v>
      </c>
      <c r="F269" s="138">
        <f>SUM(F270)</f>
        <v>362134</v>
      </c>
      <c r="G269" s="110">
        <f t="shared" si="10"/>
        <v>69.79685452162516</v>
      </c>
      <c r="M269" s="207"/>
      <c r="N269" s="207"/>
      <c r="O269" s="207"/>
      <c r="P269" s="207"/>
      <c r="Q269" s="207"/>
    </row>
    <row r="270" spans="1:17" s="156" customFormat="1" ht="19.5" customHeight="1">
      <c r="A270" s="113"/>
      <c r="B270" s="141"/>
      <c r="C270" s="141" t="s">
        <v>594</v>
      </c>
      <c r="D270" s="142" t="s">
        <v>267</v>
      </c>
      <c r="E270" s="143">
        <v>518840</v>
      </c>
      <c r="F270" s="143">
        <v>362134</v>
      </c>
      <c r="G270" s="118">
        <f aca="true" t="shared" si="11" ref="G270:G290">F270/E270*100</f>
        <v>69.79685452162516</v>
      </c>
      <c r="M270" s="157"/>
      <c r="N270" s="157"/>
      <c r="O270" s="157"/>
      <c r="P270" s="157"/>
      <c r="Q270" s="157"/>
    </row>
    <row r="271" spans="1:17" s="206" customFormat="1" ht="30.75" customHeight="1">
      <c r="A271" s="106"/>
      <c r="B271" s="136" t="s">
        <v>314</v>
      </c>
      <c r="C271" s="136"/>
      <c r="D271" s="108" t="s">
        <v>539</v>
      </c>
      <c r="E271" s="138">
        <f>+E272+E273</f>
        <v>6039675</v>
      </c>
      <c r="F271" s="138">
        <f>F272+F273</f>
        <v>2779551.89</v>
      </c>
      <c r="G271" s="110">
        <f t="shared" si="11"/>
        <v>46.02154735147173</v>
      </c>
      <c r="M271" s="207"/>
      <c r="N271" s="207"/>
      <c r="O271" s="207"/>
      <c r="P271" s="207"/>
      <c r="Q271" s="207"/>
    </row>
    <row r="272" spans="1:17" s="156" customFormat="1" ht="19.5" customHeight="1">
      <c r="A272" s="113"/>
      <c r="B272" s="141"/>
      <c r="C272" s="141" t="s">
        <v>598</v>
      </c>
      <c r="D272" s="146" t="s">
        <v>308</v>
      </c>
      <c r="E272" s="143">
        <v>5799675</v>
      </c>
      <c r="F272" s="143">
        <v>2695194</v>
      </c>
      <c r="G272" s="118">
        <f t="shared" si="11"/>
        <v>46.47146607352998</v>
      </c>
      <c r="M272" s="157"/>
      <c r="N272" s="157"/>
      <c r="O272" s="157"/>
      <c r="P272" s="157"/>
      <c r="Q272" s="157"/>
    </row>
    <row r="273" spans="1:17" s="156" customFormat="1" ht="19.5" customHeight="1" thickBot="1">
      <c r="A273" s="227"/>
      <c r="B273" s="228"/>
      <c r="C273" s="228" t="s">
        <v>599</v>
      </c>
      <c r="D273" s="745" t="s">
        <v>313</v>
      </c>
      <c r="E273" s="231">
        <v>240000</v>
      </c>
      <c r="F273" s="231">
        <v>84357.89</v>
      </c>
      <c r="G273" s="418">
        <f t="shared" si="11"/>
        <v>35.14912083333333</v>
      </c>
      <c r="M273" s="157"/>
      <c r="N273" s="157"/>
      <c r="O273" s="157"/>
      <c r="P273" s="157"/>
      <c r="Q273" s="157"/>
    </row>
    <row r="274" spans="1:7" s="222" customFormat="1" ht="19.5" customHeight="1" thickBot="1">
      <c r="A274" s="396"/>
      <c r="B274" s="396"/>
      <c r="C274" s="396"/>
      <c r="D274" s="733"/>
      <c r="E274" s="400"/>
      <c r="F274" s="400"/>
      <c r="G274" s="398"/>
    </row>
    <row r="275" spans="1:17" s="129" customFormat="1" ht="12" customHeight="1" thickBot="1">
      <c r="A275" s="1223">
        <v>1</v>
      </c>
      <c r="B275" s="1224">
        <v>2</v>
      </c>
      <c r="C275" s="1224">
        <v>3</v>
      </c>
      <c r="D275" s="1224">
        <v>4</v>
      </c>
      <c r="E275" s="1225">
        <v>5</v>
      </c>
      <c r="F275" s="1226">
        <v>6</v>
      </c>
      <c r="G275" s="1227">
        <v>7</v>
      </c>
      <c r="M275" s="734">
        <v>1</v>
      </c>
      <c r="N275" s="734">
        <v>2</v>
      </c>
      <c r="O275" s="734">
        <v>3</v>
      </c>
      <c r="P275" s="734">
        <v>4</v>
      </c>
      <c r="Q275" s="734">
        <v>5</v>
      </c>
    </row>
    <row r="276" spans="1:17" s="204" customFormat="1" ht="19.5" customHeight="1">
      <c r="A276" s="99" t="s">
        <v>122</v>
      </c>
      <c r="B276" s="131"/>
      <c r="C276" s="131"/>
      <c r="D276" s="132" t="s">
        <v>123</v>
      </c>
      <c r="E276" s="133">
        <f>SUM(E277,E279,E282,E284)</f>
        <v>40563044</v>
      </c>
      <c r="F276" s="133">
        <f>SUM(F277,F279,F282,F284)</f>
        <v>21573464</v>
      </c>
      <c r="G276" s="103">
        <f t="shared" si="11"/>
        <v>53.185022307497434</v>
      </c>
      <c r="M276" s="205"/>
      <c r="N276" s="205"/>
      <c r="O276" s="205"/>
      <c r="P276" s="205"/>
      <c r="Q276" s="205"/>
    </row>
    <row r="277" spans="1:17" s="206" customFormat="1" ht="33.75" customHeight="1">
      <c r="A277" s="106"/>
      <c r="B277" s="136" t="s">
        <v>315</v>
      </c>
      <c r="C277" s="136"/>
      <c r="D277" s="108" t="s">
        <v>318</v>
      </c>
      <c r="E277" s="138">
        <f>E278</f>
        <v>16097793</v>
      </c>
      <c r="F277" s="138">
        <f>F278</f>
        <v>9906336</v>
      </c>
      <c r="G277" s="110">
        <f t="shared" si="11"/>
        <v>61.53847300682771</v>
      </c>
      <c r="M277" s="207"/>
      <c r="N277" s="207"/>
      <c r="O277" s="207"/>
      <c r="P277" s="207"/>
      <c r="Q277" s="207"/>
    </row>
    <row r="278" spans="1:17" s="204" customFormat="1" ht="19.5" customHeight="1">
      <c r="A278" s="99"/>
      <c r="B278" s="131"/>
      <c r="C278" s="141" t="s">
        <v>600</v>
      </c>
      <c r="D278" s="146" t="s">
        <v>386</v>
      </c>
      <c r="E278" s="143">
        <v>16097793</v>
      </c>
      <c r="F278" s="143">
        <v>9906336</v>
      </c>
      <c r="G278" s="118">
        <f t="shared" si="11"/>
        <v>61.53847300682771</v>
      </c>
      <c r="M278" s="205"/>
      <c r="N278" s="205"/>
      <c r="O278" s="205"/>
      <c r="P278" s="205"/>
      <c r="Q278" s="205"/>
    </row>
    <row r="279" spans="1:17" s="206" customFormat="1" ht="30" customHeight="1">
      <c r="A279" s="106"/>
      <c r="B279" s="136" t="s">
        <v>320</v>
      </c>
      <c r="C279" s="136"/>
      <c r="D279" s="108" t="s">
        <v>801</v>
      </c>
      <c r="E279" s="138">
        <f>SUM(E281,E280)</f>
        <v>23131000</v>
      </c>
      <c r="F279" s="138">
        <f>SUM(F281,F280)</f>
        <v>11000000</v>
      </c>
      <c r="G279" s="110">
        <f t="shared" si="11"/>
        <v>47.55522891357918</v>
      </c>
      <c r="M279" s="207"/>
      <c r="N279" s="207"/>
      <c r="O279" s="207"/>
      <c r="P279" s="207"/>
      <c r="Q279" s="207"/>
    </row>
    <row r="280" spans="1:17" s="156" customFormat="1" ht="55.5" customHeight="1">
      <c r="A280" s="113"/>
      <c r="B280" s="141"/>
      <c r="C280" s="141" t="s">
        <v>608</v>
      </c>
      <c r="D280" s="146" t="s">
        <v>712</v>
      </c>
      <c r="E280" s="143">
        <v>22000000</v>
      </c>
      <c r="F280" s="143">
        <v>11000000</v>
      </c>
      <c r="G280" s="118">
        <f t="shared" si="11"/>
        <v>50</v>
      </c>
      <c r="M280" s="157"/>
      <c r="N280" s="157"/>
      <c r="O280" s="157"/>
      <c r="P280" s="157"/>
      <c r="Q280" s="157"/>
    </row>
    <row r="281" spans="1:17" s="156" customFormat="1" ht="53.25" customHeight="1">
      <c r="A281" s="113"/>
      <c r="B281" s="141"/>
      <c r="C281" s="141" t="s">
        <v>749</v>
      </c>
      <c r="D281" s="146" t="s">
        <v>715</v>
      </c>
      <c r="E281" s="143">
        <v>1131000</v>
      </c>
      <c r="F281" s="143">
        <v>0</v>
      </c>
      <c r="G281" s="118">
        <f>F281/E281*100</f>
        <v>0</v>
      </c>
      <c r="M281" s="157"/>
      <c r="N281" s="157"/>
      <c r="O281" s="157"/>
      <c r="P281" s="157"/>
      <c r="Q281" s="157"/>
    </row>
    <row r="282" spans="1:17" s="206" customFormat="1" ht="26.25" customHeight="1">
      <c r="A282" s="106"/>
      <c r="B282" s="136" t="s">
        <v>750</v>
      </c>
      <c r="C282" s="136"/>
      <c r="D282" s="108" t="s">
        <v>751</v>
      </c>
      <c r="E282" s="138">
        <f>SUM(E283)</f>
        <v>67964</v>
      </c>
      <c r="F282" s="138">
        <f>SUM(F283)</f>
        <v>33984</v>
      </c>
      <c r="G282" s="110">
        <f>F282/E282*100</f>
        <v>50.00294273438879</v>
      </c>
      <c r="M282" s="219"/>
      <c r="N282" s="219"/>
      <c r="O282" s="219"/>
      <c r="P282" s="219"/>
      <c r="Q282" s="219"/>
    </row>
    <row r="283" spans="1:17" s="156" customFormat="1" ht="19.5" customHeight="1">
      <c r="A283" s="113"/>
      <c r="B283" s="141"/>
      <c r="C283" s="141" t="s">
        <v>600</v>
      </c>
      <c r="D283" s="146" t="s">
        <v>386</v>
      </c>
      <c r="E283" s="143">
        <v>67964</v>
      </c>
      <c r="F283" s="143">
        <v>33984</v>
      </c>
      <c r="G283" s="118">
        <f>F283/E283*100</f>
        <v>50.00294273438879</v>
      </c>
      <c r="M283" s="222"/>
      <c r="N283" s="222"/>
      <c r="O283" s="222"/>
      <c r="P283" s="222"/>
      <c r="Q283" s="222"/>
    </row>
    <row r="284" spans="1:17" s="206" customFormat="1" ht="23.25" customHeight="1">
      <c r="A284" s="106"/>
      <c r="B284" s="136" t="s">
        <v>609</v>
      </c>
      <c r="C284" s="218"/>
      <c r="D284" s="108" t="s">
        <v>625</v>
      </c>
      <c r="E284" s="138">
        <f>E285</f>
        <v>1266287</v>
      </c>
      <c r="F284" s="138">
        <f>F285</f>
        <v>633144</v>
      </c>
      <c r="G284" s="110">
        <f t="shared" si="11"/>
        <v>50.00003948551948</v>
      </c>
      <c r="M284" s="219"/>
      <c r="N284" s="219"/>
      <c r="O284" s="219"/>
      <c r="P284" s="219"/>
      <c r="Q284" s="219"/>
    </row>
    <row r="285" spans="1:17" s="156" customFormat="1" ht="21" customHeight="1">
      <c r="A285" s="113"/>
      <c r="B285" s="141"/>
      <c r="C285" s="220" t="s">
        <v>600</v>
      </c>
      <c r="D285" s="221" t="s">
        <v>319</v>
      </c>
      <c r="E285" s="143">
        <v>1266287</v>
      </c>
      <c r="F285" s="143">
        <v>633144</v>
      </c>
      <c r="G285" s="118">
        <f t="shared" si="11"/>
        <v>50.00003948551948</v>
      </c>
      <c r="M285" s="222"/>
      <c r="N285" s="222"/>
      <c r="O285" s="222"/>
      <c r="P285" s="222"/>
      <c r="Q285" s="222"/>
    </row>
    <row r="286" spans="1:7" s="206" customFormat="1" ht="19.5" customHeight="1" hidden="1">
      <c r="A286" s="99" t="s">
        <v>124</v>
      </c>
      <c r="B286" s="131"/>
      <c r="C286" s="214"/>
      <c r="D286" s="132" t="s">
        <v>125</v>
      </c>
      <c r="E286" s="133">
        <f>SUM(E287)</f>
        <v>0</v>
      </c>
      <c r="F286" s="133">
        <f>SUM(F287)</f>
        <v>0</v>
      </c>
      <c r="G286" s="103" t="e">
        <f>F286/E286*100</f>
        <v>#DIV/0!</v>
      </c>
    </row>
    <row r="287" spans="1:7" s="206" customFormat="1" ht="21" customHeight="1" hidden="1">
      <c r="A287" s="106"/>
      <c r="B287" s="218" t="s">
        <v>910</v>
      </c>
      <c r="C287" s="214"/>
      <c r="D287" s="108" t="s">
        <v>74</v>
      </c>
      <c r="E287" s="138">
        <f>SUM(E288,E289)</f>
        <v>0</v>
      </c>
      <c r="F287" s="138">
        <f>SUM(F288,F289)</f>
        <v>0</v>
      </c>
      <c r="G287" s="110" t="e">
        <f>F287/E287*100</f>
        <v>#DIV/0!</v>
      </c>
    </row>
    <row r="288" spans="1:7" s="156" customFormat="1" ht="31.5" customHeight="1" hidden="1">
      <c r="A288" s="113"/>
      <c r="B288" s="141"/>
      <c r="C288" s="215">
        <v>2130</v>
      </c>
      <c r="D288" s="146" t="s">
        <v>1241</v>
      </c>
      <c r="E288" s="143">
        <v>0</v>
      </c>
      <c r="F288" s="143">
        <v>0</v>
      </c>
      <c r="G288" s="118" t="e">
        <f>F288/E288*100</f>
        <v>#DIV/0!</v>
      </c>
    </row>
    <row r="289" spans="1:17" s="156" customFormat="1" ht="45" customHeight="1" hidden="1">
      <c r="A289" s="113"/>
      <c r="B289" s="141"/>
      <c r="C289" s="220" t="s">
        <v>230</v>
      </c>
      <c r="D289" s="221" t="s">
        <v>231</v>
      </c>
      <c r="E289" s="143">
        <v>0</v>
      </c>
      <c r="F289" s="143">
        <v>0</v>
      </c>
      <c r="G289" s="118" t="e">
        <f>F289/E289*100</f>
        <v>#DIV/0!</v>
      </c>
      <c r="M289" s="222"/>
      <c r="N289" s="222"/>
      <c r="O289" s="222"/>
      <c r="P289" s="222"/>
      <c r="Q289" s="222"/>
    </row>
    <row r="290" spans="1:7" s="206" customFormat="1" ht="19.5" customHeight="1">
      <c r="A290" s="99" t="s">
        <v>133</v>
      </c>
      <c r="B290" s="131"/>
      <c r="C290" s="214"/>
      <c r="D290" s="132" t="s">
        <v>134</v>
      </c>
      <c r="E290" s="133">
        <f>SUM(E291)</f>
        <v>692000</v>
      </c>
      <c r="F290" s="133">
        <f>SUM(F291)</f>
        <v>320359</v>
      </c>
      <c r="G290" s="103">
        <f t="shared" si="11"/>
        <v>46.29465317919075</v>
      </c>
    </row>
    <row r="291" spans="1:7" s="206" customFormat="1" ht="43.5" customHeight="1">
      <c r="A291" s="106"/>
      <c r="B291" s="218" t="s">
        <v>324</v>
      </c>
      <c r="C291" s="214"/>
      <c r="D291" s="108" t="s">
        <v>804</v>
      </c>
      <c r="E291" s="138">
        <f>SUM(E292)</f>
        <v>692000</v>
      </c>
      <c r="F291" s="138">
        <f>SUM(F292)</f>
        <v>320359</v>
      </c>
      <c r="G291" s="110">
        <f aca="true" t="shared" si="12" ref="G291:G324">F291/E291*100</f>
        <v>46.29465317919075</v>
      </c>
    </row>
    <row r="292" spans="1:7" s="156" customFormat="1" ht="58.5" customHeight="1">
      <c r="A292" s="113"/>
      <c r="B292" s="141"/>
      <c r="C292" s="215">
        <v>2110</v>
      </c>
      <c r="D292" s="146" t="s">
        <v>379</v>
      </c>
      <c r="E292" s="143">
        <v>692000</v>
      </c>
      <c r="F292" s="143">
        <v>320359</v>
      </c>
      <c r="G292" s="118">
        <f t="shared" si="12"/>
        <v>46.29465317919075</v>
      </c>
    </row>
    <row r="293" spans="1:7" s="204" customFormat="1" ht="21.75" customHeight="1">
      <c r="A293" s="99" t="s">
        <v>610</v>
      </c>
      <c r="B293" s="131"/>
      <c r="C293" s="223"/>
      <c r="D293" s="148" t="s">
        <v>621</v>
      </c>
      <c r="E293" s="133">
        <f>SUM(E294,E296,E298,E303,E305)</f>
        <v>377999</v>
      </c>
      <c r="F293" s="133">
        <f>SUM(F294,F296,F298,F303,F305)</f>
        <v>195739.6</v>
      </c>
      <c r="G293" s="103">
        <f t="shared" si="12"/>
        <v>51.78309995529089</v>
      </c>
    </row>
    <row r="294" spans="1:7" s="206" customFormat="1" ht="21.75" customHeight="1">
      <c r="A294" s="106"/>
      <c r="B294" s="136" t="s">
        <v>611</v>
      </c>
      <c r="C294" s="224"/>
      <c r="D294" s="225" t="s">
        <v>4</v>
      </c>
      <c r="E294" s="138">
        <f>SUM(E295)</f>
        <v>0</v>
      </c>
      <c r="F294" s="138">
        <f>SUM(F295)</f>
        <v>1463.69</v>
      </c>
      <c r="G294" s="110" t="s">
        <v>312</v>
      </c>
    </row>
    <row r="295" spans="1:7" s="156" customFormat="1" ht="21.75" customHeight="1">
      <c r="A295" s="113"/>
      <c r="B295" s="141"/>
      <c r="C295" s="220" t="s">
        <v>572</v>
      </c>
      <c r="D295" s="221" t="s">
        <v>262</v>
      </c>
      <c r="E295" s="143">
        <v>0</v>
      </c>
      <c r="F295" s="143">
        <v>1463.69</v>
      </c>
      <c r="G295" s="118" t="s">
        <v>312</v>
      </c>
    </row>
    <row r="296" spans="1:7" s="206" customFormat="1" ht="21.75" customHeight="1">
      <c r="A296" s="106"/>
      <c r="B296" s="136" t="s">
        <v>622</v>
      </c>
      <c r="C296" s="224"/>
      <c r="D296" s="225" t="s">
        <v>387</v>
      </c>
      <c r="E296" s="138">
        <f>SUM(E297)</f>
        <v>311070</v>
      </c>
      <c r="F296" s="138">
        <f>SUM(F297)</f>
        <v>156068</v>
      </c>
      <c r="G296" s="110">
        <f t="shared" si="12"/>
        <v>50.17134407046645</v>
      </c>
    </row>
    <row r="297" spans="1:7" s="156" customFormat="1" ht="54" customHeight="1">
      <c r="A297" s="113"/>
      <c r="B297" s="141"/>
      <c r="C297" s="215">
        <v>2110</v>
      </c>
      <c r="D297" s="146" t="s">
        <v>379</v>
      </c>
      <c r="E297" s="155">
        <v>311070</v>
      </c>
      <c r="F297" s="143">
        <v>156068</v>
      </c>
      <c r="G297" s="118">
        <f t="shared" si="12"/>
        <v>50.17134407046645</v>
      </c>
    </row>
    <row r="298" spans="1:7" s="206" customFormat="1" ht="20.25" customHeight="1">
      <c r="A298" s="106"/>
      <c r="B298" s="136" t="s">
        <v>926</v>
      </c>
      <c r="C298" s="224"/>
      <c r="D298" s="108" t="s">
        <v>927</v>
      </c>
      <c r="E298" s="226">
        <f>SUM(E299,E300)</f>
        <v>64229</v>
      </c>
      <c r="F298" s="226">
        <f>SUM(F299,F300)</f>
        <v>35507.909999999996</v>
      </c>
      <c r="G298" s="110">
        <f t="shared" si="12"/>
        <v>55.28329882140466</v>
      </c>
    </row>
    <row r="299" spans="1:7" s="156" customFormat="1" ht="20.25" customHeight="1">
      <c r="A299" s="113"/>
      <c r="B299" s="141"/>
      <c r="C299" s="220" t="s">
        <v>572</v>
      </c>
      <c r="D299" s="146" t="s">
        <v>262</v>
      </c>
      <c r="E299" s="155">
        <v>0</v>
      </c>
      <c r="F299" s="143">
        <v>628.78</v>
      </c>
      <c r="G299" s="118" t="s">
        <v>312</v>
      </c>
    </row>
    <row r="300" spans="1:7" s="156" customFormat="1" ht="54.75" customHeight="1" thickBot="1">
      <c r="A300" s="227"/>
      <c r="B300" s="228"/>
      <c r="C300" s="228" t="s">
        <v>563</v>
      </c>
      <c r="D300" s="230" t="s">
        <v>564</v>
      </c>
      <c r="E300" s="746">
        <v>64229</v>
      </c>
      <c r="F300" s="231">
        <v>34879.13</v>
      </c>
      <c r="G300" s="418">
        <f t="shared" si="12"/>
        <v>54.304332933721525</v>
      </c>
    </row>
    <row r="301" spans="1:7" s="222" customFormat="1" ht="20.25" customHeight="1" thickBot="1">
      <c r="A301" s="396"/>
      <c r="B301" s="396"/>
      <c r="C301" s="396"/>
      <c r="D301" s="406"/>
      <c r="E301" s="400"/>
      <c r="F301" s="400"/>
      <c r="G301" s="398"/>
    </row>
    <row r="302" spans="1:17" s="129" customFormat="1" ht="12" customHeight="1" thickBot="1">
      <c r="A302" s="1223">
        <v>1</v>
      </c>
      <c r="B302" s="1224">
        <v>2</v>
      </c>
      <c r="C302" s="1224">
        <v>3</v>
      </c>
      <c r="D302" s="1224">
        <v>4</v>
      </c>
      <c r="E302" s="1225">
        <v>5</v>
      </c>
      <c r="F302" s="1226">
        <v>6</v>
      </c>
      <c r="G302" s="1227">
        <v>7</v>
      </c>
      <c r="M302" s="734">
        <v>1</v>
      </c>
      <c r="N302" s="734">
        <v>2</v>
      </c>
      <c r="O302" s="734">
        <v>3</v>
      </c>
      <c r="P302" s="734">
        <v>4</v>
      </c>
      <c r="Q302" s="734">
        <v>5</v>
      </c>
    </row>
    <row r="303" spans="1:7" s="206" customFormat="1" ht="21.75" customHeight="1">
      <c r="A303" s="106"/>
      <c r="B303" s="136" t="s">
        <v>928</v>
      </c>
      <c r="C303" s="218"/>
      <c r="D303" s="108" t="s">
        <v>929</v>
      </c>
      <c r="E303" s="138">
        <f>SUM(E304)</f>
        <v>2700</v>
      </c>
      <c r="F303" s="138">
        <f>SUM(F304)</f>
        <v>2700</v>
      </c>
      <c r="G303" s="110">
        <f t="shared" si="12"/>
        <v>100</v>
      </c>
    </row>
    <row r="304" spans="1:7" s="156" customFormat="1" ht="31.5" customHeight="1">
      <c r="A304" s="113"/>
      <c r="B304" s="141"/>
      <c r="C304" s="220" t="s">
        <v>602</v>
      </c>
      <c r="D304" s="146" t="s">
        <v>258</v>
      </c>
      <c r="E304" s="143">
        <v>2700</v>
      </c>
      <c r="F304" s="143">
        <v>2700</v>
      </c>
      <c r="G304" s="118">
        <f t="shared" si="12"/>
        <v>100</v>
      </c>
    </row>
    <row r="305" spans="1:7" s="156" customFormat="1" ht="39" customHeight="1" hidden="1">
      <c r="A305" s="106"/>
      <c r="B305" s="136" t="s">
        <v>1045</v>
      </c>
      <c r="C305" s="218"/>
      <c r="D305" s="108" t="s">
        <v>1046</v>
      </c>
      <c r="E305" s="138">
        <f>SUM(E306)</f>
        <v>0</v>
      </c>
      <c r="F305" s="138">
        <f>SUM(F306)</f>
        <v>0</v>
      </c>
      <c r="G305" s="110" t="e">
        <f>F305/E305*100</f>
        <v>#DIV/0!</v>
      </c>
    </row>
    <row r="306" spans="1:7" s="156" customFormat="1" ht="31.5" customHeight="1" hidden="1">
      <c r="A306" s="113"/>
      <c r="B306" s="141"/>
      <c r="C306" s="220" t="s">
        <v>602</v>
      </c>
      <c r="D306" s="146" t="s">
        <v>258</v>
      </c>
      <c r="E306" s="143">
        <v>0</v>
      </c>
      <c r="F306" s="143">
        <v>0</v>
      </c>
      <c r="G306" s="118" t="e">
        <f>F306/E306*100</f>
        <v>#DIV/0!</v>
      </c>
    </row>
    <row r="307" spans="1:7" s="156" customFormat="1" ht="32.25" customHeight="1">
      <c r="A307" s="99" t="s">
        <v>137</v>
      </c>
      <c r="B307" s="131"/>
      <c r="C307" s="131"/>
      <c r="D307" s="148" t="s">
        <v>798</v>
      </c>
      <c r="E307" s="133">
        <f>SUM(E308,E310,E312,E314)</f>
        <v>212083</v>
      </c>
      <c r="F307" s="133">
        <f>SUM(F308,F310,F312,F314)</f>
        <v>73249</v>
      </c>
      <c r="G307" s="103">
        <f t="shared" si="12"/>
        <v>34.53789318332917</v>
      </c>
    </row>
    <row r="308" spans="1:7" s="156" customFormat="1" ht="22.5" customHeight="1">
      <c r="A308" s="106"/>
      <c r="B308" s="218" t="s">
        <v>147</v>
      </c>
      <c r="C308" s="214"/>
      <c r="D308" s="108" t="s">
        <v>393</v>
      </c>
      <c r="E308" s="138">
        <f>E309</f>
        <v>31000</v>
      </c>
      <c r="F308" s="138">
        <f>F309</f>
        <v>15498</v>
      </c>
      <c r="G308" s="110">
        <f t="shared" si="12"/>
        <v>49.99354838709677</v>
      </c>
    </row>
    <row r="309" spans="1:17" s="204" customFormat="1" ht="57.75" customHeight="1">
      <c r="A309" s="113"/>
      <c r="B309" s="141"/>
      <c r="C309" s="215">
        <v>2110</v>
      </c>
      <c r="D309" s="146" t="s">
        <v>379</v>
      </c>
      <c r="E309" s="143">
        <v>31000</v>
      </c>
      <c r="F309" s="143">
        <v>15498</v>
      </c>
      <c r="G309" s="118">
        <f t="shared" si="12"/>
        <v>49.99354838709677</v>
      </c>
      <c r="M309" s="205"/>
      <c r="N309" s="205"/>
      <c r="O309" s="205"/>
      <c r="P309" s="205"/>
      <c r="Q309" s="205"/>
    </row>
    <row r="310" spans="1:7" s="206" customFormat="1" ht="28.5" customHeight="1" hidden="1">
      <c r="A310" s="106"/>
      <c r="B310" s="136" t="s">
        <v>51</v>
      </c>
      <c r="C310" s="224"/>
      <c r="D310" s="108" t="s">
        <v>52</v>
      </c>
      <c r="E310" s="138">
        <f>SUM(E311)</f>
        <v>0</v>
      </c>
      <c r="F310" s="138">
        <f>SUM(F311)</f>
        <v>0</v>
      </c>
      <c r="G310" s="110" t="s">
        <v>312</v>
      </c>
    </row>
    <row r="311" spans="1:7" s="156" customFormat="1" ht="21" customHeight="1" hidden="1">
      <c r="A311" s="113"/>
      <c r="B311" s="141"/>
      <c r="C311" s="220" t="s">
        <v>572</v>
      </c>
      <c r="D311" s="146" t="s">
        <v>262</v>
      </c>
      <c r="E311" s="143">
        <v>0</v>
      </c>
      <c r="F311" s="143">
        <v>0</v>
      </c>
      <c r="G311" s="118" t="s">
        <v>312</v>
      </c>
    </row>
    <row r="312" spans="1:7" s="156" customFormat="1" ht="20.25" customHeight="1">
      <c r="A312" s="106"/>
      <c r="B312" s="136" t="s">
        <v>932</v>
      </c>
      <c r="C312" s="218"/>
      <c r="D312" s="108" t="s">
        <v>933</v>
      </c>
      <c r="E312" s="138">
        <f>SUM(E313)</f>
        <v>115500</v>
      </c>
      <c r="F312" s="138">
        <f>SUM(F313)</f>
        <v>57751</v>
      </c>
      <c r="G312" s="110">
        <f t="shared" si="12"/>
        <v>50.0008658008658</v>
      </c>
    </row>
    <row r="313" spans="1:7" s="156" customFormat="1" ht="63" customHeight="1">
      <c r="A313" s="113"/>
      <c r="B313" s="141"/>
      <c r="C313" s="220" t="s">
        <v>6</v>
      </c>
      <c r="D313" s="146" t="s">
        <v>311</v>
      </c>
      <c r="E313" s="143">
        <v>115500</v>
      </c>
      <c r="F313" s="143">
        <v>57751</v>
      </c>
      <c r="G313" s="118">
        <f t="shared" si="12"/>
        <v>50.0008658008658</v>
      </c>
    </row>
    <row r="314" spans="1:7" s="206" customFormat="1" ht="18.75" customHeight="1">
      <c r="A314" s="106"/>
      <c r="B314" s="136" t="s">
        <v>934</v>
      </c>
      <c r="C314" s="218"/>
      <c r="D314" s="108" t="s">
        <v>74</v>
      </c>
      <c r="E314" s="138">
        <f>SUM(E315)</f>
        <v>65583</v>
      </c>
      <c r="F314" s="138">
        <f>SUM(F315)</f>
        <v>0</v>
      </c>
      <c r="G314" s="118">
        <f t="shared" si="12"/>
        <v>0</v>
      </c>
    </row>
    <row r="315" spans="1:7" s="156" customFormat="1" ht="27.75" customHeight="1">
      <c r="A315" s="113"/>
      <c r="B315" s="141"/>
      <c r="C315" s="220" t="s">
        <v>752</v>
      </c>
      <c r="D315" s="146" t="s">
        <v>753</v>
      </c>
      <c r="E315" s="143">
        <v>65583</v>
      </c>
      <c r="F315" s="143">
        <v>0</v>
      </c>
      <c r="G315" s="118">
        <f t="shared" si="12"/>
        <v>0</v>
      </c>
    </row>
    <row r="316" spans="1:7" s="156" customFormat="1" ht="66" customHeight="1">
      <c r="A316" s="113"/>
      <c r="B316" s="141"/>
      <c r="C316" s="220"/>
      <c r="D316" s="146" t="s">
        <v>709</v>
      </c>
      <c r="E316" s="143"/>
      <c r="F316" s="143"/>
      <c r="G316" s="118"/>
    </row>
    <row r="317" spans="1:7" s="206" customFormat="1" ht="21" customHeight="1">
      <c r="A317" s="99" t="s">
        <v>149</v>
      </c>
      <c r="B317" s="131"/>
      <c r="C317" s="131"/>
      <c r="D317" s="148" t="s">
        <v>153</v>
      </c>
      <c r="E317" s="133">
        <f>SUM(E318,E320,E322)</f>
        <v>1600</v>
      </c>
      <c r="F317" s="133">
        <f>SUM(F318,F320,F322)</f>
        <v>1600</v>
      </c>
      <c r="G317" s="103">
        <f t="shared" si="12"/>
        <v>100</v>
      </c>
    </row>
    <row r="318" spans="1:17" s="206" customFormat="1" ht="30" customHeight="1" hidden="1">
      <c r="A318" s="106"/>
      <c r="B318" s="136" t="s">
        <v>155</v>
      </c>
      <c r="C318" s="136"/>
      <c r="D318" s="108" t="s">
        <v>140</v>
      </c>
      <c r="E318" s="138">
        <f>SUM(E319)</f>
        <v>0</v>
      </c>
      <c r="F318" s="138">
        <f>SUM(F319)</f>
        <v>0</v>
      </c>
      <c r="G318" s="110" t="e">
        <f>F318/E318*100</f>
        <v>#DIV/0!</v>
      </c>
      <c r="M318" s="207"/>
      <c r="N318" s="207"/>
      <c r="O318" s="207"/>
      <c r="P318" s="207"/>
      <c r="Q318" s="207"/>
    </row>
    <row r="319" spans="1:17" s="206" customFormat="1" ht="33" customHeight="1" hidden="1">
      <c r="A319" s="113"/>
      <c r="B319" s="141"/>
      <c r="C319" s="141" t="s">
        <v>602</v>
      </c>
      <c r="D319" s="146" t="s">
        <v>258</v>
      </c>
      <c r="E319" s="143">
        <v>0</v>
      </c>
      <c r="F319" s="143">
        <v>0</v>
      </c>
      <c r="G319" s="118" t="e">
        <f>F319/E319*100</f>
        <v>#DIV/0!</v>
      </c>
      <c r="M319" s="207"/>
      <c r="N319" s="207"/>
      <c r="O319" s="207"/>
      <c r="P319" s="207"/>
      <c r="Q319" s="207"/>
    </row>
    <row r="320" spans="1:17" s="206" customFormat="1" ht="20.25" customHeight="1" hidden="1">
      <c r="A320" s="106"/>
      <c r="B320" s="136" t="s">
        <v>206</v>
      </c>
      <c r="C320" s="136"/>
      <c r="D320" s="108" t="s">
        <v>938</v>
      </c>
      <c r="E320" s="138">
        <f>SUM(E321)</f>
        <v>0</v>
      </c>
      <c r="F320" s="138">
        <f>SUM(F321)</f>
        <v>0</v>
      </c>
      <c r="G320" s="110" t="e">
        <f>F320/E320*100</f>
        <v>#DIV/0!</v>
      </c>
      <c r="M320" s="207"/>
      <c r="N320" s="207"/>
      <c r="O320" s="207"/>
      <c r="P320" s="207"/>
      <c r="Q320" s="207"/>
    </row>
    <row r="321" spans="1:17" s="206" customFormat="1" ht="33" customHeight="1" hidden="1">
      <c r="A321" s="113"/>
      <c r="B321" s="141"/>
      <c r="C321" s="141" t="s">
        <v>602</v>
      </c>
      <c r="D321" s="146" t="s">
        <v>258</v>
      </c>
      <c r="E321" s="143">
        <v>0</v>
      </c>
      <c r="F321" s="143">
        <v>0</v>
      </c>
      <c r="G321" s="118" t="e">
        <f>F321/E321*100</f>
        <v>#DIV/0!</v>
      </c>
      <c r="M321" s="207"/>
      <c r="N321" s="207"/>
      <c r="O321" s="207"/>
      <c r="P321" s="207"/>
      <c r="Q321" s="207"/>
    </row>
    <row r="322" spans="1:17" s="206" customFormat="1" ht="20.25" customHeight="1">
      <c r="A322" s="106"/>
      <c r="B322" s="136" t="s">
        <v>209</v>
      </c>
      <c r="C322" s="136"/>
      <c r="D322" s="108" t="s">
        <v>210</v>
      </c>
      <c r="E322" s="138">
        <f>SUM(E323,E324,E326)</f>
        <v>1600</v>
      </c>
      <c r="F322" s="138">
        <f>SUM(F323,F324,F326)</f>
        <v>1600</v>
      </c>
      <c r="G322" s="110">
        <f t="shared" si="12"/>
        <v>100</v>
      </c>
      <c r="M322" s="207"/>
      <c r="N322" s="207"/>
      <c r="O322" s="207"/>
      <c r="P322" s="207"/>
      <c r="Q322" s="207"/>
    </row>
    <row r="323" spans="1:17" s="206" customFormat="1" ht="30.75" customHeight="1">
      <c r="A323" s="113"/>
      <c r="B323" s="141"/>
      <c r="C323" s="141" t="s">
        <v>602</v>
      </c>
      <c r="D323" s="146" t="s">
        <v>258</v>
      </c>
      <c r="E323" s="143">
        <v>1600</v>
      </c>
      <c r="F323" s="143">
        <v>1600</v>
      </c>
      <c r="G323" s="118">
        <f t="shared" si="12"/>
        <v>100</v>
      </c>
      <c r="M323" s="207"/>
      <c r="N323" s="207"/>
      <c r="O323" s="207"/>
      <c r="P323" s="207"/>
      <c r="Q323" s="207"/>
    </row>
    <row r="324" spans="1:17" s="156" customFormat="1" ht="67.5" customHeight="1" hidden="1">
      <c r="A324" s="113"/>
      <c r="B324" s="141"/>
      <c r="C324" s="141" t="s">
        <v>565</v>
      </c>
      <c r="D324" s="146" t="s">
        <v>567</v>
      </c>
      <c r="E324" s="1543">
        <v>0</v>
      </c>
      <c r="F324" s="1543">
        <v>0</v>
      </c>
      <c r="G324" s="1536" t="e">
        <f t="shared" si="12"/>
        <v>#DIV/0!</v>
      </c>
      <c r="M324" s="157"/>
      <c r="N324" s="157"/>
      <c r="O324" s="157"/>
      <c r="P324" s="157"/>
      <c r="Q324" s="157"/>
    </row>
    <row r="325" spans="1:17" s="156" customFormat="1" ht="55.5" customHeight="1" hidden="1">
      <c r="A325" s="113"/>
      <c r="B325" s="141"/>
      <c r="C325" s="141"/>
      <c r="D325" s="146" t="s">
        <v>709</v>
      </c>
      <c r="E325" s="1543"/>
      <c r="F325" s="1543"/>
      <c r="G325" s="1536"/>
      <c r="M325" s="157"/>
      <c r="N325" s="157"/>
      <c r="O325" s="157"/>
      <c r="P325" s="157"/>
      <c r="Q325" s="157"/>
    </row>
    <row r="326" spans="1:7" s="222" customFormat="1" ht="67.5" customHeight="1" hidden="1">
      <c r="A326" s="113"/>
      <c r="B326" s="141"/>
      <c r="C326" s="141" t="s">
        <v>566</v>
      </c>
      <c r="D326" s="146" t="s">
        <v>567</v>
      </c>
      <c r="E326" s="1543">
        <v>0</v>
      </c>
      <c r="F326" s="1543">
        <v>0</v>
      </c>
      <c r="G326" s="1536" t="e">
        <f>F326/E326*100</f>
        <v>#DIV/0!</v>
      </c>
    </row>
    <row r="327" spans="1:17" s="156" customFormat="1" ht="66.75" customHeight="1" hidden="1">
      <c r="A327" s="113"/>
      <c r="B327" s="141"/>
      <c r="C327" s="141"/>
      <c r="D327" s="146" t="s">
        <v>716</v>
      </c>
      <c r="E327" s="1543"/>
      <c r="F327" s="1543"/>
      <c r="G327" s="1536"/>
      <c r="M327" s="157"/>
      <c r="N327" s="157"/>
      <c r="O327" s="157"/>
      <c r="P327" s="157"/>
      <c r="Q327" s="157"/>
    </row>
    <row r="328" spans="1:17" s="156" customFormat="1" ht="29.25" customHeight="1">
      <c r="A328" s="99" t="s">
        <v>212</v>
      </c>
      <c r="B328" s="131"/>
      <c r="C328" s="131"/>
      <c r="D328" s="148" t="s">
        <v>326</v>
      </c>
      <c r="E328" s="133">
        <f>SUM(E329)</f>
        <v>0</v>
      </c>
      <c r="F328" s="133">
        <f>SUM(F329)</f>
        <v>17869.82</v>
      </c>
      <c r="G328" s="103" t="s">
        <v>312</v>
      </c>
      <c r="M328" s="157"/>
      <c r="N328" s="157"/>
      <c r="O328" s="157"/>
      <c r="P328" s="157"/>
      <c r="Q328" s="157"/>
    </row>
    <row r="329" spans="1:17" s="206" customFormat="1" ht="20.25" customHeight="1">
      <c r="A329" s="106"/>
      <c r="B329" s="136" t="s">
        <v>214</v>
      </c>
      <c r="C329" s="218"/>
      <c r="D329" s="108" t="s">
        <v>215</v>
      </c>
      <c r="E329" s="138">
        <f>SUM(E330)</f>
        <v>0</v>
      </c>
      <c r="F329" s="138">
        <f>SUM(F330)</f>
        <v>17869.82</v>
      </c>
      <c r="G329" s="110" t="s">
        <v>312</v>
      </c>
      <c r="M329" s="219"/>
      <c r="N329" s="219"/>
      <c r="O329" s="219"/>
      <c r="P329" s="219"/>
      <c r="Q329" s="219"/>
    </row>
    <row r="330" spans="1:17" s="206" customFormat="1" ht="21" customHeight="1" thickBot="1">
      <c r="A330" s="227"/>
      <c r="B330" s="228"/>
      <c r="C330" s="229" t="s">
        <v>572</v>
      </c>
      <c r="D330" s="230" t="s">
        <v>262</v>
      </c>
      <c r="E330" s="231">
        <v>0</v>
      </c>
      <c r="F330" s="231">
        <v>17869.82</v>
      </c>
      <c r="G330" s="232" t="s">
        <v>312</v>
      </c>
      <c r="M330" s="219"/>
      <c r="N330" s="219"/>
      <c r="O330" s="219"/>
      <c r="P330" s="219"/>
      <c r="Q330" s="219"/>
    </row>
    <row r="331" spans="1:17" s="409" customFormat="1" ht="21" customHeight="1" thickBot="1">
      <c r="A331" s="1540" t="s">
        <v>156</v>
      </c>
      <c r="B331" s="1541"/>
      <c r="C331" s="1541"/>
      <c r="D331" s="1542"/>
      <c r="E331" s="407">
        <f>SUM(E7,E222)</f>
        <v>218685773.66</v>
      </c>
      <c r="F331" s="407">
        <f>SUM(F7,F222)</f>
        <v>85658598.02</v>
      </c>
      <c r="G331" s="408">
        <f>F331/E331*100</f>
        <v>39.1697167064818</v>
      </c>
      <c r="M331" s="410"/>
      <c r="N331" s="410"/>
      <c r="O331" s="410"/>
      <c r="P331" s="410"/>
      <c r="Q331" s="410"/>
    </row>
    <row r="332" spans="1:17" ht="19.5" customHeight="1">
      <c r="A332" s="322"/>
      <c r="B332" s="322"/>
      <c r="C332" s="322"/>
      <c r="D332" s="323" t="s">
        <v>157</v>
      </c>
      <c r="E332" s="324">
        <v>218685773.66</v>
      </c>
      <c r="F332" s="325">
        <v>85658598.02</v>
      </c>
      <c r="M332" s="140"/>
      <c r="N332" s="140"/>
      <c r="O332" s="140"/>
      <c r="P332" s="140"/>
      <c r="Q332" s="140"/>
    </row>
    <row r="333" spans="1:17" ht="19.5" customHeight="1">
      <c r="A333" s="322"/>
      <c r="B333" s="322"/>
      <c r="C333" s="322"/>
      <c r="D333" s="323" t="s">
        <v>158</v>
      </c>
      <c r="E333" s="324">
        <f>E332-E331</f>
        <v>0</v>
      </c>
      <c r="F333" s="324">
        <f>F332-F331</f>
        <v>0</v>
      </c>
      <c r="M333" s="140"/>
      <c r="N333" s="140"/>
      <c r="O333" s="140"/>
      <c r="P333" s="140"/>
      <c r="Q333" s="140"/>
    </row>
    <row r="334" spans="1:17" s="144" customFormat="1" ht="19.5" customHeight="1">
      <c r="A334" s="327"/>
      <c r="B334" s="327"/>
      <c r="C334" s="327"/>
      <c r="D334" s="328"/>
      <c r="E334" s="329"/>
      <c r="F334" s="330"/>
      <c r="G334" s="331"/>
      <c r="M334" s="145"/>
      <c r="N334" s="145"/>
      <c r="O334" s="145"/>
      <c r="P334" s="145"/>
      <c r="Q334" s="145"/>
    </row>
    <row r="335" spans="1:17" s="144" customFormat="1" ht="19.5" customHeight="1">
      <c r="A335" s="327"/>
      <c r="B335" s="327"/>
      <c r="C335" s="327"/>
      <c r="D335" s="328"/>
      <c r="E335" s="329"/>
      <c r="F335" s="329"/>
      <c r="G335" s="331"/>
      <c r="M335" s="145"/>
      <c r="N335" s="145"/>
      <c r="O335" s="145"/>
      <c r="P335" s="145"/>
      <c r="Q335" s="145"/>
    </row>
    <row r="336" spans="1:17" ht="19.5" customHeight="1">
      <c r="A336" s="322"/>
      <c r="B336" s="322"/>
      <c r="C336" s="322"/>
      <c r="D336" s="323"/>
      <c r="E336" s="332"/>
      <c r="F336" s="333"/>
      <c r="M336" s="140"/>
      <c r="N336" s="140"/>
      <c r="O336" s="140"/>
      <c r="P336" s="140"/>
      <c r="Q336" s="140"/>
    </row>
    <row r="337" spans="1:17" ht="19.5" customHeight="1">
      <c r="A337" s="322"/>
      <c r="B337" s="322"/>
      <c r="C337" s="322"/>
      <c r="D337" s="323"/>
      <c r="E337" s="332"/>
      <c r="F337" s="333"/>
      <c r="M337" s="140"/>
      <c r="N337" s="140"/>
      <c r="O337" s="140"/>
      <c r="P337" s="140"/>
      <c r="Q337" s="140"/>
    </row>
    <row r="338" spans="1:17" ht="19.5" customHeight="1">
      <c r="A338" s="322"/>
      <c r="B338" s="322"/>
      <c r="C338" s="322"/>
      <c r="D338" s="323"/>
      <c r="E338" s="332"/>
      <c r="F338" s="333"/>
      <c r="M338" s="140"/>
      <c r="N338" s="140"/>
      <c r="O338" s="140"/>
      <c r="P338" s="140"/>
      <c r="Q338" s="140"/>
    </row>
    <row r="339" spans="1:17" ht="19.5" customHeight="1">
      <c r="A339" s="322"/>
      <c r="B339" s="322"/>
      <c r="C339" s="322"/>
      <c r="D339" s="323"/>
      <c r="E339" s="332"/>
      <c r="F339" s="333"/>
      <c r="M339" s="140"/>
      <c r="N339" s="140"/>
      <c r="O339" s="140"/>
      <c r="P339" s="140"/>
      <c r="Q339" s="140"/>
    </row>
    <row r="340" spans="1:17" ht="19.5" customHeight="1">
      <c r="A340" s="322"/>
      <c r="B340" s="322"/>
      <c r="C340" s="322"/>
      <c r="D340" s="323"/>
      <c r="E340" s="332"/>
      <c r="F340" s="333"/>
      <c r="M340" s="140"/>
      <c r="N340" s="140"/>
      <c r="O340" s="140"/>
      <c r="P340" s="140"/>
      <c r="Q340" s="140"/>
    </row>
    <row r="341" spans="1:17" ht="19.5" customHeight="1">
      <c r="A341" s="322"/>
      <c r="B341" s="322"/>
      <c r="C341" s="322"/>
      <c r="D341" s="323"/>
      <c r="E341" s="332"/>
      <c r="F341" s="333"/>
      <c r="M341" s="140"/>
      <c r="N341" s="140"/>
      <c r="O341" s="140"/>
      <c r="P341" s="140"/>
      <c r="Q341" s="140"/>
    </row>
    <row r="342" spans="1:17" ht="19.5" customHeight="1">
      <c r="A342" s="322"/>
      <c r="B342" s="322"/>
      <c r="C342" s="322"/>
      <c r="D342" s="323"/>
      <c r="E342" s="332"/>
      <c r="F342" s="333"/>
      <c r="M342" s="140"/>
      <c r="N342" s="140"/>
      <c r="O342" s="140"/>
      <c r="P342" s="140"/>
      <c r="Q342" s="140"/>
    </row>
    <row r="343" spans="1:17" ht="19.5" customHeight="1">
      <c r="A343" s="322"/>
      <c r="B343" s="322"/>
      <c r="C343" s="322"/>
      <c r="D343" s="323"/>
      <c r="E343" s="332"/>
      <c r="F343" s="333"/>
      <c r="M343" s="140"/>
      <c r="N343" s="140"/>
      <c r="O343" s="140"/>
      <c r="P343" s="140"/>
      <c r="Q343" s="140"/>
    </row>
    <row r="344" spans="1:17" ht="19.5" customHeight="1">
      <c r="A344" s="322"/>
      <c r="B344" s="322"/>
      <c r="C344" s="322"/>
      <c r="D344" s="323"/>
      <c r="E344" s="332"/>
      <c r="F344" s="333"/>
      <c r="M344" s="140"/>
      <c r="N344" s="140"/>
      <c r="O344" s="140"/>
      <c r="P344" s="140"/>
      <c r="Q344" s="140"/>
    </row>
    <row r="345" spans="1:17" ht="19.5" customHeight="1">
      <c r="A345" s="322"/>
      <c r="B345" s="322"/>
      <c r="C345" s="322"/>
      <c r="D345" s="323"/>
      <c r="E345" s="332"/>
      <c r="F345" s="333"/>
      <c r="M345" s="140"/>
      <c r="N345" s="140"/>
      <c r="O345" s="140"/>
      <c r="P345" s="140"/>
      <c r="Q345" s="140"/>
    </row>
    <row r="346" spans="1:17" ht="19.5" customHeight="1">
      <c r="A346" s="322"/>
      <c r="B346" s="322"/>
      <c r="C346" s="322"/>
      <c r="D346" s="323"/>
      <c r="E346" s="332"/>
      <c r="F346" s="333"/>
      <c r="M346" s="140"/>
      <c r="N346" s="140"/>
      <c r="O346" s="140"/>
      <c r="P346" s="140"/>
      <c r="Q346" s="140"/>
    </row>
    <row r="347" spans="1:17" ht="19.5" customHeight="1">
      <c r="A347" s="322"/>
      <c r="B347" s="322"/>
      <c r="C347" s="322"/>
      <c r="D347" s="323"/>
      <c r="E347" s="332"/>
      <c r="F347" s="333"/>
      <c r="M347" s="140"/>
      <c r="N347" s="140"/>
      <c r="O347" s="140"/>
      <c r="P347" s="140"/>
      <c r="Q347" s="140"/>
    </row>
    <row r="348" spans="1:17" ht="19.5" customHeight="1">
      <c r="A348" s="322"/>
      <c r="B348" s="322"/>
      <c r="C348" s="322"/>
      <c r="D348" s="323"/>
      <c r="E348" s="332"/>
      <c r="F348" s="333"/>
      <c r="M348" s="140"/>
      <c r="N348" s="140"/>
      <c r="O348" s="140"/>
      <c r="P348" s="140"/>
      <c r="Q348" s="140"/>
    </row>
    <row r="349" spans="1:17" ht="19.5" customHeight="1">
      <c r="A349" s="322"/>
      <c r="B349" s="322"/>
      <c r="C349" s="322"/>
      <c r="D349" s="323"/>
      <c r="E349" s="332"/>
      <c r="F349" s="333"/>
      <c r="M349" s="140"/>
      <c r="N349" s="140"/>
      <c r="O349" s="140"/>
      <c r="P349" s="140"/>
      <c r="Q349" s="140"/>
    </row>
    <row r="350" spans="1:17" ht="19.5" customHeight="1">
      <c r="A350" s="322"/>
      <c r="B350" s="322"/>
      <c r="C350" s="322"/>
      <c r="D350" s="323"/>
      <c r="E350" s="332"/>
      <c r="F350" s="333"/>
      <c r="M350" s="140"/>
      <c r="N350" s="140"/>
      <c r="O350" s="140"/>
      <c r="P350" s="140"/>
      <c r="Q350" s="140"/>
    </row>
    <row r="351" spans="1:17" ht="19.5" customHeight="1">
      <c r="A351" s="322"/>
      <c r="B351" s="322"/>
      <c r="C351" s="322"/>
      <c r="D351" s="323"/>
      <c r="E351" s="332"/>
      <c r="F351" s="333"/>
      <c r="M351" s="140"/>
      <c r="N351" s="140"/>
      <c r="O351" s="140"/>
      <c r="P351" s="140"/>
      <c r="Q351" s="140"/>
    </row>
    <row r="352" spans="1:17" ht="19.5" customHeight="1">
      <c r="A352" s="322"/>
      <c r="B352" s="322"/>
      <c r="C352" s="322"/>
      <c r="D352" s="323"/>
      <c r="E352" s="332"/>
      <c r="F352" s="333"/>
      <c r="M352" s="140"/>
      <c r="N352" s="140"/>
      <c r="O352" s="140"/>
      <c r="P352" s="140"/>
      <c r="Q352" s="140"/>
    </row>
    <row r="353" spans="1:17" ht="19.5" customHeight="1">
      <c r="A353" s="322"/>
      <c r="B353" s="322"/>
      <c r="C353" s="322"/>
      <c r="D353" s="323"/>
      <c r="E353" s="332"/>
      <c r="F353" s="333"/>
      <c r="M353" s="140"/>
      <c r="N353" s="140"/>
      <c r="O353" s="140"/>
      <c r="P353" s="140"/>
      <c r="Q353" s="140"/>
    </row>
    <row r="354" spans="1:17" ht="19.5" customHeight="1">
      <c r="A354" s="322"/>
      <c r="B354" s="322"/>
      <c r="C354" s="322"/>
      <c r="D354" s="323"/>
      <c r="E354" s="332"/>
      <c r="F354" s="333"/>
      <c r="M354" s="140"/>
      <c r="N354" s="140"/>
      <c r="O354" s="140"/>
      <c r="P354" s="140"/>
      <c r="Q354" s="140"/>
    </row>
    <row r="355" spans="1:17" ht="19.5" customHeight="1">
      <c r="A355" s="322"/>
      <c r="B355" s="322"/>
      <c r="C355" s="322"/>
      <c r="D355" s="323"/>
      <c r="E355" s="332"/>
      <c r="F355" s="333"/>
      <c r="M355" s="140"/>
      <c r="N355" s="140"/>
      <c r="O355" s="140"/>
      <c r="P355" s="140"/>
      <c r="Q355" s="140"/>
    </row>
    <row r="356" spans="1:17" ht="19.5" customHeight="1">
      <c r="A356" s="322"/>
      <c r="B356" s="322"/>
      <c r="C356" s="322"/>
      <c r="D356" s="323"/>
      <c r="E356" s="332"/>
      <c r="F356" s="333"/>
      <c r="M356" s="140"/>
      <c r="N356" s="140"/>
      <c r="O356" s="140"/>
      <c r="P356" s="140"/>
      <c r="Q356" s="140"/>
    </row>
    <row r="357" spans="1:17" ht="19.5" customHeight="1">
      <c r="A357" s="322"/>
      <c r="B357" s="322"/>
      <c r="C357" s="322"/>
      <c r="D357" s="323"/>
      <c r="E357" s="332"/>
      <c r="F357" s="333"/>
      <c r="M357" s="140"/>
      <c r="N357" s="140"/>
      <c r="O357" s="140"/>
      <c r="P357" s="140"/>
      <c r="Q357" s="140"/>
    </row>
    <row r="358" spans="1:17" ht="19.5" customHeight="1">
      <c r="A358" s="322"/>
      <c r="B358" s="322"/>
      <c r="C358" s="322"/>
      <c r="D358" s="323"/>
      <c r="E358" s="332"/>
      <c r="F358" s="333"/>
      <c r="M358" s="140"/>
      <c r="N358" s="140"/>
      <c r="O358" s="140"/>
      <c r="P358" s="140"/>
      <c r="Q358" s="140"/>
    </row>
    <row r="359" spans="1:17" ht="19.5" customHeight="1">
      <c r="A359" s="322"/>
      <c r="B359" s="322"/>
      <c r="C359" s="322"/>
      <c r="D359" s="323"/>
      <c r="E359" s="332"/>
      <c r="F359" s="333"/>
      <c r="M359" s="140"/>
      <c r="N359" s="140"/>
      <c r="O359" s="140"/>
      <c r="P359" s="140"/>
      <c r="Q359" s="140"/>
    </row>
    <row r="360" spans="1:17" ht="19.5" customHeight="1">
      <c r="A360" s="322"/>
      <c r="B360" s="322"/>
      <c r="C360" s="322"/>
      <c r="D360" s="323"/>
      <c r="E360" s="332"/>
      <c r="F360" s="333"/>
      <c r="M360" s="140"/>
      <c r="N360" s="140"/>
      <c r="O360" s="140"/>
      <c r="P360" s="140"/>
      <c r="Q360" s="140"/>
    </row>
    <row r="361" spans="1:17" ht="19.5" customHeight="1">
      <c r="A361" s="322"/>
      <c r="B361" s="322"/>
      <c r="C361" s="322"/>
      <c r="D361" s="323"/>
      <c r="E361" s="332"/>
      <c r="F361" s="333"/>
      <c r="M361" s="140"/>
      <c r="N361" s="140"/>
      <c r="O361" s="140"/>
      <c r="P361" s="140"/>
      <c r="Q361" s="140"/>
    </row>
    <row r="362" spans="1:17" ht="19.5" customHeight="1">
      <c r="A362" s="322"/>
      <c r="B362" s="322"/>
      <c r="C362" s="322"/>
      <c r="D362" s="323"/>
      <c r="E362" s="332"/>
      <c r="F362" s="333"/>
      <c r="M362" s="140"/>
      <c r="N362" s="140"/>
      <c r="O362" s="140"/>
      <c r="P362" s="140"/>
      <c r="Q362" s="140"/>
    </row>
    <row r="363" spans="1:17" ht="19.5" customHeight="1">
      <c r="A363" s="322"/>
      <c r="B363" s="322"/>
      <c r="C363" s="322"/>
      <c r="D363" s="323"/>
      <c r="E363" s="332"/>
      <c r="F363" s="333"/>
      <c r="M363" s="140"/>
      <c r="N363" s="140"/>
      <c r="O363" s="140"/>
      <c r="P363" s="140"/>
      <c r="Q363" s="140"/>
    </row>
    <row r="364" spans="1:17" ht="19.5" customHeight="1">
      <c r="A364" s="322"/>
      <c r="B364" s="322"/>
      <c r="C364" s="322"/>
      <c r="D364" s="323"/>
      <c r="E364" s="332"/>
      <c r="F364" s="333"/>
      <c r="M364" s="140"/>
      <c r="N364" s="140"/>
      <c r="O364" s="140"/>
      <c r="P364" s="140"/>
      <c r="Q364" s="140"/>
    </row>
    <row r="365" spans="1:17" ht="19.5" customHeight="1">
      <c r="A365" s="322"/>
      <c r="B365" s="322"/>
      <c r="C365" s="322"/>
      <c r="D365" s="323"/>
      <c r="E365" s="332"/>
      <c r="F365" s="333"/>
      <c r="M365" s="140"/>
      <c r="N365" s="140"/>
      <c r="O365" s="140"/>
      <c r="P365" s="140"/>
      <c r="Q365" s="140"/>
    </row>
    <row r="366" spans="1:17" ht="19.5" customHeight="1">
      <c r="A366" s="322"/>
      <c r="B366" s="322"/>
      <c r="C366" s="322"/>
      <c r="D366" s="323"/>
      <c r="E366" s="332"/>
      <c r="F366" s="333"/>
      <c r="M366" s="140"/>
      <c r="N366" s="140"/>
      <c r="O366" s="140"/>
      <c r="P366" s="140"/>
      <c r="Q366" s="140"/>
    </row>
    <row r="367" spans="1:17" ht="19.5" customHeight="1">
      <c r="A367" s="322"/>
      <c r="B367" s="322"/>
      <c r="C367" s="322"/>
      <c r="D367" s="323"/>
      <c r="E367" s="332"/>
      <c r="F367" s="333"/>
      <c r="M367" s="140"/>
      <c r="N367" s="140"/>
      <c r="O367" s="140"/>
      <c r="P367" s="140"/>
      <c r="Q367" s="140"/>
    </row>
    <row r="368" spans="1:17" ht="19.5" customHeight="1">
      <c r="A368" s="322"/>
      <c r="B368" s="322"/>
      <c r="C368" s="322"/>
      <c r="D368" s="323"/>
      <c r="E368" s="332"/>
      <c r="F368" s="333"/>
      <c r="M368" s="140"/>
      <c r="N368" s="140"/>
      <c r="O368" s="140"/>
      <c r="P368" s="140"/>
      <c r="Q368" s="140"/>
    </row>
    <row r="369" spans="1:17" ht="19.5" customHeight="1">
      <c r="A369" s="322"/>
      <c r="B369" s="322"/>
      <c r="C369" s="322"/>
      <c r="D369" s="323"/>
      <c r="E369" s="332"/>
      <c r="F369" s="333"/>
      <c r="M369" s="140"/>
      <c r="N369" s="140"/>
      <c r="O369" s="140"/>
      <c r="P369" s="140"/>
      <c r="Q369" s="140"/>
    </row>
    <row r="370" spans="1:17" ht="19.5" customHeight="1">
      <c r="A370" s="322"/>
      <c r="B370" s="322"/>
      <c r="C370" s="322"/>
      <c r="D370" s="323"/>
      <c r="E370" s="332"/>
      <c r="F370" s="333"/>
      <c r="M370" s="140"/>
      <c r="N370" s="140"/>
      <c r="O370" s="140"/>
      <c r="P370" s="140"/>
      <c r="Q370" s="140"/>
    </row>
    <row r="371" spans="1:17" ht="19.5" customHeight="1">
      <c r="A371" s="322"/>
      <c r="B371" s="322"/>
      <c r="C371" s="322"/>
      <c r="D371" s="323"/>
      <c r="E371" s="332"/>
      <c r="F371" s="333"/>
      <c r="M371" s="140"/>
      <c r="N371" s="140"/>
      <c r="O371" s="140"/>
      <c r="P371" s="140"/>
      <c r="Q371" s="140"/>
    </row>
    <row r="372" spans="1:17" ht="19.5" customHeight="1">
      <c r="A372" s="322"/>
      <c r="B372" s="322"/>
      <c r="C372" s="322"/>
      <c r="D372" s="323"/>
      <c r="E372" s="332"/>
      <c r="F372" s="333"/>
      <c r="M372" s="140"/>
      <c r="N372" s="140"/>
      <c r="O372" s="140"/>
      <c r="P372" s="140"/>
      <c r="Q372" s="140"/>
    </row>
    <row r="373" spans="1:17" ht="19.5" customHeight="1">
      <c r="A373" s="322"/>
      <c r="B373" s="322"/>
      <c r="C373" s="322"/>
      <c r="D373" s="323"/>
      <c r="E373" s="332"/>
      <c r="F373" s="333"/>
      <c r="M373" s="140"/>
      <c r="N373" s="140"/>
      <c r="O373" s="140"/>
      <c r="P373" s="140"/>
      <c r="Q373" s="140"/>
    </row>
    <row r="374" spans="1:17" ht="19.5" customHeight="1">
      <c r="A374" s="322"/>
      <c r="B374" s="322"/>
      <c r="C374" s="322"/>
      <c r="D374" s="323"/>
      <c r="E374" s="332"/>
      <c r="F374" s="333"/>
      <c r="M374" s="140"/>
      <c r="N374" s="140"/>
      <c r="O374" s="140"/>
      <c r="P374" s="140"/>
      <c r="Q374" s="140"/>
    </row>
    <row r="375" spans="1:17" ht="19.5" customHeight="1">
      <c r="A375" s="322"/>
      <c r="B375" s="322"/>
      <c r="C375" s="322"/>
      <c r="D375" s="323"/>
      <c r="E375" s="332"/>
      <c r="F375" s="333"/>
      <c r="M375" s="140"/>
      <c r="N375" s="140"/>
      <c r="O375" s="140"/>
      <c r="P375" s="140"/>
      <c r="Q375" s="140"/>
    </row>
    <row r="376" spans="1:17" ht="19.5" customHeight="1">
      <c r="A376" s="322"/>
      <c r="B376" s="322"/>
      <c r="C376" s="322"/>
      <c r="D376" s="323"/>
      <c r="E376" s="332"/>
      <c r="F376" s="333"/>
      <c r="M376" s="140"/>
      <c r="N376" s="140"/>
      <c r="O376" s="140"/>
      <c r="P376" s="140"/>
      <c r="Q376" s="140"/>
    </row>
    <row r="377" spans="1:17" ht="19.5" customHeight="1">
      <c r="A377" s="322"/>
      <c r="B377" s="322"/>
      <c r="C377" s="322"/>
      <c r="D377" s="323"/>
      <c r="E377" s="332"/>
      <c r="F377" s="333"/>
      <c r="M377" s="140"/>
      <c r="N377" s="140"/>
      <c r="O377" s="140"/>
      <c r="P377" s="140"/>
      <c r="Q377" s="140"/>
    </row>
    <row r="378" spans="1:17" ht="19.5" customHeight="1">
      <c r="A378" s="322"/>
      <c r="B378" s="322"/>
      <c r="C378" s="322"/>
      <c r="D378" s="323"/>
      <c r="E378" s="332"/>
      <c r="F378" s="333"/>
      <c r="M378" s="140"/>
      <c r="N378" s="140"/>
      <c r="O378" s="140"/>
      <c r="P378" s="140"/>
      <c r="Q378" s="140"/>
    </row>
    <row r="379" spans="1:17" ht="19.5" customHeight="1">
      <c r="A379" s="322"/>
      <c r="B379" s="322"/>
      <c r="C379" s="322"/>
      <c r="D379" s="323"/>
      <c r="E379" s="332"/>
      <c r="F379" s="333"/>
      <c r="M379" s="334"/>
      <c r="N379" s="334"/>
      <c r="O379" s="334"/>
      <c r="P379" s="334"/>
      <c r="Q379" s="334"/>
    </row>
    <row r="380" spans="1:6" ht="19.5" customHeight="1">
      <c r="A380" s="322"/>
      <c r="B380" s="322"/>
      <c r="C380" s="322"/>
      <c r="D380" s="323"/>
      <c r="E380" s="332"/>
      <c r="F380" s="333"/>
    </row>
    <row r="381" spans="1:6" ht="19.5" customHeight="1">
      <c r="A381" s="322"/>
      <c r="B381" s="322"/>
      <c r="C381" s="322"/>
      <c r="D381" s="323"/>
      <c r="E381" s="332"/>
      <c r="F381" s="333"/>
    </row>
    <row r="382" spans="1:6" ht="19.5" customHeight="1">
      <c r="A382" s="322"/>
      <c r="B382" s="322"/>
      <c r="C382" s="322"/>
      <c r="D382" s="323"/>
      <c r="E382" s="332"/>
      <c r="F382" s="333"/>
    </row>
    <row r="383" spans="1:6" ht="19.5" customHeight="1">
      <c r="A383" s="322"/>
      <c r="B383" s="322"/>
      <c r="C383" s="322"/>
      <c r="D383" s="323"/>
      <c r="E383" s="332"/>
      <c r="F383" s="333"/>
    </row>
    <row r="384" spans="1:6" ht="19.5" customHeight="1">
      <c r="A384" s="322"/>
      <c r="B384" s="322"/>
      <c r="C384" s="322"/>
      <c r="D384" s="323"/>
      <c r="E384" s="332"/>
      <c r="F384" s="333"/>
    </row>
    <row r="385" spans="1:6" ht="19.5" customHeight="1">
      <c r="A385" s="322"/>
      <c r="B385" s="322"/>
      <c r="C385" s="322"/>
      <c r="D385" s="323"/>
      <c r="E385" s="332"/>
      <c r="F385" s="333"/>
    </row>
    <row r="386" spans="1:6" ht="19.5" customHeight="1">
      <c r="A386" s="322"/>
      <c r="B386" s="322"/>
      <c r="C386" s="322"/>
      <c r="D386" s="323"/>
      <c r="E386" s="332"/>
      <c r="F386" s="333"/>
    </row>
    <row r="387" spans="1:6" ht="19.5" customHeight="1">
      <c r="A387" s="322"/>
      <c r="B387" s="322"/>
      <c r="C387" s="322"/>
      <c r="D387" s="323"/>
      <c r="E387" s="332"/>
      <c r="F387" s="333"/>
    </row>
    <row r="388" spans="1:6" ht="19.5" customHeight="1">
      <c r="A388" s="322"/>
      <c r="B388" s="322"/>
      <c r="C388" s="322"/>
      <c r="D388" s="323"/>
      <c r="E388" s="332"/>
      <c r="F388" s="333"/>
    </row>
    <row r="389" spans="1:6" ht="19.5" customHeight="1">
      <c r="A389" s="322"/>
      <c r="B389" s="322"/>
      <c r="C389" s="322"/>
      <c r="D389" s="323"/>
      <c r="E389" s="332"/>
      <c r="F389" s="333"/>
    </row>
    <row r="390" spans="1:6" ht="19.5" customHeight="1">
      <c r="A390" s="322"/>
      <c r="B390" s="322"/>
      <c r="C390" s="322"/>
      <c r="D390" s="323"/>
      <c r="E390" s="332"/>
      <c r="F390" s="333"/>
    </row>
    <row r="391" spans="1:6" ht="19.5" customHeight="1">
      <c r="A391" s="322"/>
      <c r="B391" s="322"/>
      <c r="C391" s="322"/>
      <c r="D391" s="323"/>
      <c r="E391" s="332"/>
      <c r="F391" s="333"/>
    </row>
    <row r="392" spans="1:6" ht="19.5" customHeight="1">
      <c r="A392" s="322"/>
      <c r="B392" s="322"/>
      <c r="C392" s="322"/>
      <c r="D392" s="323"/>
      <c r="E392" s="332"/>
      <c r="F392" s="333"/>
    </row>
    <row r="393" spans="1:6" ht="19.5" customHeight="1">
      <c r="A393" s="322"/>
      <c r="B393" s="322"/>
      <c r="C393" s="322"/>
      <c r="D393" s="323"/>
      <c r="E393" s="332"/>
      <c r="F393" s="333"/>
    </row>
    <row r="394" spans="1:6" ht="19.5" customHeight="1">
      <c r="A394" s="322"/>
      <c r="B394" s="322"/>
      <c r="C394" s="322"/>
      <c r="D394" s="323"/>
      <c r="E394" s="332"/>
      <c r="F394" s="333"/>
    </row>
    <row r="395" spans="1:6" ht="19.5" customHeight="1">
      <c r="A395" s="322"/>
      <c r="B395" s="322"/>
      <c r="C395" s="322"/>
      <c r="D395" s="323"/>
      <c r="E395" s="332"/>
      <c r="F395" s="333"/>
    </row>
    <row r="396" spans="1:6" ht="19.5" customHeight="1">
      <c r="A396" s="322"/>
      <c r="B396" s="322"/>
      <c r="C396" s="322"/>
      <c r="D396" s="323"/>
      <c r="E396" s="332"/>
      <c r="F396" s="333"/>
    </row>
    <row r="397" spans="1:6" ht="19.5" customHeight="1">
      <c r="A397" s="322"/>
      <c r="B397" s="322"/>
      <c r="C397" s="322"/>
      <c r="D397" s="323"/>
      <c r="E397" s="332"/>
      <c r="F397" s="333"/>
    </row>
    <row r="398" spans="1:6" ht="19.5" customHeight="1">
      <c r="A398" s="322"/>
      <c r="B398" s="322"/>
      <c r="C398" s="322"/>
      <c r="D398" s="323"/>
      <c r="E398" s="332"/>
      <c r="F398" s="333"/>
    </row>
    <row r="399" spans="1:6" ht="19.5" customHeight="1">
      <c r="A399" s="322"/>
      <c r="B399" s="322"/>
      <c r="C399" s="322"/>
      <c r="D399" s="323"/>
      <c r="E399" s="332"/>
      <c r="F399" s="333"/>
    </row>
    <row r="400" spans="1:6" ht="19.5" customHeight="1">
      <c r="A400" s="322"/>
      <c r="B400" s="322"/>
      <c r="C400" s="322"/>
      <c r="D400" s="323"/>
      <c r="E400" s="332"/>
      <c r="F400" s="333"/>
    </row>
    <row r="401" spans="1:6" ht="19.5" customHeight="1">
      <c r="A401" s="322"/>
      <c r="B401" s="322"/>
      <c r="C401" s="322"/>
      <c r="D401" s="323"/>
      <c r="E401" s="332"/>
      <c r="F401" s="333"/>
    </row>
    <row r="402" spans="1:6" ht="19.5" customHeight="1">
      <c r="A402" s="322"/>
      <c r="B402" s="322"/>
      <c r="C402" s="322"/>
      <c r="D402" s="323"/>
      <c r="E402" s="332"/>
      <c r="F402" s="333"/>
    </row>
    <row r="403" spans="1:6" ht="19.5" customHeight="1">
      <c r="A403" s="322"/>
      <c r="B403" s="322"/>
      <c r="C403" s="322"/>
      <c r="D403" s="323"/>
      <c r="E403" s="332"/>
      <c r="F403" s="333"/>
    </row>
    <row r="404" spans="1:6" ht="19.5" customHeight="1">
      <c r="A404" s="322"/>
      <c r="B404" s="322"/>
      <c r="C404" s="322"/>
      <c r="D404" s="323"/>
      <c r="E404" s="332"/>
      <c r="F404" s="333"/>
    </row>
    <row r="405" spans="1:6" ht="19.5" customHeight="1">
      <c r="A405" s="322"/>
      <c r="B405" s="322"/>
      <c r="C405" s="322"/>
      <c r="D405" s="323"/>
      <c r="E405" s="332"/>
      <c r="F405" s="333"/>
    </row>
    <row r="406" spans="1:6" ht="19.5" customHeight="1">
      <c r="A406" s="322"/>
      <c r="B406" s="322"/>
      <c r="C406" s="322"/>
      <c r="D406" s="323"/>
      <c r="E406" s="332"/>
      <c r="F406" s="333"/>
    </row>
    <row r="407" spans="1:6" ht="19.5" customHeight="1">
      <c r="A407" s="322"/>
      <c r="B407" s="322"/>
      <c r="C407" s="322"/>
      <c r="D407" s="323"/>
      <c r="E407" s="332"/>
      <c r="F407" s="333"/>
    </row>
    <row r="408" spans="1:6" ht="19.5" customHeight="1">
      <c r="A408" s="322"/>
      <c r="B408" s="322"/>
      <c r="C408" s="322"/>
      <c r="D408" s="323"/>
      <c r="E408" s="332"/>
      <c r="F408" s="333"/>
    </row>
    <row r="409" spans="1:6" ht="19.5" customHeight="1">
      <c r="A409" s="322"/>
      <c r="B409" s="322"/>
      <c r="C409" s="322"/>
      <c r="D409" s="323"/>
      <c r="E409" s="332"/>
      <c r="F409" s="333"/>
    </row>
    <row r="410" spans="1:6" ht="19.5" customHeight="1">
      <c r="A410" s="322"/>
      <c r="B410" s="322"/>
      <c r="C410" s="322"/>
      <c r="D410" s="323"/>
      <c r="E410" s="332"/>
      <c r="F410" s="333"/>
    </row>
    <row r="411" spans="1:6" ht="19.5" customHeight="1">
      <c r="A411" s="322"/>
      <c r="B411" s="322"/>
      <c r="C411" s="322"/>
      <c r="D411" s="323"/>
      <c r="E411" s="332"/>
      <c r="F411" s="333"/>
    </row>
    <row r="412" spans="1:6" ht="19.5" customHeight="1">
      <c r="A412" s="322"/>
      <c r="B412" s="322"/>
      <c r="C412" s="322"/>
      <c r="D412" s="323"/>
      <c r="E412" s="332"/>
      <c r="F412" s="333"/>
    </row>
    <row r="413" spans="1:6" ht="19.5" customHeight="1">
      <c r="A413" s="322"/>
      <c r="B413" s="322"/>
      <c r="C413" s="322"/>
      <c r="D413" s="323"/>
      <c r="E413" s="332"/>
      <c r="F413" s="333"/>
    </row>
    <row r="414" spans="1:6" ht="19.5" customHeight="1">
      <c r="A414" s="322"/>
      <c r="B414" s="322"/>
      <c r="C414" s="322"/>
      <c r="D414" s="323"/>
      <c r="E414" s="332"/>
      <c r="F414" s="333"/>
    </row>
    <row r="415" spans="1:6" ht="19.5" customHeight="1">
      <c r="A415" s="322"/>
      <c r="B415" s="322"/>
      <c r="C415" s="322"/>
      <c r="D415" s="323"/>
      <c r="E415" s="332"/>
      <c r="F415" s="333"/>
    </row>
    <row r="416" spans="1:6" ht="19.5" customHeight="1">
      <c r="A416" s="322"/>
      <c r="B416" s="322"/>
      <c r="C416" s="322"/>
      <c r="D416" s="323"/>
      <c r="E416" s="332"/>
      <c r="F416" s="333"/>
    </row>
    <row r="417" spans="1:6" ht="19.5" customHeight="1">
      <c r="A417" s="322"/>
      <c r="B417" s="322"/>
      <c r="C417" s="322"/>
      <c r="D417" s="323"/>
      <c r="E417" s="332"/>
      <c r="F417" s="333"/>
    </row>
    <row r="418" spans="1:6" ht="19.5" customHeight="1">
      <c r="A418" s="322"/>
      <c r="B418" s="322"/>
      <c r="C418" s="322"/>
      <c r="D418" s="323"/>
      <c r="E418" s="332"/>
      <c r="F418" s="333"/>
    </row>
    <row r="419" spans="1:6" ht="19.5" customHeight="1">
      <c r="A419" s="322"/>
      <c r="B419" s="322"/>
      <c r="C419" s="322"/>
      <c r="D419" s="323"/>
      <c r="E419" s="332"/>
      <c r="F419" s="333"/>
    </row>
    <row r="420" spans="1:6" ht="19.5" customHeight="1">
      <c r="A420" s="322"/>
      <c r="B420" s="322"/>
      <c r="C420" s="322"/>
      <c r="D420" s="323"/>
      <c r="E420" s="332"/>
      <c r="F420" s="333"/>
    </row>
    <row r="421" spans="1:6" ht="19.5" customHeight="1">
      <c r="A421" s="322"/>
      <c r="B421" s="322"/>
      <c r="C421" s="322"/>
      <c r="D421" s="323"/>
      <c r="E421" s="196"/>
      <c r="F421" s="333"/>
    </row>
    <row r="422" spans="1:6" ht="19.5" customHeight="1">
      <c r="A422" s="322"/>
      <c r="B422" s="322"/>
      <c r="C422" s="322"/>
      <c r="D422" s="323"/>
      <c r="E422" s="196"/>
      <c r="F422" s="333"/>
    </row>
    <row r="423" spans="1:6" ht="19.5" customHeight="1">
      <c r="A423" s="322"/>
      <c r="B423" s="322"/>
      <c r="C423" s="322"/>
      <c r="D423" s="323"/>
      <c r="E423" s="196"/>
      <c r="F423" s="333"/>
    </row>
    <row r="424" spans="1:6" ht="19.5" customHeight="1">
      <c r="A424" s="322"/>
      <c r="B424" s="322"/>
      <c r="C424" s="322"/>
      <c r="D424" s="323"/>
      <c r="E424" s="196"/>
      <c r="F424" s="333"/>
    </row>
    <row r="425" spans="1:6" ht="19.5" customHeight="1">
      <c r="A425" s="322"/>
      <c r="B425" s="322"/>
      <c r="C425" s="322"/>
      <c r="D425" s="323"/>
      <c r="E425" s="196"/>
      <c r="F425" s="333"/>
    </row>
    <row r="426" spans="1:6" ht="19.5" customHeight="1">
      <c r="A426" s="322"/>
      <c r="B426" s="322"/>
      <c r="C426" s="322"/>
      <c r="D426" s="323"/>
      <c r="E426" s="196"/>
      <c r="F426" s="333"/>
    </row>
    <row r="427" spans="1:6" ht="19.5" customHeight="1">
      <c r="A427" s="322"/>
      <c r="B427" s="322"/>
      <c r="C427" s="322"/>
      <c r="D427" s="323"/>
      <c r="E427" s="196"/>
      <c r="F427" s="333"/>
    </row>
    <row r="428" spans="1:6" ht="19.5" customHeight="1">
      <c r="A428" s="322"/>
      <c r="B428" s="322"/>
      <c r="C428" s="322"/>
      <c r="D428" s="323"/>
      <c r="E428" s="196"/>
      <c r="F428" s="333"/>
    </row>
    <row r="429" spans="1:6" ht="19.5" customHeight="1">
      <c r="A429" s="322"/>
      <c r="B429" s="322"/>
      <c r="C429" s="322"/>
      <c r="D429" s="323"/>
      <c r="E429" s="196"/>
      <c r="F429" s="333"/>
    </row>
    <row r="430" spans="1:6" ht="19.5" customHeight="1">
      <c r="A430" s="322"/>
      <c r="B430" s="322"/>
      <c r="C430" s="322"/>
      <c r="D430" s="323"/>
      <c r="E430" s="196"/>
      <c r="F430" s="333"/>
    </row>
    <row r="431" spans="1:6" ht="19.5" customHeight="1">
      <c r="A431" s="322"/>
      <c r="B431" s="322"/>
      <c r="C431" s="322"/>
      <c r="D431" s="323"/>
      <c r="E431" s="196"/>
      <c r="F431" s="333"/>
    </row>
    <row r="432" spans="1:6" ht="19.5" customHeight="1">
      <c r="A432" s="322"/>
      <c r="B432" s="322"/>
      <c r="C432" s="322"/>
      <c r="D432" s="323"/>
      <c r="E432" s="196"/>
      <c r="F432" s="333"/>
    </row>
    <row r="433" spans="1:6" ht="19.5" customHeight="1">
      <c r="A433" s="322"/>
      <c r="B433" s="322"/>
      <c r="C433" s="322"/>
      <c r="D433" s="323"/>
      <c r="E433" s="196"/>
      <c r="F433" s="333"/>
    </row>
    <row r="434" spans="1:6" ht="19.5" customHeight="1">
      <c r="A434" s="322"/>
      <c r="B434" s="322"/>
      <c r="C434" s="322"/>
      <c r="D434" s="323"/>
      <c r="E434" s="196"/>
      <c r="F434" s="333"/>
    </row>
    <row r="435" spans="1:6" ht="19.5" customHeight="1">
      <c r="A435" s="322"/>
      <c r="B435" s="322"/>
      <c r="C435" s="322"/>
      <c r="D435" s="323"/>
      <c r="E435" s="196"/>
      <c r="F435" s="333"/>
    </row>
    <row r="436" spans="1:6" ht="19.5" customHeight="1">
      <c r="A436" s="322"/>
      <c r="B436" s="322"/>
      <c r="C436" s="322"/>
      <c r="D436" s="323"/>
      <c r="E436" s="196"/>
      <c r="F436" s="333"/>
    </row>
    <row r="437" spans="1:6" ht="19.5" customHeight="1">
      <c r="A437" s="322"/>
      <c r="B437" s="322"/>
      <c r="C437" s="322"/>
      <c r="D437" s="323"/>
      <c r="E437" s="196"/>
      <c r="F437" s="333"/>
    </row>
    <row r="438" spans="1:6" ht="19.5" customHeight="1">
      <c r="A438" s="322"/>
      <c r="B438" s="322"/>
      <c r="C438" s="322"/>
      <c r="D438" s="323"/>
      <c r="E438" s="196"/>
      <c r="F438" s="333"/>
    </row>
    <row r="439" spans="1:6" ht="19.5" customHeight="1">
      <c r="A439" s="322"/>
      <c r="B439" s="322"/>
      <c r="C439" s="322"/>
      <c r="D439" s="323"/>
      <c r="E439" s="196"/>
      <c r="F439" s="333"/>
    </row>
    <row r="440" spans="1:6" ht="19.5" customHeight="1">
      <c r="A440" s="322"/>
      <c r="B440" s="322"/>
      <c r="C440" s="322"/>
      <c r="D440" s="323"/>
      <c r="E440" s="196"/>
      <c r="F440" s="333"/>
    </row>
    <row r="441" spans="1:6" ht="19.5" customHeight="1">
      <c r="A441" s="322"/>
      <c r="B441" s="322"/>
      <c r="C441" s="322"/>
      <c r="D441" s="323"/>
      <c r="E441" s="196"/>
      <c r="F441" s="333"/>
    </row>
    <row r="442" spans="1:6" ht="19.5" customHeight="1">
      <c r="A442" s="322"/>
      <c r="B442" s="322"/>
      <c r="C442" s="322"/>
      <c r="D442" s="323"/>
      <c r="E442" s="196"/>
      <c r="F442" s="333"/>
    </row>
    <row r="443" spans="1:6" ht="19.5" customHeight="1">
      <c r="A443" s="322"/>
      <c r="B443" s="322"/>
      <c r="C443" s="322"/>
      <c r="D443" s="323"/>
      <c r="E443" s="196"/>
      <c r="F443" s="333"/>
    </row>
    <row r="444" spans="1:6" ht="19.5" customHeight="1">
      <c r="A444" s="322"/>
      <c r="B444" s="322"/>
      <c r="C444" s="322"/>
      <c r="D444" s="323"/>
      <c r="E444" s="196"/>
      <c r="F444" s="333"/>
    </row>
    <row r="445" spans="1:6" ht="19.5" customHeight="1">
      <c r="A445" s="322"/>
      <c r="B445" s="322"/>
      <c r="C445" s="322"/>
      <c r="D445" s="323"/>
      <c r="E445" s="196"/>
      <c r="F445" s="333"/>
    </row>
    <row r="446" spans="1:6" ht="19.5" customHeight="1">
      <c r="A446" s="322"/>
      <c r="B446" s="322"/>
      <c r="C446" s="322"/>
      <c r="D446" s="323"/>
      <c r="E446" s="196"/>
      <c r="F446" s="333"/>
    </row>
    <row r="447" spans="1:6" ht="19.5" customHeight="1">
      <c r="A447" s="322"/>
      <c r="B447" s="322"/>
      <c r="C447" s="322"/>
      <c r="D447" s="323"/>
      <c r="E447" s="196"/>
      <c r="F447" s="333"/>
    </row>
    <row r="448" spans="1:6" ht="19.5" customHeight="1">
      <c r="A448" s="322"/>
      <c r="B448" s="322"/>
      <c r="C448" s="322"/>
      <c r="D448" s="323"/>
      <c r="E448" s="196"/>
      <c r="F448" s="333"/>
    </row>
    <row r="449" spans="1:6" ht="19.5" customHeight="1">
      <c r="A449" s="322"/>
      <c r="B449" s="322"/>
      <c r="C449" s="322"/>
      <c r="D449" s="323"/>
      <c r="E449" s="196"/>
      <c r="F449" s="333"/>
    </row>
    <row r="450" spans="1:5" ht="19.5" customHeight="1">
      <c r="A450" s="322"/>
      <c r="B450" s="322"/>
      <c r="C450" s="322"/>
      <c r="D450" s="323"/>
      <c r="E450" s="196"/>
    </row>
    <row r="451" spans="1:5" ht="19.5" customHeight="1">
      <c r="A451" s="322"/>
      <c r="B451" s="322"/>
      <c r="C451" s="322"/>
      <c r="D451" s="323"/>
      <c r="E451" s="196"/>
    </row>
    <row r="452" spans="1:5" ht="19.5" customHeight="1">
      <c r="A452" s="322"/>
      <c r="B452" s="322"/>
      <c r="C452" s="322"/>
      <c r="D452" s="323"/>
      <c r="E452" s="196"/>
    </row>
    <row r="453" spans="1:5" ht="19.5" customHeight="1">
      <c r="A453" s="322"/>
      <c r="B453" s="322"/>
      <c r="C453" s="322"/>
      <c r="D453" s="323"/>
      <c r="E453" s="196"/>
    </row>
    <row r="454" spans="1:5" ht="19.5" customHeight="1">
      <c r="A454" s="322"/>
      <c r="B454" s="322"/>
      <c r="C454" s="322"/>
      <c r="D454" s="323"/>
      <c r="E454" s="196"/>
    </row>
    <row r="455" spans="1:5" ht="19.5" customHeight="1">
      <c r="A455" s="322"/>
      <c r="B455" s="322"/>
      <c r="C455" s="322"/>
      <c r="D455" s="323"/>
      <c r="E455" s="196"/>
    </row>
    <row r="456" spans="1:5" ht="19.5" customHeight="1">
      <c r="A456" s="322"/>
      <c r="B456" s="322"/>
      <c r="C456" s="322"/>
      <c r="D456" s="323"/>
      <c r="E456" s="196"/>
    </row>
    <row r="457" spans="1:5" ht="19.5" customHeight="1">
      <c r="A457" s="322"/>
      <c r="B457" s="322"/>
      <c r="C457" s="322"/>
      <c r="D457" s="323"/>
      <c r="E457" s="196"/>
    </row>
    <row r="458" spans="1:5" ht="19.5" customHeight="1">
      <c r="A458" s="322"/>
      <c r="B458" s="322"/>
      <c r="C458" s="322"/>
      <c r="D458" s="323"/>
      <c r="E458" s="196"/>
    </row>
    <row r="459" spans="1:5" ht="19.5" customHeight="1">
      <c r="A459" s="322"/>
      <c r="B459" s="322"/>
      <c r="C459" s="322"/>
      <c r="D459" s="323"/>
      <c r="E459" s="196"/>
    </row>
    <row r="460" spans="1:5" ht="19.5" customHeight="1">
      <c r="A460" s="322"/>
      <c r="B460" s="322"/>
      <c r="C460" s="322"/>
      <c r="D460" s="323"/>
      <c r="E460" s="196"/>
    </row>
    <row r="461" spans="1:5" ht="19.5" customHeight="1">
      <c r="A461" s="322"/>
      <c r="B461" s="322"/>
      <c r="C461" s="322"/>
      <c r="D461" s="323"/>
      <c r="E461" s="196"/>
    </row>
    <row r="462" spans="1:5" ht="19.5" customHeight="1">
      <c r="A462" s="322"/>
      <c r="B462" s="322"/>
      <c r="C462" s="322"/>
      <c r="D462" s="323"/>
      <c r="E462" s="196"/>
    </row>
    <row r="463" spans="1:5" ht="19.5" customHeight="1">
      <c r="A463" s="322"/>
      <c r="B463" s="322"/>
      <c r="C463" s="322"/>
      <c r="D463" s="323"/>
      <c r="E463" s="196"/>
    </row>
    <row r="464" spans="1:5" ht="19.5" customHeight="1">
      <c r="A464" s="322"/>
      <c r="B464" s="322"/>
      <c r="C464" s="322"/>
      <c r="D464" s="323"/>
      <c r="E464" s="196"/>
    </row>
    <row r="465" spans="1:5" ht="19.5" customHeight="1">
      <c r="A465" s="322"/>
      <c r="B465" s="322"/>
      <c r="C465" s="322"/>
      <c r="D465" s="323"/>
      <c r="E465" s="196"/>
    </row>
    <row r="466" spans="1:5" ht="19.5" customHeight="1">
      <c r="A466" s="322"/>
      <c r="B466" s="322"/>
      <c r="C466" s="322"/>
      <c r="D466" s="323"/>
      <c r="E466" s="196"/>
    </row>
    <row r="467" spans="1:5" ht="19.5" customHeight="1">
      <c r="A467" s="322"/>
      <c r="B467" s="322"/>
      <c r="C467" s="322"/>
      <c r="D467" s="323"/>
      <c r="E467" s="196"/>
    </row>
    <row r="468" spans="1:5" ht="19.5" customHeight="1">
      <c r="A468" s="322"/>
      <c r="B468" s="322"/>
      <c r="C468" s="322"/>
      <c r="D468" s="323"/>
      <c r="E468" s="196"/>
    </row>
    <row r="469" spans="1:5" ht="19.5" customHeight="1">
      <c r="A469" s="322"/>
      <c r="B469" s="322"/>
      <c r="C469" s="322"/>
      <c r="D469" s="323"/>
      <c r="E469" s="196"/>
    </row>
    <row r="470" spans="1:5" ht="19.5" customHeight="1">
      <c r="A470" s="322"/>
      <c r="B470" s="322"/>
      <c r="C470" s="322"/>
      <c r="D470" s="323"/>
      <c r="E470" s="196"/>
    </row>
    <row r="471" spans="1:5" ht="19.5" customHeight="1">
      <c r="A471" s="322"/>
      <c r="B471" s="322"/>
      <c r="C471" s="322"/>
      <c r="D471" s="323"/>
      <c r="E471" s="196"/>
    </row>
    <row r="472" spans="1:5" ht="19.5" customHeight="1">
      <c r="A472" s="322"/>
      <c r="B472" s="322"/>
      <c r="C472" s="322"/>
      <c r="D472" s="323"/>
      <c r="E472" s="196"/>
    </row>
    <row r="473" spans="1:5" ht="19.5" customHeight="1">
      <c r="A473" s="322"/>
      <c r="B473" s="322"/>
      <c r="C473" s="322"/>
      <c r="D473" s="323"/>
      <c r="E473" s="196"/>
    </row>
    <row r="474" spans="1:5" ht="19.5" customHeight="1">
      <c r="A474" s="322"/>
      <c r="B474" s="322"/>
      <c r="C474" s="322"/>
      <c r="D474" s="323"/>
      <c r="E474" s="196"/>
    </row>
    <row r="475" spans="1:5" ht="19.5" customHeight="1">
      <c r="A475" s="322"/>
      <c r="B475" s="322"/>
      <c r="C475" s="322"/>
      <c r="D475" s="323"/>
      <c r="E475" s="196"/>
    </row>
    <row r="476" spans="1:5" ht="19.5" customHeight="1">
      <c r="A476" s="322"/>
      <c r="B476" s="322"/>
      <c r="C476" s="322"/>
      <c r="D476" s="323"/>
      <c r="E476" s="196"/>
    </row>
    <row r="477" spans="1:5" ht="19.5" customHeight="1">
      <c r="A477" s="322"/>
      <c r="B477" s="322"/>
      <c r="C477" s="322"/>
      <c r="D477" s="323"/>
      <c r="E477" s="196"/>
    </row>
    <row r="478" spans="1:5" ht="19.5" customHeight="1">
      <c r="A478" s="322"/>
      <c r="B478" s="322"/>
      <c r="C478" s="322"/>
      <c r="D478" s="323"/>
      <c r="E478" s="196"/>
    </row>
    <row r="479" spans="1:5" ht="19.5" customHeight="1">
      <c r="A479" s="322"/>
      <c r="B479" s="322"/>
      <c r="C479" s="322"/>
      <c r="D479" s="323"/>
      <c r="E479" s="196"/>
    </row>
    <row r="480" spans="1:5" ht="19.5" customHeight="1">
      <c r="A480" s="322"/>
      <c r="B480" s="322"/>
      <c r="C480" s="322"/>
      <c r="D480" s="323"/>
      <c r="E480" s="196"/>
    </row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</sheetData>
  <sheetProtection password="CF53" sheet="1" objects="1" scenarios="1" selectLockedCells="1" selectUnlockedCells="1"/>
  <mergeCells count="15">
    <mergeCell ref="A331:D331"/>
    <mergeCell ref="E35:E36"/>
    <mergeCell ref="F35:F36"/>
    <mergeCell ref="G35:G36"/>
    <mergeCell ref="A222:D222"/>
    <mergeCell ref="E326:E327"/>
    <mergeCell ref="G326:G327"/>
    <mergeCell ref="F326:F327"/>
    <mergeCell ref="E324:E325"/>
    <mergeCell ref="F324:F325"/>
    <mergeCell ref="G324:G325"/>
    <mergeCell ref="F1:G1"/>
    <mergeCell ref="M3:Q3"/>
    <mergeCell ref="A3:G3"/>
    <mergeCell ref="A7:D7"/>
  </mergeCells>
  <printOptions horizontalCentered="1"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>
    <tabColor indexed="42"/>
  </sheetPr>
  <dimension ref="A1:Q203"/>
  <sheetViews>
    <sheetView view="pageBreakPreview" zoomScaleSheetLayoutView="100" workbookViewId="0" topLeftCell="A1">
      <selection activeCell="I16" sqref="I16"/>
    </sheetView>
  </sheetViews>
  <sheetFormatPr defaultColWidth="9.00390625" defaultRowHeight="12.75"/>
  <cols>
    <col min="1" max="1" width="5.625" style="335" customWidth="1"/>
    <col min="2" max="2" width="6.875" style="335" customWidth="1"/>
    <col min="3" max="3" width="5.125" style="335" customWidth="1"/>
    <col min="4" max="4" width="40.25390625" style="336" customWidth="1"/>
    <col min="5" max="5" width="13.00390625" style="139" customWidth="1"/>
    <col min="6" max="6" width="13.125" style="139" customWidth="1"/>
    <col min="7" max="7" width="5.625" style="326" customWidth="1"/>
    <col min="8" max="8" width="9.125" style="139" customWidth="1"/>
    <col min="9" max="9" width="29.875" style="139" customWidth="1"/>
    <col min="10" max="12" width="9.125" style="139" customWidth="1"/>
    <col min="13" max="13" width="7.25390625" style="139" customWidth="1"/>
    <col min="14" max="14" width="7.875" style="139" customWidth="1"/>
    <col min="15" max="15" width="5.25390625" style="139" customWidth="1"/>
    <col min="16" max="16" width="35.125" style="139" customWidth="1"/>
    <col min="17" max="17" width="22.625" style="139" customWidth="1"/>
    <col min="18" max="16384" width="9.125" style="139" customWidth="1"/>
  </cols>
  <sheetData>
    <row r="1" spans="1:16" s="123" customFormat="1" ht="12.75">
      <c r="A1" s="121"/>
      <c r="B1" s="121"/>
      <c r="C1" s="121"/>
      <c r="D1" s="122"/>
      <c r="E1" s="122"/>
      <c r="F1" s="1518" t="s">
        <v>763</v>
      </c>
      <c r="G1" s="1518"/>
      <c r="P1" s="123" t="s">
        <v>377</v>
      </c>
    </row>
    <row r="2" spans="1:16" s="123" customFormat="1" ht="21.75" customHeight="1">
      <c r="A2" s="121"/>
      <c r="B2" s="121"/>
      <c r="C2" s="121"/>
      <c r="E2" s="122"/>
      <c r="G2" s="124"/>
      <c r="P2" s="123" t="s">
        <v>378</v>
      </c>
    </row>
    <row r="3" spans="1:17" s="126" customFormat="1" ht="30.75" customHeight="1">
      <c r="A3" s="1546" t="s">
        <v>1087</v>
      </c>
      <c r="B3" s="1546"/>
      <c r="C3" s="1546"/>
      <c r="D3" s="1546"/>
      <c r="E3" s="1546"/>
      <c r="F3" s="1546"/>
      <c r="G3" s="1546"/>
      <c r="M3" s="1495" t="s">
        <v>253</v>
      </c>
      <c r="N3" s="1495"/>
      <c r="O3" s="1495"/>
      <c r="P3" s="1495"/>
      <c r="Q3" s="1495"/>
    </row>
    <row r="4" spans="1:7" s="123" customFormat="1" ht="18" customHeight="1" thickBot="1">
      <c r="A4" s="121"/>
      <c r="B4" s="121"/>
      <c r="C4" s="121"/>
      <c r="D4" s="122"/>
      <c r="G4" s="124" t="s">
        <v>67</v>
      </c>
    </row>
    <row r="5" spans="1:17" s="31" customFormat="1" ht="18" customHeight="1">
      <c r="A5" s="1228" t="s">
        <v>249</v>
      </c>
      <c r="B5" s="1229" t="s">
        <v>68</v>
      </c>
      <c r="C5" s="1229" t="s">
        <v>254</v>
      </c>
      <c r="D5" s="1229" t="s">
        <v>69</v>
      </c>
      <c r="E5" s="1157" t="s">
        <v>70</v>
      </c>
      <c r="F5" s="872" t="s">
        <v>71</v>
      </c>
      <c r="G5" s="1230" t="s">
        <v>72</v>
      </c>
      <c r="M5" s="419" t="s">
        <v>249</v>
      </c>
      <c r="N5" s="419" t="s">
        <v>68</v>
      </c>
      <c r="O5" s="419" t="s">
        <v>254</v>
      </c>
      <c r="P5" s="419" t="s">
        <v>69</v>
      </c>
      <c r="Q5" s="419" t="s">
        <v>255</v>
      </c>
    </row>
    <row r="6" spans="1:17" s="420" customFormat="1" ht="15" customHeight="1" thickBot="1">
      <c r="A6" s="1231">
        <v>1</v>
      </c>
      <c r="B6" s="1232">
        <v>2</v>
      </c>
      <c r="C6" s="1232">
        <v>3</v>
      </c>
      <c r="D6" s="1232">
        <v>4</v>
      </c>
      <c r="E6" s="1233">
        <v>5</v>
      </c>
      <c r="F6" s="1217">
        <v>6</v>
      </c>
      <c r="G6" s="1234">
        <v>7</v>
      </c>
      <c r="M6" s="421">
        <v>1</v>
      </c>
      <c r="N6" s="421">
        <v>2</v>
      </c>
      <c r="O6" s="421">
        <v>3</v>
      </c>
      <c r="P6" s="421">
        <v>4</v>
      </c>
      <c r="Q6" s="421">
        <v>5</v>
      </c>
    </row>
    <row r="7" spans="1:17" s="394" customFormat="1" ht="22.5" customHeight="1">
      <c r="A7" s="1537" t="s">
        <v>1085</v>
      </c>
      <c r="B7" s="1538"/>
      <c r="C7" s="1538"/>
      <c r="D7" s="1539"/>
      <c r="E7" s="392">
        <f>SUM(E8,E11,E17,E20,E26)</f>
        <v>58089401</v>
      </c>
      <c r="F7" s="392">
        <f>SUM(F8,F11,F17,F20,F26)</f>
        <v>6300934.89</v>
      </c>
      <c r="G7" s="393">
        <f>F7/E7*100</f>
        <v>10.846961375965988</v>
      </c>
      <c r="M7" s="395"/>
      <c r="N7" s="395"/>
      <c r="O7" s="395"/>
      <c r="P7" s="395"/>
      <c r="Q7" s="395"/>
    </row>
    <row r="8" spans="1:17" s="134" customFormat="1" ht="18" customHeight="1">
      <c r="A8" s="99" t="s">
        <v>75</v>
      </c>
      <c r="B8" s="131"/>
      <c r="C8" s="131"/>
      <c r="D8" s="132" t="s">
        <v>256</v>
      </c>
      <c r="E8" s="133">
        <f>SUM(E9)</f>
        <v>75000</v>
      </c>
      <c r="F8" s="133">
        <f>SUM(F9)</f>
        <v>81996.41</v>
      </c>
      <c r="G8" s="103">
        <f>F8/E8*100</f>
        <v>109.32854666666667</v>
      </c>
      <c r="M8" s="135"/>
      <c r="N8" s="135"/>
      <c r="O8" s="135"/>
      <c r="P8" s="135"/>
      <c r="Q8" s="135"/>
    </row>
    <row r="9" spans="1:17" ht="21" customHeight="1">
      <c r="A9" s="106"/>
      <c r="B9" s="136" t="s">
        <v>76</v>
      </c>
      <c r="C9" s="136"/>
      <c r="D9" s="137" t="s">
        <v>74</v>
      </c>
      <c r="E9" s="138">
        <f>SUM(E10)</f>
        <v>75000</v>
      </c>
      <c r="F9" s="138">
        <f>SUM(F10)</f>
        <v>81996.41</v>
      </c>
      <c r="G9" s="110">
        <f>F9/E9*100</f>
        <v>109.32854666666667</v>
      </c>
      <c r="M9" s="140"/>
      <c r="N9" s="140"/>
      <c r="O9" s="140"/>
      <c r="P9" s="140"/>
      <c r="Q9" s="140"/>
    </row>
    <row r="10" spans="1:17" s="144" customFormat="1" ht="25.5" customHeight="1">
      <c r="A10" s="113"/>
      <c r="B10" s="141"/>
      <c r="C10" s="141" t="s">
        <v>544</v>
      </c>
      <c r="D10" s="146" t="s">
        <v>543</v>
      </c>
      <c r="E10" s="143">
        <v>75000</v>
      </c>
      <c r="F10" s="143">
        <v>81996.41</v>
      </c>
      <c r="G10" s="118">
        <f>F10/E10*100</f>
        <v>109.32854666666667</v>
      </c>
      <c r="M10" s="145"/>
      <c r="N10" s="145"/>
      <c r="O10" s="145"/>
      <c r="P10" s="145"/>
      <c r="Q10" s="145"/>
    </row>
    <row r="11" spans="1:7" ht="19.5" customHeight="1">
      <c r="A11" s="99" t="s">
        <v>78</v>
      </c>
      <c r="B11" s="131"/>
      <c r="C11" s="131"/>
      <c r="D11" s="148" t="s">
        <v>79</v>
      </c>
      <c r="E11" s="151">
        <f>SUM(E12)</f>
        <v>20623953</v>
      </c>
      <c r="F11" s="152">
        <f>SUM(F12)</f>
        <v>0</v>
      </c>
      <c r="G11" s="153" t="s">
        <v>312</v>
      </c>
    </row>
    <row r="12" spans="1:17" ht="21.75" customHeight="1">
      <c r="A12" s="106"/>
      <c r="B12" s="162" t="s">
        <v>420</v>
      </c>
      <c r="C12" s="136"/>
      <c r="D12" s="108" t="s">
        <v>421</v>
      </c>
      <c r="E12" s="109">
        <f>SUM(E13,E15)</f>
        <v>20623953</v>
      </c>
      <c r="F12" s="109">
        <f>SUM(F13,F15)</f>
        <v>0</v>
      </c>
      <c r="G12" s="110" t="s">
        <v>312</v>
      </c>
      <c r="M12" s="140"/>
      <c r="N12" s="140"/>
      <c r="O12" s="140"/>
      <c r="P12" s="140"/>
      <c r="Q12" s="140"/>
    </row>
    <row r="13" spans="1:17" s="144" customFormat="1" ht="54.75" customHeight="1">
      <c r="A13" s="113"/>
      <c r="B13" s="150"/>
      <c r="C13" s="141" t="s">
        <v>1223</v>
      </c>
      <c r="D13" s="146" t="s">
        <v>642</v>
      </c>
      <c r="E13" s="117">
        <v>15467966</v>
      </c>
      <c r="F13" s="117">
        <v>0</v>
      </c>
      <c r="G13" s="118" t="s">
        <v>312</v>
      </c>
      <c r="M13" s="145"/>
      <c r="N13" s="145"/>
      <c r="O13" s="145"/>
      <c r="P13" s="145"/>
      <c r="Q13" s="145"/>
    </row>
    <row r="14" spans="1:17" s="144" customFormat="1" ht="66.75" customHeight="1">
      <c r="A14" s="113"/>
      <c r="B14" s="150"/>
      <c r="C14" s="141"/>
      <c r="D14" s="116" t="s">
        <v>709</v>
      </c>
      <c r="E14" s="117"/>
      <c r="F14" s="117"/>
      <c r="G14" s="118"/>
      <c r="M14" s="145"/>
      <c r="N14" s="145"/>
      <c r="O14" s="145"/>
      <c r="P14" s="145"/>
      <c r="Q14" s="145"/>
    </row>
    <row r="15" spans="1:17" s="144" customFormat="1" ht="54" customHeight="1">
      <c r="A15" s="113"/>
      <c r="B15" s="150"/>
      <c r="C15" s="141" t="s">
        <v>1117</v>
      </c>
      <c r="D15" s="146" t="s">
        <v>642</v>
      </c>
      <c r="E15" s="117">
        <v>5155987</v>
      </c>
      <c r="F15" s="117">
        <v>0</v>
      </c>
      <c r="G15" s="118" t="s">
        <v>312</v>
      </c>
      <c r="M15" s="145"/>
      <c r="N15" s="145"/>
      <c r="O15" s="145"/>
      <c r="P15" s="145"/>
      <c r="Q15" s="145"/>
    </row>
    <row r="16" spans="1:17" s="144" customFormat="1" ht="78" customHeight="1">
      <c r="A16" s="113"/>
      <c r="B16" s="150"/>
      <c r="C16" s="141"/>
      <c r="D16" s="116" t="s">
        <v>711</v>
      </c>
      <c r="E16" s="117"/>
      <c r="F16" s="117"/>
      <c r="G16" s="118"/>
      <c r="M16" s="145"/>
      <c r="N16" s="145"/>
      <c r="O16" s="145"/>
      <c r="P16" s="145"/>
      <c r="Q16" s="145"/>
    </row>
    <row r="17" spans="1:17" s="134" customFormat="1" ht="19.5" customHeight="1">
      <c r="A17" s="99" t="s">
        <v>83</v>
      </c>
      <c r="B17" s="131"/>
      <c r="C17" s="131"/>
      <c r="D17" s="148" t="s">
        <v>84</v>
      </c>
      <c r="E17" s="133">
        <f>SUM(E18)</f>
        <v>0</v>
      </c>
      <c r="F17" s="133">
        <f>SUM(F18)</f>
        <v>47</v>
      </c>
      <c r="G17" s="103" t="s">
        <v>312</v>
      </c>
      <c r="M17" s="147"/>
      <c r="N17" s="147"/>
      <c r="O17" s="147"/>
      <c r="P17" s="147"/>
      <c r="Q17" s="147"/>
    </row>
    <row r="18" spans="1:17" ht="22.5" customHeight="1">
      <c r="A18" s="106"/>
      <c r="B18" s="136" t="s">
        <v>397</v>
      </c>
      <c r="C18" s="136"/>
      <c r="D18" s="108" t="s">
        <v>399</v>
      </c>
      <c r="E18" s="138">
        <f>SUM(E19)</f>
        <v>0</v>
      </c>
      <c r="F18" s="138">
        <f>SUM(F19)</f>
        <v>47</v>
      </c>
      <c r="G18" s="110" t="s">
        <v>312</v>
      </c>
      <c r="M18" s="140"/>
      <c r="N18" s="140"/>
      <c r="O18" s="140"/>
      <c r="P18" s="140"/>
      <c r="Q18" s="140"/>
    </row>
    <row r="19" spans="1:17" ht="21" customHeight="1">
      <c r="A19" s="113"/>
      <c r="B19" s="141"/>
      <c r="C19" s="141" t="s">
        <v>544</v>
      </c>
      <c r="D19" s="146" t="s">
        <v>543</v>
      </c>
      <c r="E19" s="143">
        <v>0</v>
      </c>
      <c r="F19" s="143">
        <v>47</v>
      </c>
      <c r="G19" s="118" t="s">
        <v>312</v>
      </c>
      <c r="M19" s="140"/>
      <c r="N19" s="140"/>
      <c r="O19" s="140"/>
      <c r="P19" s="140"/>
      <c r="Q19" s="140"/>
    </row>
    <row r="20" spans="1:17" s="134" customFormat="1" ht="21" customHeight="1">
      <c r="A20" s="99" t="s">
        <v>85</v>
      </c>
      <c r="B20" s="131"/>
      <c r="C20" s="131"/>
      <c r="D20" s="132" t="s">
        <v>86</v>
      </c>
      <c r="E20" s="133">
        <f>SUM(E21)</f>
        <v>35873000</v>
      </c>
      <c r="F20" s="133">
        <f>SUM(F21)</f>
        <v>5886345.409999999</v>
      </c>
      <c r="G20" s="103">
        <f>F20/E20*100</f>
        <v>16.40884623533019</v>
      </c>
      <c r="M20" s="147"/>
      <c r="N20" s="147"/>
      <c r="O20" s="147"/>
      <c r="P20" s="147"/>
      <c r="Q20" s="147"/>
    </row>
    <row r="21" spans="1:17" ht="21" customHeight="1">
      <c r="A21" s="113"/>
      <c r="B21" s="136" t="s">
        <v>87</v>
      </c>
      <c r="C21" s="136"/>
      <c r="D21" s="137" t="s">
        <v>88</v>
      </c>
      <c r="E21" s="138">
        <f>SUM(E22,E23)</f>
        <v>35873000</v>
      </c>
      <c r="F21" s="138">
        <f>SUM(F22,F23)</f>
        <v>5886345.409999999</v>
      </c>
      <c r="G21" s="110">
        <f>F21/E21*100</f>
        <v>16.40884623533019</v>
      </c>
      <c r="M21" s="140"/>
      <c r="N21" s="140"/>
      <c r="O21" s="140"/>
      <c r="P21" s="140"/>
      <c r="Q21" s="140"/>
    </row>
    <row r="22" spans="1:17" s="144" customFormat="1" ht="43.5" customHeight="1">
      <c r="A22" s="113"/>
      <c r="B22" s="141"/>
      <c r="C22" s="141" t="s">
        <v>581</v>
      </c>
      <c r="D22" s="146" t="s">
        <v>266</v>
      </c>
      <c r="E22" s="143">
        <v>100000</v>
      </c>
      <c r="F22" s="143">
        <v>63179.52</v>
      </c>
      <c r="G22" s="118">
        <f>F22/E22*100</f>
        <v>63.17952</v>
      </c>
      <c r="M22" s="145"/>
      <c r="N22" s="145"/>
      <c r="O22" s="145"/>
      <c r="P22" s="145"/>
      <c r="Q22" s="145"/>
    </row>
    <row r="23" spans="1:17" s="156" customFormat="1" ht="48" customHeight="1" thickBot="1">
      <c r="A23" s="227"/>
      <c r="B23" s="228"/>
      <c r="C23" s="228" t="s">
        <v>582</v>
      </c>
      <c r="D23" s="230" t="s">
        <v>643</v>
      </c>
      <c r="E23" s="231">
        <v>35773000</v>
      </c>
      <c r="F23" s="231">
        <v>5823165.89</v>
      </c>
      <c r="G23" s="418">
        <f>F23/E23*100</f>
        <v>16.278103290190927</v>
      </c>
      <c r="M23" s="157"/>
      <c r="N23" s="157"/>
      <c r="O23" s="157"/>
      <c r="P23" s="157"/>
      <c r="Q23" s="157"/>
    </row>
    <row r="24" spans="1:7" s="222" customFormat="1" ht="20.25" customHeight="1" thickBot="1">
      <c r="A24" s="396"/>
      <c r="B24" s="396"/>
      <c r="C24" s="396"/>
      <c r="D24" s="406"/>
      <c r="E24" s="400"/>
      <c r="F24" s="400"/>
      <c r="G24" s="398"/>
    </row>
    <row r="25" spans="1:17" s="129" customFormat="1" ht="15" customHeight="1" thickBot="1">
      <c r="A25" s="1223">
        <v>1</v>
      </c>
      <c r="B25" s="1224">
        <v>2</v>
      </c>
      <c r="C25" s="1224">
        <v>3</v>
      </c>
      <c r="D25" s="1224">
        <v>4</v>
      </c>
      <c r="E25" s="1225">
        <v>5</v>
      </c>
      <c r="F25" s="1226">
        <v>6</v>
      </c>
      <c r="G25" s="1227">
        <v>7</v>
      </c>
      <c r="M25" s="130">
        <v>1</v>
      </c>
      <c r="N25" s="130">
        <v>2</v>
      </c>
      <c r="O25" s="130">
        <v>3</v>
      </c>
      <c r="P25" s="130">
        <v>4</v>
      </c>
      <c r="Q25" s="130">
        <v>5</v>
      </c>
    </row>
    <row r="26" spans="1:17" s="144" customFormat="1" ht="29.25" customHeight="1">
      <c r="A26" s="167" t="s">
        <v>212</v>
      </c>
      <c r="B26" s="168"/>
      <c r="C26" s="168"/>
      <c r="D26" s="187" t="s">
        <v>326</v>
      </c>
      <c r="E26" s="152">
        <f>SUM(E27,E29,E32)</f>
        <v>1517448</v>
      </c>
      <c r="F26" s="152">
        <f>SUM(F27,F29,F32)</f>
        <v>332546.07</v>
      </c>
      <c r="G26" s="103">
        <f>F26/E26*100</f>
        <v>21.914824758410173</v>
      </c>
      <c r="M26" s="145"/>
      <c r="N26" s="145"/>
      <c r="O26" s="145"/>
      <c r="P26" s="145"/>
      <c r="Q26" s="145"/>
    </row>
    <row r="27" spans="1:17" ht="21.75" customHeight="1">
      <c r="A27" s="171"/>
      <c r="B27" s="172" t="s">
        <v>623</v>
      </c>
      <c r="C27" s="194"/>
      <c r="D27" s="177" t="s">
        <v>624</v>
      </c>
      <c r="E27" s="174">
        <f>SUM(E28)</f>
        <v>0</v>
      </c>
      <c r="F27" s="174">
        <f>SUM(F28)</f>
        <v>276024.59</v>
      </c>
      <c r="G27" s="110" t="s">
        <v>312</v>
      </c>
      <c r="M27" s="196"/>
      <c r="N27" s="196"/>
      <c r="O27" s="196"/>
      <c r="P27" s="196"/>
      <c r="Q27" s="196"/>
    </row>
    <row r="28" spans="1:17" s="144" customFormat="1" ht="21.75" customHeight="1">
      <c r="A28" s="175"/>
      <c r="B28" s="176"/>
      <c r="C28" s="158" t="s">
        <v>544</v>
      </c>
      <c r="D28" s="116" t="s">
        <v>543</v>
      </c>
      <c r="E28" s="159">
        <v>0</v>
      </c>
      <c r="F28" s="159">
        <v>276024.59</v>
      </c>
      <c r="G28" s="118" t="s">
        <v>312</v>
      </c>
      <c r="M28" s="160"/>
      <c r="N28" s="160"/>
      <c r="O28" s="160"/>
      <c r="P28" s="160"/>
      <c r="Q28" s="160"/>
    </row>
    <row r="29" spans="1:17" ht="18" customHeight="1">
      <c r="A29" s="171"/>
      <c r="B29" s="172" t="s">
        <v>945</v>
      </c>
      <c r="C29" s="194"/>
      <c r="D29" s="177" t="s">
        <v>946</v>
      </c>
      <c r="E29" s="174">
        <f>SUM(E30)</f>
        <v>1240848</v>
      </c>
      <c r="F29" s="174">
        <f>SUM(F30)</f>
        <v>0</v>
      </c>
      <c r="G29" s="110">
        <f>F29/E29*100</f>
        <v>0</v>
      </c>
      <c r="M29" s="196"/>
      <c r="N29" s="196"/>
      <c r="O29" s="196"/>
      <c r="P29" s="196"/>
      <c r="Q29" s="196"/>
    </row>
    <row r="30" spans="1:17" ht="53.25" customHeight="1">
      <c r="A30" s="175"/>
      <c r="B30" s="176"/>
      <c r="C30" s="158" t="s">
        <v>1223</v>
      </c>
      <c r="D30" s="146" t="s">
        <v>642</v>
      </c>
      <c r="E30" s="159">
        <v>1240848</v>
      </c>
      <c r="F30" s="159">
        <v>0</v>
      </c>
      <c r="G30" s="118">
        <f>F30/E30*100</f>
        <v>0</v>
      </c>
      <c r="M30" s="196"/>
      <c r="N30" s="196"/>
      <c r="O30" s="196"/>
      <c r="P30" s="196"/>
      <c r="Q30" s="196"/>
    </row>
    <row r="31" spans="1:17" ht="69" customHeight="1">
      <c r="A31" s="175"/>
      <c r="B31" s="176"/>
      <c r="C31" s="158"/>
      <c r="D31" s="116" t="s">
        <v>709</v>
      </c>
      <c r="E31" s="159"/>
      <c r="F31" s="159"/>
      <c r="G31" s="118"/>
      <c r="M31" s="196"/>
      <c r="N31" s="196"/>
      <c r="O31" s="196"/>
      <c r="P31" s="196"/>
      <c r="Q31" s="196"/>
    </row>
    <row r="32" spans="1:7" ht="20.25" customHeight="1">
      <c r="A32" s="171"/>
      <c r="B32" s="172" t="s">
        <v>216</v>
      </c>
      <c r="C32" s="172"/>
      <c r="D32" s="173" t="s">
        <v>74</v>
      </c>
      <c r="E32" s="174">
        <f>SUM(E33)</f>
        <v>276600</v>
      </c>
      <c r="F32" s="174">
        <f>SUM(F33)</f>
        <v>56521.48</v>
      </c>
      <c r="G32" s="110">
        <f>F32/E32*100</f>
        <v>20.434374548083877</v>
      </c>
    </row>
    <row r="33" spans="1:17" s="144" customFormat="1" ht="21.75" customHeight="1">
      <c r="A33" s="411"/>
      <c r="B33" s="315"/>
      <c r="C33" s="412" t="s">
        <v>544</v>
      </c>
      <c r="D33" s="316" t="s">
        <v>543</v>
      </c>
      <c r="E33" s="258">
        <v>276600</v>
      </c>
      <c r="F33" s="258">
        <v>56521.48</v>
      </c>
      <c r="G33" s="413">
        <f>F33/E33*100</f>
        <v>20.434374548083877</v>
      </c>
      <c r="M33" s="145"/>
      <c r="N33" s="145"/>
      <c r="O33" s="145"/>
      <c r="P33" s="145"/>
      <c r="Q33" s="145"/>
    </row>
    <row r="34" spans="1:17" s="404" customFormat="1" ht="22.5" customHeight="1">
      <c r="A34" s="1537" t="s">
        <v>1083</v>
      </c>
      <c r="B34" s="1538"/>
      <c r="C34" s="1538"/>
      <c r="D34" s="1539"/>
      <c r="E34" s="403">
        <f>SUM(E35,E46)</f>
        <v>4826538</v>
      </c>
      <c r="F34" s="403">
        <f>SUM(F35,F46)</f>
        <v>335486.58</v>
      </c>
      <c r="G34" s="393">
        <f>F34/E34*100</f>
        <v>6.950874104793126</v>
      </c>
      <c r="M34" s="405"/>
      <c r="N34" s="405"/>
      <c r="O34" s="405"/>
      <c r="P34" s="405"/>
      <c r="Q34" s="405"/>
    </row>
    <row r="35" spans="1:17" s="204" customFormat="1" ht="21.75" customHeight="1">
      <c r="A35" s="99" t="s">
        <v>78</v>
      </c>
      <c r="B35" s="131"/>
      <c r="C35" s="131"/>
      <c r="D35" s="148" t="s">
        <v>79</v>
      </c>
      <c r="E35" s="133">
        <f>SUM(E36,E39)</f>
        <v>3695538</v>
      </c>
      <c r="F35" s="133">
        <f>SUM(F36,F39)</f>
        <v>335486.58</v>
      </c>
      <c r="G35" s="103">
        <f>F35/E35*100</f>
        <v>9.078152626221135</v>
      </c>
      <c r="M35" s="205"/>
      <c r="N35" s="205"/>
      <c r="O35" s="205"/>
      <c r="P35" s="205"/>
      <c r="Q35" s="205"/>
    </row>
    <row r="36" spans="1:17" s="206" customFormat="1" ht="21.75" customHeight="1">
      <c r="A36" s="106"/>
      <c r="B36" s="136" t="s">
        <v>108</v>
      </c>
      <c r="C36" s="136"/>
      <c r="D36" s="108" t="s">
        <v>1224</v>
      </c>
      <c r="E36" s="138">
        <f>SUM(E37)</f>
        <v>429847</v>
      </c>
      <c r="F36" s="138">
        <f>SUM(F37)</f>
        <v>0</v>
      </c>
      <c r="G36" s="110" t="s">
        <v>312</v>
      </c>
      <c r="M36" s="207"/>
      <c r="N36" s="207"/>
      <c r="O36" s="207"/>
      <c r="P36" s="207"/>
      <c r="Q36" s="207"/>
    </row>
    <row r="37" spans="1:17" s="156" customFormat="1" ht="54" customHeight="1">
      <c r="A37" s="113"/>
      <c r="B37" s="141"/>
      <c r="C37" s="141" t="s">
        <v>1223</v>
      </c>
      <c r="D37" s="146" t="s">
        <v>107</v>
      </c>
      <c r="E37" s="143">
        <v>429847</v>
      </c>
      <c r="F37" s="143">
        <v>0</v>
      </c>
      <c r="G37" s="118" t="s">
        <v>312</v>
      </c>
      <c r="M37" s="157"/>
      <c r="N37" s="157"/>
      <c r="O37" s="157"/>
      <c r="P37" s="157"/>
      <c r="Q37" s="157"/>
    </row>
    <row r="38" spans="1:17" s="156" customFormat="1" ht="67.5" customHeight="1">
      <c r="A38" s="113"/>
      <c r="B38" s="141"/>
      <c r="C38" s="141"/>
      <c r="D38" s="146" t="s">
        <v>709</v>
      </c>
      <c r="E38" s="143"/>
      <c r="F38" s="143"/>
      <c r="G38" s="118"/>
      <c r="M38" s="157"/>
      <c r="N38" s="157"/>
      <c r="O38" s="157"/>
      <c r="P38" s="157"/>
      <c r="Q38" s="157"/>
    </row>
    <row r="39" spans="1:17" s="206" customFormat="1" ht="46.5" customHeight="1">
      <c r="A39" s="106"/>
      <c r="B39" s="136" t="s">
        <v>80</v>
      </c>
      <c r="C39" s="136"/>
      <c r="D39" s="108" t="s">
        <v>591</v>
      </c>
      <c r="E39" s="138">
        <f>SUM(E40,E41,E43)</f>
        <v>3265691</v>
      </c>
      <c r="F39" s="138">
        <f>SUM(F40,F41,F43)</f>
        <v>335486.58</v>
      </c>
      <c r="G39" s="110">
        <f>F39/E39*100</f>
        <v>10.273065639094453</v>
      </c>
      <c r="M39" s="207"/>
      <c r="N39" s="207"/>
      <c r="O39" s="207"/>
      <c r="P39" s="207"/>
      <c r="Q39" s="207"/>
    </row>
    <row r="40" spans="1:17" s="156" customFormat="1" ht="57" customHeight="1">
      <c r="A40" s="113"/>
      <c r="B40" s="141"/>
      <c r="C40" s="141" t="s">
        <v>606</v>
      </c>
      <c r="D40" s="146" t="s">
        <v>642</v>
      </c>
      <c r="E40" s="117">
        <v>387191</v>
      </c>
      <c r="F40" s="117">
        <v>0</v>
      </c>
      <c r="G40" s="149">
        <f>F40/E40*100</f>
        <v>0</v>
      </c>
      <c r="M40" s="157"/>
      <c r="N40" s="157"/>
      <c r="O40" s="157"/>
      <c r="P40" s="157"/>
      <c r="Q40" s="157"/>
    </row>
    <row r="41" spans="1:17" s="156" customFormat="1" ht="57" customHeight="1">
      <c r="A41" s="113"/>
      <c r="B41" s="150"/>
      <c r="C41" s="141" t="s">
        <v>1116</v>
      </c>
      <c r="D41" s="146" t="s">
        <v>788</v>
      </c>
      <c r="E41" s="117">
        <v>878500</v>
      </c>
      <c r="F41" s="117">
        <v>0</v>
      </c>
      <c r="G41" s="149">
        <f>F41/E41*100</f>
        <v>0</v>
      </c>
      <c r="M41" s="157"/>
      <c r="N41" s="157"/>
      <c r="O41" s="157"/>
      <c r="P41" s="157"/>
      <c r="Q41" s="157"/>
    </row>
    <row r="42" spans="1:17" s="156" customFormat="1" ht="30" customHeight="1">
      <c r="A42" s="113"/>
      <c r="B42" s="150"/>
      <c r="C42" s="141"/>
      <c r="D42" s="146" t="s">
        <v>789</v>
      </c>
      <c r="E42" s="117"/>
      <c r="F42" s="117"/>
      <c r="G42" s="118"/>
      <c r="M42" s="157"/>
      <c r="N42" s="157"/>
      <c r="O42" s="157"/>
      <c r="P42" s="157"/>
      <c r="Q42" s="157"/>
    </row>
    <row r="43" spans="1:17" s="156" customFormat="1" ht="45.75" customHeight="1" thickBot="1">
      <c r="A43" s="227"/>
      <c r="B43" s="416"/>
      <c r="C43" s="228" t="s">
        <v>230</v>
      </c>
      <c r="D43" s="230" t="s">
        <v>231</v>
      </c>
      <c r="E43" s="417">
        <v>2000000</v>
      </c>
      <c r="F43" s="417">
        <v>335486.58</v>
      </c>
      <c r="G43" s="418">
        <f>F43/E43*100</f>
        <v>16.774329</v>
      </c>
      <c r="M43" s="157"/>
      <c r="N43" s="157"/>
      <c r="O43" s="157"/>
      <c r="P43" s="157"/>
      <c r="Q43" s="157"/>
    </row>
    <row r="44" spans="1:7" s="222" customFormat="1" ht="16.5" customHeight="1" thickBot="1">
      <c r="A44" s="396"/>
      <c r="B44" s="396"/>
      <c r="C44" s="396"/>
      <c r="D44" s="406"/>
      <c r="E44" s="397"/>
      <c r="F44" s="397"/>
      <c r="G44" s="398"/>
    </row>
    <row r="45" spans="1:17" s="129" customFormat="1" ht="15" customHeight="1" thickBot="1">
      <c r="A45" s="1223">
        <v>1</v>
      </c>
      <c r="B45" s="1224">
        <v>2</v>
      </c>
      <c r="C45" s="1224">
        <v>3</v>
      </c>
      <c r="D45" s="1224">
        <v>4</v>
      </c>
      <c r="E45" s="1225">
        <v>5</v>
      </c>
      <c r="F45" s="1226">
        <v>6</v>
      </c>
      <c r="G45" s="1227">
        <v>7</v>
      </c>
      <c r="M45" s="130">
        <v>1</v>
      </c>
      <c r="N45" s="130">
        <v>2</v>
      </c>
      <c r="O45" s="130">
        <v>3</v>
      </c>
      <c r="P45" s="130">
        <v>4</v>
      </c>
      <c r="Q45" s="130">
        <v>5</v>
      </c>
    </row>
    <row r="46" spans="1:17" s="204" customFormat="1" ht="19.5" customHeight="1">
      <c r="A46" s="99" t="s">
        <v>122</v>
      </c>
      <c r="B46" s="131"/>
      <c r="C46" s="131"/>
      <c r="D46" s="132" t="s">
        <v>123</v>
      </c>
      <c r="E46" s="133">
        <f>SUM(E47)</f>
        <v>1131000</v>
      </c>
      <c r="F46" s="133">
        <f>SUM(F47)</f>
        <v>0</v>
      </c>
      <c r="G46" s="103">
        <f>F46/E46*100</f>
        <v>0</v>
      </c>
      <c r="M46" s="205"/>
      <c r="N46" s="205"/>
      <c r="O46" s="205"/>
      <c r="P46" s="205"/>
      <c r="Q46" s="205"/>
    </row>
    <row r="47" spans="1:17" s="206" customFormat="1" ht="30" customHeight="1">
      <c r="A47" s="106"/>
      <c r="B47" s="136" t="s">
        <v>320</v>
      </c>
      <c r="C47" s="136"/>
      <c r="D47" s="108" t="s">
        <v>801</v>
      </c>
      <c r="E47" s="138">
        <f>SUM(E48)</f>
        <v>1131000</v>
      </c>
      <c r="F47" s="138">
        <f>SUM(F48)</f>
        <v>0</v>
      </c>
      <c r="G47" s="110">
        <f>F47/E47*100</f>
        <v>0</v>
      </c>
      <c r="M47" s="207"/>
      <c r="N47" s="207"/>
      <c r="O47" s="207"/>
      <c r="P47" s="207"/>
      <c r="Q47" s="207"/>
    </row>
    <row r="48" spans="1:17" s="156" customFormat="1" ht="60" customHeight="1">
      <c r="A48" s="113"/>
      <c r="B48" s="141"/>
      <c r="C48" s="141" t="s">
        <v>749</v>
      </c>
      <c r="D48" s="146" t="s">
        <v>715</v>
      </c>
      <c r="E48" s="143">
        <v>1131000</v>
      </c>
      <c r="F48" s="143">
        <v>0</v>
      </c>
      <c r="G48" s="118">
        <f>F48/E48*100</f>
        <v>0</v>
      </c>
      <c r="M48" s="157"/>
      <c r="N48" s="157"/>
      <c r="O48" s="157"/>
      <c r="P48" s="157"/>
      <c r="Q48" s="157"/>
    </row>
    <row r="49" spans="1:17" s="409" customFormat="1" ht="21" customHeight="1">
      <c r="A49" s="1544" t="s">
        <v>1086</v>
      </c>
      <c r="B49" s="1545"/>
      <c r="C49" s="1545"/>
      <c r="D49" s="1545"/>
      <c r="E49" s="777">
        <f>SUM(E7,E34)</f>
        <v>62915939</v>
      </c>
      <c r="F49" s="778">
        <f>SUM(F7,F34)</f>
        <v>6636421.47</v>
      </c>
      <c r="G49" s="779">
        <f>F49/E49*100</f>
        <v>10.548076648748737</v>
      </c>
      <c r="M49" s="410"/>
      <c r="N49" s="410"/>
      <c r="O49" s="410"/>
      <c r="P49" s="410"/>
      <c r="Q49" s="410"/>
    </row>
    <row r="50" spans="1:17" s="414" customFormat="1" ht="21" customHeight="1">
      <c r="A50" s="780"/>
      <c r="B50" s="1547" t="s">
        <v>350</v>
      </c>
      <c r="C50" s="1547"/>
      <c r="D50" s="1547"/>
      <c r="E50" s="781"/>
      <c r="F50" s="782"/>
      <c r="G50" s="783"/>
      <c r="M50" s="415"/>
      <c r="N50" s="415"/>
      <c r="O50" s="415"/>
      <c r="P50" s="415"/>
      <c r="Q50" s="415"/>
    </row>
    <row r="51" spans="1:17" s="414" customFormat="1" ht="21" customHeight="1">
      <c r="A51" s="784"/>
      <c r="B51" s="1548" t="s">
        <v>1090</v>
      </c>
      <c r="C51" s="1548"/>
      <c r="D51" s="1548"/>
      <c r="E51" s="785">
        <f>SUM(E10,E19,E22,E23,E28,E33)</f>
        <v>36224600</v>
      </c>
      <c r="F51" s="785">
        <f>SUM(F10,F19,F22,F23,F28,F33)</f>
        <v>6300934.89</v>
      </c>
      <c r="G51" s="786">
        <f>F51/E51*100</f>
        <v>17.394077201680624</v>
      </c>
      <c r="M51" s="415"/>
      <c r="N51" s="415"/>
      <c r="O51" s="415"/>
      <c r="P51" s="415"/>
      <c r="Q51" s="415"/>
    </row>
    <row r="52" spans="1:17" s="414" customFormat="1" ht="21" customHeight="1">
      <c r="A52" s="784"/>
      <c r="B52" s="1548" t="s">
        <v>183</v>
      </c>
      <c r="C52" s="1548"/>
      <c r="D52" s="1548"/>
      <c r="E52" s="785">
        <f>SUM(E41,E43)</f>
        <v>2878500</v>
      </c>
      <c r="F52" s="785">
        <f>SUM(F41,F43)</f>
        <v>335486.58</v>
      </c>
      <c r="G52" s="786">
        <f>F52/E52*100</f>
        <v>11.654909848879626</v>
      </c>
      <c r="M52" s="415"/>
      <c r="N52" s="415"/>
      <c r="O52" s="415"/>
      <c r="P52" s="415"/>
      <c r="Q52" s="415"/>
    </row>
    <row r="53" spans="1:17" s="414" customFormat="1" ht="21" customHeight="1">
      <c r="A53" s="784"/>
      <c r="B53" s="1548" t="s">
        <v>1088</v>
      </c>
      <c r="C53" s="1548"/>
      <c r="D53" s="1548"/>
      <c r="E53" s="785">
        <f>SUM(E48)</f>
        <v>1131000</v>
      </c>
      <c r="F53" s="785">
        <f>SUM(F48)</f>
        <v>0</v>
      </c>
      <c r="G53" s="786">
        <f>F53/E53*100</f>
        <v>0</v>
      </c>
      <c r="M53" s="415"/>
      <c r="N53" s="415"/>
      <c r="O53" s="415"/>
      <c r="P53" s="415"/>
      <c r="Q53" s="415"/>
    </row>
    <row r="54" spans="1:17" s="414" customFormat="1" ht="21" customHeight="1" thickBot="1">
      <c r="A54" s="787"/>
      <c r="B54" s="1549" t="s">
        <v>1089</v>
      </c>
      <c r="C54" s="1549"/>
      <c r="D54" s="1549"/>
      <c r="E54" s="788">
        <f>SUM(E13,E15,E30,E37,E40)</f>
        <v>22681839</v>
      </c>
      <c r="F54" s="788">
        <f>SUM(F13,F15,F30,F37,F40)</f>
        <v>0</v>
      </c>
      <c r="G54" s="789">
        <f>F54/E54*100</f>
        <v>0</v>
      </c>
      <c r="M54" s="415"/>
      <c r="N54" s="415"/>
      <c r="O54" s="415"/>
      <c r="P54" s="415"/>
      <c r="Q54" s="415"/>
    </row>
    <row r="55" spans="1:17" ht="19.5" customHeight="1">
      <c r="A55" s="322"/>
      <c r="B55" s="322"/>
      <c r="C55" s="322" t="s">
        <v>1084</v>
      </c>
      <c r="D55" s="323"/>
      <c r="E55" s="324">
        <v>62915939</v>
      </c>
      <c r="F55" s="325">
        <v>6636421.47</v>
      </c>
      <c r="M55" s="140"/>
      <c r="N55" s="140"/>
      <c r="O55" s="140"/>
      <c r="P55" s="140"/>
      <c r="Q55" s="140"/>
    </row>
    <row r="56" spans="1:17" ht="19.5" customHeight="1">
      <c r="A56" s="322"/>
      <c r="B56" s="322"/>
      <c r="C56" s="322"/>
      <c r="D56" s="323" t="s">
        <v>158</v>
      </c>
      <c r="E56" s="324">
        <f>E55-E49</f>
        <v>0</v>
      </c>
      <c r="F56" s="324">
        <f>F55-F49</f>
        <v>0</v>
      </c>
      <c r="M56" s="140"/>
      <c r="N56" s="140"/>
      <c r="O56" s="140"/>
      <c r="P56" s="140"/>
      <c r="Q56" s="140"/>
    </row>
    <row r="57" spans="1:17" s="1290" customFormat="1" ht="19.5" customHeight="1">
      <c r="A57" s="1285"/>
      <c r="B57" s="1285"/>
      <c r="C57" s="1285"/>
      <c r="D57" s="1286" t="s">
        <v>1007</v>
      </c>
      <c r="E57" s="1287">
        <v>218685773.66</v>
      </c>
      <c r="F57" s="1288">
        <v>85658598.02</v>
      </c>
      <c r="G57" s="1289">
        <f>F57/E57*100</f>
        <v>39.1697167064818</v>
      </c>
      <c r="M57" s="1291"/>
      <c r="N57" s="1291"/>
      <c r="O57" s="1291"/>
      <c r="P57" s="1291"/>
      <c r="Q57" s="1291"/>
    </row>
    <row r="58" spans="1:17" s="1290" customFormat="1" ht="19.5" customHeight="1">
      <c r="A58" s="1285"/>
      <c r="B58" s="1285"/>
      <c r="C58" s="1285"/>
      <c r="D58" s="1286" t="s">
        <v>1008</v>
      </c>
      <c r="E58" s="1287">
        <f>E57-E49</f>
        <v>155769834.66</v>
      </c>
      <c r="F58" s="1287">
        <f>F57-F49</f>
        <v>79022176.55</v>
      </c>
      <c r="G58" s="1289">
        <f>F58/E58*100</f>
        <v>50.730089508332796</v>
      </c>
      <c r="M58" s="1291"/>
      <c r="N58" s="1291"/>
      <c r="O58" s="1291"/>
      <c r="P58" s="1291"/>
      <c r="Q58" s="1291"/>
    </row>
    <row r="59" spans="1:17" ht="19.5" customHeight="1">
      <c r="A59" s="322"/>
      <c r="B59" s="322"/>
      <c r="C59" s="322"/>
      <c r="D59" s="323"/>
      <c r="E59" s="332"/>
      <c r="F59" s="333"/>
      <c r="M59" s="140"/>
      <c r="N59" s="140"/>
      <c r="O59" s="140"/>
      <c r="P59" s="140"/>
      <c r="Q59" s="140"/>
    </row>
    <row r="60" spans="1:17" ht="19.5" customHeight="1">
      <c r="A60" s="322"/>
      <c r="B60" s="322"/>
      <c r="C60" s="322"/>
      <c r="D60" s="323"/>
      <c r="E60" s="332"/>
      <c r="F60" s="333"/>
      <c r="M60" s="140"/>
      <c r="N60" s="140"/>
      <c r="O60" s="140"/>
      <c r="P60" s="140"/>
      <c r="Q60" s="140"/>
    </row>
    <row r="61" spans="1:17" ht="19.5" customHeight="1">
      <c r="A61" s="322"/>
      <c r="B61" s="322"/>
      <c r="C61" s="322"/>
      <c r="D61" s="323"/>
      <c r="E61" s="332"/>
      <c r="F61" s="333"/>
      <c r="M61" s="140"/>
      <c r="N61" s="140"/>
      <c r="O61" s="140"/>
      <c r="P61" s="140"/>
      <c r="Q61" s="140"/>
    </row>
    <row r="62" spans="1:17" ht="19.5" customHeight="1">
      <c r="A62" s="322"/>
      <c r="B62" s="322"/>
      <c r="C62" s="322"/>
      <c r="D62" s="323"/>
      <c r="E62" s="332"/>
      <c r="F62" s="333"/>
      <c r="M62" s="140"/>
      <c r="N62" s="140"/>
      <c r="O62" s="140"/>
      <c r="P62" s="140"/>
      <c r="Q62" s="140"/>
    </row>
    <row r="63" spans="1:17" ht="19.5" customHeight="1">
      <c r="A63" s="322"/>
      <c r="B63" s="322"/>
      <c r="C63" s="322"/>
      <c r="D63" s="323"/>
      <c r="E63" s="332"/>
      <c r="F63" s="333"/>
      <c r="M63" s="140"/>
      <c r="N63" s="140"/>
      <c r="O63" s="140"/>
      <c r="P63" s="140"/>
      <c r="Q63" s="140"/>
    </row>
    <row r="64" spans="1:17" ht="19.5" customHeight="1">
      <c r="A64" s="322"/>
      <c r="B64" s="322"/>
      <c r="C64" s="322"/>
      <c r="D64" s="323"/>
      <c r="E64" s="332"/>
      <c r="F64" s="333"/>
      <c r="M64" s="140"/>
      <c r="N64" s="140"/>
      <c r="O64" s="140"/>
      <c r="P64" s="140"/>
      <c r="Q64" s="140"/>
    </row>
    <row r="65" spans="1:17" ht="19.5" customHeight="1">
      <c r="A65" s="322"/>
      <c r="B65" s="322"/>
      <c r="C65" s="322"/>
      <c r="D65" s="323"/>
      <c r="E65" s="332"/>
      <c r="F65" s="333"/>
      <c r="M65" s="140"/>
      <c r="N65" s="140"/>
      <c r="O65" s="140"/>
      <c r="P65" s="140"/>
      <c r="Q65" s="140"/>
    </row>
    <row r="66" spans="1:17" ht="19.5" customHeight="1">
      <c r="A66" s="322"/>
      <c r="B66" s="322"/>
      <c r="C66" s="322"/>
      <c r="D66" s="323"/>
      <c r="E66" s="332"/>
      <c r="F66" s="333"/>
      <c r="M66" s="140"/>
      <c r="N66" s="140"/>
      <c r="O66" s="140"/>
      <c r="P66" s="140"/>
      <c r="Q66" s="140"/>
    </row>
    <row r="67" spans="1:17" ht="19.5" customHeight="1">
      <c r="A67" s="322"/>
      <c r="B67" s="322"/>
      <c r="C67" s="322"/>
      <c r="D67" s="323"/>
      <c r="E67" s="332"/>
      <c r="F67" s="333"/>
      <c r="M67" s="140"/>
      <c r="N67" s="140"/>
      <c r="O67" s="140"/>
      <c r="P67" s="140"/>
      <c r="Q67" s="140"/>
    </row>
    <row r="68" spans="1:17" ht="19.5" customHeight="1">
      <c r="A68" s="322"/>
      <c r="B68" s="322"/>
      <c r="C68" s="322"/>
      <c r="D68" s="323"/>
      <c r="E68" s="332"/>
      <c r="F68" s="333"/>
      <c r="M68" s="140"/>
      <c r="N68" s="140"/>
      <c r="O68" s="140"/>
      <c r="P68" s="140"/>
      <c r="Q68" s="140"/>
    </row>
    <row r="69" spans="1:17" ht="19.5" customHeight="1">
      <c r="A69" s="322"/>
      <c r="B69" s="322"/>
      <c r="C69" s="322"/>
      <c r="D69" s="323"/>
      <c r="E69" s="332"/>
      <c r="F69" s="333"/>
      <c r="M69" s="140"/>
      <c r="N69" s="140"/>
      <c r="O69" s="140"/>
      <c r="P69" s="140"/>
      <c r="Q69" s="140"/>
    </row>
    <row r="70" spans="1:17" ht="19.5" customHeight="1">
      <c r="A70" s="322"/>
      <c r="B70" s="322"/>
      <c r="C70" s="322"/>
      <c r="D70" s="323"/>
      <c r="E70" s="332"/>
      <c r="F70" s="333"/>
      <c r="M70" s="140"/>
      <c r="N70" s="140"/>
      <c r="O70" s="140"/>
      <c r="P70" s="140"/>
      <c r="Q70" s="140"/>
    </row>
    <row r="71" spans="1:17" ht="19.5" customHeight="1">
      <c r="A71" s="322"/>
      <c r="B71" s="322"/>
      <c r="C71" s="322"/>
      <c r="D71" s="323"/>
      <c r="E71" s="332"/>
      <c r="F71" s="333"/>
      <c r="M71" s="140"/>
      <c r="N71" s="140"/>
      <c r="O71" s="140"/>
      <c r="P71" s="140"/>
      <c r="Q71" s="140"/>
    </row>
    <row r="72" spans="1:17" ht="19.5" customHeight="1">
      <c r="A72" s="322"/>
      <c r="B72" s="322"/>
      <c r="C72" s="322"/>
      <c r="D72" s="323"/>
      <c r="E72" s="332"/>
      <c r="F72" s="333"/>
      <c r="M72" s="140"/>
      <c r="N72" s="140"/>
      <c r="O72" s="140"/>
      <c r="P72" s="140"/>
      <c r="Q72" s="140"/>
    </row>
    <row r="73" spans="1:17" ht="19.5" customHeight="1">
      <c r="A73" s="322"/>
      <c r="B73" s="322"/>
      <c r="C73" s="322"/>
      <c r="D73" s="323"/>
      <c r="E73" s="332"/>
      <c r="F73" s="333"/>
      <c r="M73" s="140"/>
      <c r="N73" s="140"/>
      <c r="O73" s="140"/>
      <c r="P73" s="140"/>
      <c r="Q73" s="140"/>
    </row>
    <row r="74" spans="1:17" ht="19.5" customHeight="1">
      <c r="A74" s="322"/>
      <c r="B74" s="322"/>
      <c r="C74" s="322"/>
      <c r="D74" s="323"/>
      <c r="E74" s="332"/>
      <c r="F74" s="333"/>
      <c r="M74" s="140"/>
      <c r="N74" s="140"/>
      <c r="O74" s="140"/>
      <c r="P74" s="140"/>
      <c r="Q74" s="140"/>
    </row>
    <row r="75" spans="1:17" ht="19.5" customHeight="1">
      <c r="A75" s="322"/>
      <c r="B75" s="322"/>
      <c r="C75" s="322"/>
      <c r="D75" s="323"/>
      <c r="E75" s="332"/>
      <c r="F75" s="333"/>
      <c r="M75" s="140"/>
      <c r="N75" s="140"/>
      <c r="O75" s="140"/>
      <c r="P75" s="140"/>
      <c r="Q75" s="140"/>
    </row>
    <row r="76" spans="1:17" ht="19.5" customHeight="1">
      <c r="A76" s="322"/>
      <c r="B76" s="322"/>
      <c r="C76" s="322"/>
      <c r="D76" s="323"/>
      <c r="E76" s="332"/>
      <c r="F76" s="333"/>
      <c r="M76" s="140"/>
      <c r="N76" s="140"/>
      <c r="O76" s="140"/>
      <c r="P76" s="140"/>
      <c r="Q76" s="140"/>
    </row>
    <row r="77" spans="1:17" ht="19.5" customHeight="1">
      <c r="A77" s="322"/>
      <c r="B77" s="322"/>
      <c r="C77" s="322"/>
      <c r="D77" s="323"/>
      <c r="E77" s="332"/>
      <c r="F77" s="333"/>
      <c r="M77" s="140"/>
      <c r="N77" s="140"/>
      <c r="O77" s="140"/>
      <c r="P77" s="140"/>
      <c r="Q77" s="140"/>
    </row>
    <row r="78" spans="1:17" ht="19.5" customHeight="1">
      <c r="A78" s="322"/>
      <c r="B78" s="322"/>
      <c r="C78" s="322"/>
      <c r="D78" s="323"/>
      <c r="E78" s="332"/>
      <c r="F78" s="333"/>
      <c r="M78" s="140"/>
      <c r="N78" s="140"/>
      <c r="O78" s="140"/>
      <c r="P78" s="140"/>
      <c r="Q78" s="140"/>
    </row>
    <row r="79" spans="1:17" ht="19.5" customHeight="1">
      <c r="A79" s="322"/>
      <c r="B79" s="322"/>
      <c r="C79" s="322"/>
      <c r="D79" s="323"/>
      <c r="E79" s="332"/>
      <c r="F79" s="333"/>
      <c r="M79" s="140"/>
      <c r="N79" s="140"/>
      <c r="O79" s="140"/>
      <c r="P79" s="140"/>
      <c r="Q79" s="140"/>
    </row>
    <row r="80" spans="1:17" ht="19.5" customHeight="1">
      <c r="A80" s="322"/>
      <c r="B80" s="322"/>
      <c r="C80" s="322"/>
      <c r="D80" s="323"/>
      <c r="E80" s="332"/>
      <c r="F80" s="333"/>
      <c r="M80" s="140"/>
      <c r="N80" s="140"/>
      <c r="O80" s="140"/>
      <c r="P80" s="140"/>
      <c r="Q80" s="140"/>
    </row>
    <row r="81" spans="1:17" ht="19.5" customHeight="1">
      <c r="A81" s="322"/>
      <c r="B81" s="322"/>
      <c r="C81" s="322"/>
      <c r="D81" s="323"/>
      <c r="E81" s="332"/>
      <c r="F81" s="333"/>
      <c r="M81" s="140"/>
      <c r="N81" s="140"/>
      <c r="O81" s="140"/>
      <c r="P81" s="140"/>
      <c r="Q81" s="140"/>
    </row>
    <row r="82" spans="1:17" ht="19.5" customHeight="1">
      <c r="A82" s="322"/>
      <c r="B82" s="322"/>
      <c r="C82" s="322"/>
      <c r="D82" s="323"/>
      <c r="E82" s="332"/>
      <c r="F82" s="333"/>
      <c r="M82" s="140"/>
      <c r="N82" s="140"/>
      <c r="O82" s="140"/>
      <c r="P82" s="140"/>
      <c r="Q82" s="140"/>
    </row>
    <row r="83" spans="1:17" ht="19.5" customHeight="1">
      <c r="A83" s="322"/>
      <c r="B83" s="322"/>
      <c r="C83" s="322"/>
      <c r="D83" s="323"/>
      <c r="E83" s="332"/>
      <c r="F83" s="333"/>
      <c r="M83" s="140"/>
      <c r="N83" s="140"/>
      <c r="O83" s="140"/>
      <c r="P83" s="140"/>
      <c r="Q83" s="140"/>
    </row>
    <row r="84" spans="1:17" ht="19.5" customHeight="1">
      <c r="A84" s="322"/>
      <c r="B84" s="322"/>
      <c r="C84" s="322"/>
      <c r="D84" s="323"/>
      <c r="E84" s="332"/>
      <c r="F84" s="333"/>
      <c r="M84" s="140"/>
      <c r="N84" s="140"/>
      <c r="O84" s="140"/>
      <c r="P84" s="140"/>
      <c r="Q84" s="140"/>
    </row>
    <row r="85" spans="1:17" ht="19.5" customHeight="1">
      <c r="A85" s="322"/>
      <c r="B85" s="322"/>
      <c r="C85" s="322"/>
      <c r="D85" s="323"/>
      <c r="E85" s="332"/>
      <c r="F85" s="333"/>
      <c r="M85" s="140"/>
      <c r="N85" s="140"/>
      <c r="O85" s="140"/>
      <c r="P85" s="140"/>
      <c r="Q85" s="140"/>
    </row>
    <row r="86" spans="1:17" ht="19.5" customHeight="1">
      <c r="A86" s="322"/>
      <c r="B86" s="322"/>
      <c r="C86" s="322"/>
      <c r="D86" s="323"/>
      <c r="E86" s="332"/>
      <c r="F86" s="333"/>
      <c r="M86" s="140"/>
      <c r="N86" s="140"/>
      <c r="O86" s="140"/>
      <c r="P86" s="140"/>
      <c r="Q86" s="140"/>
    </row>
    <row r="87" spans="1:17" ht="19.5" customHeight="1">
      <c r="A87" s="322"/>
      <c r="B87" s="322"/>
      <c r="C87" s="322"/>
      <c r="D87" s="323"/>
      <c r="E87" s="332"/>
      <c r="F87" s="333"/>
      <c r="M87" s="140"/>
      <c r="N87" s="140"/>
      <c r="O87" s="140"/>
      <c r="P87" s="140"/>
      <c r="Q87" s="140"/>
    </row>
    <row r="88" spans="1:17" ht="19.5" customHeight="1">
      <c r="A88" s="322"/>
      <c r="B88" s="322"/>
      <c r="C88" s="322"/>
      <c r="D88" s="323"/>
      <c r="E88" s="332"/>
      <c r="F88" s="333"/>
      <c r="M88" s="140"/>
      <c r="N88" s="140"/>
      <c r="O88" s="140"/>
      <c r="P88" s="140"/>
      <c r="Q88" s="140"/>
    </row>
    <row r="89" spans="1:17" ht="19.5" customHeight="1">
      <c r="A89" s="322"/>
      <c r="B89" s="322"/>
      <c r="C89" s="322"/>
      <c r="D89" s="323"/>
      <c r="E89" s="332"/>
      <c r="F89" s="333"/>
      <c r="M89" s="140"/>
      <c r="N89" s="140"/>
      <c r="O89" s="140"/>
      <c r="P89" s="140"/>
      <c r="Q89" s="140"/>
    </row>
    <row r="90" spans="1:17" ht="19.5" customHeight="1">
      <c r="A90" s="322"/>
      <c r="B90" s="322"/>
      <c r="C90" s="322"/>
      <c r="D90" s="323"/>
      <c r="E90" s="332"/>
      <c r="F90" s="333"/>
      <c r="M90" s="140"/>
      <c r="N90" s="140"/>
      <c r="O90" s="140"/>
      <c r="P90" s="140"/>
      <c r="Q90" s="140"/>
    </row>
    <row r="91" spans="1:17" ht="19.5" customHeight="1">
      <c r="A91" s="322"/>
      <c r="B91" s="322"/>
      <c r="C91" s="322"/>
      <c r="D91" s="323"/>
      <c r="E91" s="332"/>
      <c r="F91" s="333"/>
      <c r="M91" s="140"/>
      <c r="N91" s="140"/>
      <c r="O91" s="140"/>
      <c r="P91" s="140"/>
      <c r="Q91" s="140"/>
    </row>
    <row r="92" spans="1:17" ht="19.5" customHeight="1">
      <c r="A92" s="322"/>
      <c r="B92" s="322"/>
      <c r="C92" s="322"/>
      <c r="D92" s="323"/>
      <c r="E92" s="332"/>
      <c r="F92" s="333"/>
      <c r="M92" s="140"/>
      <c r="N92" s="140"/>
      <c r="O92" s="140"/>
      <c r="P92" s="140"/>
      <c r="Q92" s="140"/>
    </row>
    <row r="93" spans="1:17" ht="19.5" customHeight="1">
      <c r="A93" s="322"/>
      <c r="B93" s="322"/>
      <c r="C93" s="322"/>
      <c r="D93" s="323"/>
      <c r="E93" s="332"/>
      <c r="F93" s="333"/>
      <c r="M93" s="140"/>
      <c r="N93" s="140"/>
      <c r="O93" s="140"/>
      <c r="P93" s="140"/>
      <c r="Q93" s="140"/>
    </row>
    <row r="94" spans="1:17" ht="19.5" customHeight="1">
      <c r="A94" s="322"/>
      <c r="B94" s="322"/>
      <c r="C94" s="322"/>
      <c r="D94" s="323"/>
      <c r="E94" s="332"/>
      <c r="F94" s="333"/>
      <c r="M94" s="140"/>
      <c r="N94" s="140"/>
      <c r="O94" s="140"/>
      <c r="P94" s="140"/>
      <c r="Q94" s="140"/>
    </row>
    <row r="95" spans="1:17" ht="19.5" customHeight="1">
      <c r="A95" s="322"/>
      <c r="B95" s="322"/>
      <c r="C95" s="322"/>
      <c r="D95" s="323"/>
      <c r="E95" s="332"/>
      <c r="F95" s="333"/>
      <c r="M95" s="140"/>
      <c r="N95" s="140"/>
      <c r="O95" s="140"/>
      <c r="P95" s="140"/>
      <c r="Q95" s="140"/>
    </row>
    <row r="96" spans="1:17" ht="19.5" customHeight="1">
      <c r="A96" s="322"/>
      <c r="B96" s="322"/>
      <c r="C96" s="322"/>
      <c r="D96" s="323"/>
      <c r="E96" s="332"/>
      <c r="F96" s="333"/>
      <c r="M96" s="140"/>
      <c r="N96" s="140"/>
      <c r="O96" s="140"/>
      <c r="P96" s="140"/>
      <c r="Q96" s="140"/>
    </row>
    <row r="97" spans="1:17" ht="19.5" customHeight="1">
      <c r="A97" s="322"/>
      <c r="B97" s="322"/>
      <c r="C97" s="322"/>
      <c r="D97" s="323"/>
      <c r="E97" s="332"/>
      <c r="F97" s="333"/>
      <c r="M97" s="140"/>
      <c r="N97" s="140"/>
      <c r="O97" s="140"/>
      <c r="P97" s="140"/>
      <c r="Q97" s="140"/>
    </row>
    <row r="98" spans="1:17" ht="19.5" customHeight="1">
      <c r="A98" s="322"/>
      <c r="B98" s="322"/>
      <c r="C98" s="322"/>
      <c r="D98" s="323"/>
      <c r="E98" s="332"/>
      <c r="F98" s="333"/>
      <c r="M98" s="140"/>
      <c r="N98" s="140"/>
      <c r="O98" s="140"/>
      <c r="P98" s="140"/>
      <c r="Q98" s="140"/>
    </row>
    <row r="99" spans="1:17" ht="19.5" customHeight="1">
      <c r="A99" s="322"/>
      <c r="B99" s="322"/>
      <c r="C99" s="322"/>
      <c r="D99" s="323"/>
      <c r="E99" s="332"/>
      <c r="F99" s="333"/>
      <c r="M99" s="140"/>
      <c r="N99" s="140"/>
      <c r="O99" s="140"/>
      <c r="P99" s="140"/>
      <c r="Q99" s="140"/>
    </row>
    <row r="100" spans="1:17" ht="19.5" customHeight="1">
      <c r="A100" s="322"/>
      <c r="B100" s="322"/>
      <c r="C100" s="322"/>
      <c r="D100" s="323"/>
      <c r="E100" s="332"/>
      <c r="F100" s="333"/>
      <c r="M100" s="140"/>
      <c r="N100" s="140"/>
      <c r="O100" s="140"/>
      <c r="P100" s="140"/>
      <c r="Q100" s="140"/>
    </row>
    <row r="101" spans="1:17" ht="19.5" customHeight="1">
      <c r="A101" s="322"/>
      <c r="B101" s="322"/>
      <c r="C101" s="322"/>
      <c r="D101" s="323"/>
      <c r="E101" s="332"/>
      <c r="F101" s="333"/>
      <c r="M101" s="140"/>
      <c r="N101" s="140"/>
      <c r="O101" s="140"/>
      <c r="P101" s="140"/>
      <c r="Q101" s="140"/>
    </row>
    <row r="102" spans="1:17" ht="19.5" customHeight="1">
      <c r="A102" s="322"/>
      <c r="B102" s="322"/>
      <c r="C102" s="322"/>
      <c r="D102" s="323"/>
      <c r="E102" s="332"/>
      <c r="F102" s="333"/>
      <c r="M102" s="334"/>
      <c r="N102" s="334"/>
      <c r="O102" s="334"/>
      <c r="P102" s="334"/>
      <c r="Q102" s="334"/>
    </row>
    <row r="103" spans="1:6" ht="19.5" customHeight="1">
      <c r="A103" s="322"/>
      <c r="B103" s="322"/>
      <c r="C103" s="322"/>
      <c r="D103" s="323"/>
      <c r="E103" s="332"/>
      <c r="F103" s="333"/>
    </row>
    <row r="104" spans="1:6" ht="19.5" customHeight="1">
      <c r="A104" s="322"/>
      <c r="B104" s="322"/>
      <c r="C104" s="322"/>
      <c r="D104" s="323"/>
      <c r="E104" s="332"/>
      <c r="F104" s="333"/>
    </row>
    <row r="105" spans="1:6" ht="19.5" customHeight="1">
      <c r="A105" s="322"/>
      <c r="B105" s="322"/>
      <c r="C105" s="322"/>
      <c r="D105" s="323"/>
      <c r="E105" s="332"/>
      <c r="F105" s="333"/>
    </row>
    <row r="106" spans="1:6" ht="19.5" customHeight="1">
      <c r="A106" s="322"/>
      <c r="B106" s="322"/>
      <c r="C106" s="322"/>
      <c r="D106" s="323"/>
      <c r="E106" s="332"/>
      <c r="F106" s="333"/>
    </row>
    <row r="107" spans="1:6" ht="19.5" customHeight="1">
      <c r="A107" s="322"/>
      <c r="B107" s="322"/>
      <c r="C107" s="322"/>
      <c r="D107" s="323"/>
      <c r="E107" s="332"/>
      <c r="F107" s="333"/>
    </row>
    <row r="108" spans="1:6" ht="19.5" customHeight="1">
      <c r="A108" s="322"/>
      <c r="B108" s="322"/>
      <c r="C108" s="322"/>
      <c r="D108" s="323"/>
      <c r="E108" s="332"/>
      <c r="F108" s="333"/>
    </row>
    <row r="109" spans="1:6" ht="19.5" customHeight="1">
      <c r="A109" s="322"/>
      <c r="B109" s="322"/>
      <c r="C109" s="322"/>
      <c r="D109" s="323"/>
      <c r="E109" s="332"/>
      <c r="F109" s="333"/>
    </row>
    <row r="110" spans="1:6" ht="19.5" customHeight="1">
      <c r="A110" s="322"/>
      <c r="B110" s="322"/>
      <c r="C110" s="322"/>
      <c r="D110" s="323"/>
      <c r="E110" s="332"/>
      <c r="F110" s="333"/>
    </row>
    <row r="111" spans="1:6" ht="19.5" customHeight="1">
      <c r="A111" s="322"/>
      <c r="B111" s="322"/>
      <c r="C111" s="322"/>
      <c r="D111" s="323"/>
      <c r="E111" s="332"/>
      <c r="F111" s="333"/>
    </row>
    <row r="112" spans="1:6" ht="19.5" customHeight="1">
      <c r="A112" s="322"/>
      <c r="B112" s="322"/>
      <c r="C112" s="322"/>
      <c r="D112" s="323"/>
      <c r="E112" s="332"/>
      <c r="F112" s="333"/>
    </row>
    <row r="113" spans="1:6" ht="19.5" customHeight="1">
      <c r="A113" s="322"/>
      <c r="B113" s="322"/>
      <c r="C113" s="322"/>
      <c r="D113" s="323"/>
      <c r="E113" s="332"/>
      <c r="F113" s="333"/>
    </row>
    <row r="114" spans="1:6" ht="19.5" customHeight="1">
      <c r="A114" s="322"/>
      <c r="B114" s="322"/>
      <c r="C114" s="322"/>
      <c r="D114" s="323"/>
      <c r="E114" s="332"/>
      <c r="F114" s="333"/>
    </row>
    <row r="115" spans="1:6" ht="19.5" customHeight="1">
      <c r="A115" s="322"/>
      <c r="B115" s="322"/>
      <c r="C115" s="322"/>
      <c r="D115" s="323"/>
      <c r="E115" s="332"/>
      <c r="F115" s="333"/>
    </row>
    <row r="116" spans="1:6" ht="19.5" customHeight="1">
      <c r="A116" s="322"/>
      <c r="B116" s="322"/>
      <c r="C116" s="322"/>
      <c r="D116" s="323"/>
      <c r="E116" s="332"/>
      <c r="F116" s="333"/>
    </row>
    <row r="117" spans="1:6" ht="19.5" customHeight="1">
      <c r="A117" s="322"/>
      <c r="B117" s="322"/>
      <c r="C117" s="322"/>
      <c r="D117" s="323"/>
      <c r="E117" s="332"/>
      <c r="F117" s="333"/>
    </row>
    <row r="118" spans="1:6" ht="19.5" customHeight="1">
      <c r="A118" s="322"/>
      <c r="B118" s="322"/>
      <c r="C118" s="322"/>
      <c r="D118" s="323"/>
      <c r="E118" s="332"/>
      <c r="F118" s="333"/>
    </row>
    <row r="119" spans="1:6" ht="19.5" customHeight="1">
      <c r="A119" s="322"/>
      <c r="B119" s="322"/>
      <c r="C119" s="322"/>
      <c r="D119" s="323"/>
      <c r="E119" s="332"/>
      <c r="F119" s="333"/>
    </row>
    <row r="120" spans="1:6" ht="19.5" customHeight="1">
      <c r="A120" s="322"/>
      <c r="B120" s="322"/>
      <c r="C120" s="322"/>
      <c r="D120" s="323"/>
      <c r="E120" s="332"/>
      <c r="F120" s="333"/>
    </row>
    <row r="121" spans="1:6" ht="19.5" customHeight="1">
      <c r="A121" s="322"/>
      <c r="B121" s="322"/>
      <c r="C121" s="322"/>
      <c r="D121" s="323"/>
      <c r="E121" s="332"/>
      <c r="F121" s="333"/>
    </row>
    <row r="122" spans="1:6" ht="19.5" customHeight="1">
      <c r="A122" s="322"/>
      <c r="B122" s="322"/>
      <c r="C122" s="322"/>
      <c r="D122" s="323"/>
      <c r="E122" s="332"/>
      <c r="F122" s="333"/>
    </row>
    <row r="123" spans="1:6" ht="19.5" customHeight="1">
      <c r="A123" s="322"/>
      <c r="B123" s="322"/>
      <c r="C123" s="322"/>
      <c r="D123" s="323"/>
      <c r="E123" s="332"/>
      <c r="F123" s="333"/>
    </row>
    <row r="124" spans="1:6" ht="19.5" customHeight="1">
      <c r="A124" s="322"/>
      <c r="B124" s="322"/>
      <c r="C124" s="322"/>
      <c r="D124" s="323"/>
      <c r="E124" s="332"/>
      <c r="F124" s="333"/>
    </row>
    <row r="125" spans="1:6" ht="19.5" customHeight="1">
      <c r="A125" s="322"/>
      <c r="B125" s="322"/>
      <c r="C125" s="322"/>
      <c r="D125" s="323"/>
      <c r="E125" s="332"/>
      <c r="F125" s="333"/>
    </row>
    <row r="126" spans="1:6" ht="19.5" customHeight="1">
      <c r="A126" s="322"/>
      <c r="B126" s="322"/>
      <c r="C126" s="322"/>
      <c r="D126" s="323"/>
      <c r="E126" s="332"/>
      <c r="F126" s="333"/>
    </row>
    <row r="127" spans="1:6" ht="19.5" customHeight="1">
      <c r="A127" s="322"/>
      <c r="B127" s="322"/>
      <c r="C127" s="322"/>
      <c r="D127" s="323"/>
      <c r="E127" s="332"/>
      <c r="F127" s="333"/>
    </row>
    <row r="128" spans="1:6" ht="19.5" customHeight="1">
      <c r="A128" s="322"/>
      <c r="B128" s="322"/>
      <c r="C128" s="322"/>
      <c r="D128" s="323"/>
      <c r="E128" s="332"/>
      <c r="F128" s="333"/>
    </row>
    <row r="129" spans="1:6" ht="19.5" customHeight="1">
      <c r="A129" s="322"/>
      <c r="B129" s="322"/>
      <c r="C129" s="322"/>
      <c r="D129" s="323"/>
      <c r="E129" s="332"/>
      <c r="F129" s="333"/>
    </row>
    <row r="130" spans="1:6" ht="19.5" customHeight="1">
      <c r="A130" s="322"/>
      <c r="B130" s="322"/>
      <c r="C130" s="322"/>
      <c r="D130" s="323"/>
      <c r="E130" s="332"/>
      <c r="F130" s="333"/>
    </row>
    <row r="131" spans="1:6" ht="19.5" customHeight="1">
      <c r="A131" s="322"/>
      <c r="B131" s="322"/>
      <c r="C131" s="322"/>
      <c r="D131" s="323"/>
      <c r="E131" s="332"/>
      <c r="F131" s="333"/>
    </row>
    <row r="132" spans="1:6" ht="19.5" customHeight="1">
      <c r="A132" s="322"/>
      <c r="B132" s="322"/>
      <c r="C132" s="322"/>
      <c r="D132" s="323"/>
      <c r="E132" s="332"/>
      <c r="F132" s="333"/>
    </row>
    <row r="133" spans="1:6" ht="19.5" customHeight="1">
      <c r="A133" s="322"/>
      <c r="B133" s="322"/>
      <c r="C133" s="322"/>
      <c r="D133" s="323"/>
      <c r="E133" s="332"/>
      <c r="F133" s="333"/>
    </row>
    <row r="134" spans="1:6" ht="19.5" customHeight="1">
      <c r="A134" s="322"/>
      <c r="B134" s="322"/>
      <c r="C134" s="322"/>
      <c r="D134" s="323"/>
      <c r="E134" s="332"/>
      <c r="F134" s="333"/>
    </row>
    <row r="135" spans="1:6" ht="19.5" customHeight="1">
      <c r="A135" s="322"/>
      <c r="B135" s="322"/>
      <c r="C135" s="322"/>
      <c r="D135" s="323"/>
      <c r="E135" s="332"/>
      <c r="F135" s="333"/>
    </row>
    <row r="136" spans="1:6" ht="19.5" customHeight="1">
      <c r="A136" s="322"/>
      <c r="B136" s="322"/>
      <c r="C136" s="322"/>
      <c r="D136" s="323"/>
      <c r="E136" s="332"/>
      <c r="F136" s="333"/>
    </row>
    <row r="137" spans="1:6" ht="19.5" customHeight="1">
      <c r="A137" s="322"/>
      <c r="B137" s="322"/>
      <c r="C137" s="322"/>
      <c r="D137" s="323"/>
      <c r="E137" s="332"/>
      <c r="F137" s="333"/>
    </row>
    <row r="138" spans="1:6" ht="19.5" customHeight="1">
      <c r="A138" s="322"/>
      <c r="B138" s="322"/>
      <c r="C138" s="322"/>
      <c r="D138" s="323"/>
      <c r="E138" s="332"/>
      <c r="F138" s="333"/>
    </row>
    <row r="139" spans="1:6" ht="19.5" customHeight="1">
      <c r="A139" s="322"/>
      <c r="B139" s="322"/>
      <c r="C139" s="322"/>
      <c r="D139" s="323"/>
      <c r="E139" s="332"/>
      <c r="F139" s="333"/>
    </row>
    <row r="140" spans="1:6" ht="19.5" customHeight="1">
      <c r="A140" s="322"/>
      <c r="B140" s="322"/>
      <c r="C140" s="322"/>
      <c r="D140" s="323"/>
      <c r="E140" s="332"/>
      <c r="F140" s="333"/>
    </row>
    <row r="141" spans="1:6" ht="19.5" customHeight="1">
      <c r="A141" s="322"/>
      <c r="B141" s="322"/>
      <c r="C141" s="322"/>
      <c r="D141" s="323"/>
      <c r="E141" s="332"/>
      <c r="F141" s="333"/>
    </row>
    <row r="142" spans="1:6" ht="19.5" customHeight="1">
      <c r="A142" s="322"/>
      <c r="B142" s="322"/>
      <c r="C142" s="322"/>
      <c r="D142" s="323"/>
      <c r="E142" s="332"/>
      <c r="F142" s="333"/>
    </row>
    <row r="143" spans="1:6" ht="19.5" customHeight="1">
      <c r="A143" s="322"/>
      <c r="B143" s="322"/>
      <c r="C143" s="322"/>
      <c r="D143" s="323"/>
      <c r="E143" s="332"/>
      <c r="F143" s="333"/>
    </row>
    <row r="144" spans="1:6" ht="19.5" customHeight="1">
      <c r="A144" s="322"/>
      <c r="B144" s="322"/>
      <c r="C144" s="322"/>
      <c r="D144" s="323"/>
      <c r="E144" s="196"/>
      <c r="F144" s="333"/>
    </row>
    <row r="145" spans="1:6" ht="19.5" customHeight="1">
      <c r="A145" s="322"/>
      <c r="B145" s="322"/>
      <c r="C145" s="322"/>
      <c r="D145" s="323"/>
      <c r="E145" s="196"/>
      <c r="F145" s="333"/>
    </row>
    <row r="146" spans="1:6" ht="19.5" customHeight="1">
      <c r="A146" s="322"/>
      <c r="B146" s="322"/>
      <c r="C146" s="322"/>
      <c r="D146" s="323"/>
      <c r="E146" s="196"/>
      <c r="F146" s="333"/>
    </row>
    <row r="147" spans="1:6" ht="19.5" customHeight="1">
      <c r="A147" s="322"/>
      <c r="B147" s="322"/>
      <c r="C147" s="322"/>
      <c r="D147" s="323"/>
      <c r="E147" s="196"/>
      <c r="F147" s="333"/>
    </row>
    <row r="148" spans="1:6" ht="19.5" customHeight="1">
      <c r="A148" s="322"/>
      <c r="B148" s="322"/>
      <c r="C148" s="322"/>
      <c r="D148" s="323"/>
      <c r="E148" s="196"/>
      <c r="F148" s="333"/>
    </row>
    <row r="149" spans="1:6" ht="19.5" customHeight="1">
      <c r="A149" s="322"/>
      <c r="B149" s="322"/>
      <c r="C149" s="322"/>
      <c r="D149" s="323"/>
      <c r="E149" s="196"/>
      <c r="F149" s="333"/>
    </row>
    <row r="150" spans="1:6" ht="19.5" customHeight="1">
      <c r="A150" s="322"/>
      <c r="B150" s="322"/>
      <c r="C150" s="322"/>
      <c r="D150" s="323"/>
      <c r="E150" s="196"/>
      <c r="F150" s="333"/>
    </row>
    <row r="151" spans="1:6" ht="19.5" customHeight="1">
      <c r="A151" s="322"/>
      <c r="B151" s="322"/>
      <c r="C151" s="322"/>
      <c r="D151" s="323"/>
      <c r="E151" s="196"/>
      <c r="F151" s="333"/>
    </row>
    <row r="152" spans="1:6" ht="19.5" customHeight="1">
      <c r="A152" s="322"/>
      <c r="B152" s="322"/>
      <c r="C152" s="322"/>
      <c r="D152" s="323"/>
      <c r="E152" s="196"/>
      <c r="F152" s="333"/>
    </row>
    <row r="153" spans="1:6" ht="19.5" customHeight="1">
      <c r="A153" s="322"/>
      <c r="B153" s="322"/>
      <c r="C153" s="322"/>
      <c r="D153" s="323"/>
      <c r="E153" s="196"/>
      <c r="F153" s="333"/>
    </row>
    <row r="154" spans="1:6" ht="19.5" customHeight="1">
      <c r="A154" s="322"/>
      <c r="B154" s="322"/>
      <c r="C154" s="322"/>
      <c r="D154" s="323"/>
      <c r="E154" s="196"/>
      <c r="F154" s="333"/>
    </row>
    <row r="155" spans="1:6" ht="19.5" customHeight="1">
      <c r="A155" s="322"/>
      <c r="B155" s="322"/>
      <c r="C155" s="322"/>
      <c r="D155" s="323"/>
      <c r="E155" s="196"/>
      <c r="F155" s="333"/>
    </row>
    <row r="156" spans="1:6" ht="19.5" customHeight="1">
      <c r="A156" s="322"/>
      <c r="B156" s="322"/>
      <c r="C156" s="322"/>
      <c r="D156" s="323"/>
      <c r="E156" s="196"/>
      <c r="F156" s="333"/>
    </row>
    <row r="157" spans="1:6" ht="19.5" customHeight="1">
      <c r="A157" s="322"/>
      <c r="B157" s="322"/>
      <c r="C157" s="322"/>
      <c r="D157" s="323"/>
      <c r="E157" s="196"/>
      <c r="F157" s="333"/>
    </row>
    <row r="158" spans="1:6" ht="19.5" customHeight="1">
      <c r="A158" s="322"/>
      <c r="B158" s="322"/>
      <c r="C158" s="322"/>
      <c r="D158" s="323"/>
      <c r="E158" s="196"/>
      <c r="F158" s="333"/>
    </row>
    <row r="159" spans="1:6" ht="19.5" customHeight="1">
      <c r="A159" s="322"/>
      <c r="B159" s="322"/>
      <c r="C159" s="322"/>
      <c r="D159" s="323"/>
      <c r="E159" s="196"/>
      <c r="F159" s="333"/>
    </row>
    <row r="160" spans="1:6" ht="19.5" customHeight="1">
      <c r="A160" s="322"/>
      <c r="B160" s="322"/>
      <c r="C160" s="322"/>
      <c r="D160" s="323"/>
      <c r="E160" s="196"/>
      <c r="F160" s="333"/>
    </row>
    <row r="161" spans="1:6" ht="19.5" customHeight="1">
      <c r="A161" s="322"/>
      <c r="B161" s="322"/>
      <c r="C161" s="322"/>
      <c r="D161" s="323"/>
      <c r="E161" s="196"/>
      <c r="F161" s="333"/>
    </row>
    <row r="162" spans="1:6" ht="19.5" customHeight="1">
      <c r="A162" s="322"/>
      <c r="B162" s="322"/>
      <c r="C162" s="322"/>
      <c r="D162" s="323"/>
      <c r="E162" s="196"/>
      <c r="F162" s="333"/>
    </row>
    <row r="163" spans="1:6" ht="19.5" customHeight="1">
      <c r="A163" s="322"/>
      <c r="B163" s="322"/>
      <c r="C163" s="322"/>
      <c r="D163" s="323"/>
      <c r="E163" s="196"/>
      <c r="F163" s="333"/>
    </row>
    <row r="164" spans="1:6" ht="19.5" customHeight="1">
      <c r="A164" s="322"/>
      <c r="B164" s="322"/>
      <c r="C164" s="322"/>
      <c r="D164" s="323"/>
      <c r="E164" s="196"/>
      <c r="F164" s="333"/>
    </row>
    <row r="165" spans="1:6" ht="19.5" customHeight="1">
      <c r="A165" s="322"/>
      <c r="B165" s="322"/>
      <c r="C165" s="322"/>
      <c r="D165" s="323"/>
      <c r="E165" s="196"/>
      <c r="F165" s="333"/>
    </row>
    <row r="166" spans="1:6" ht="19.5" customHeight="1">
      <c r="A166" s="322"/>
      <c r="B166" s="322"/>
      <c r="C166" s="322"/>
      <c r="D166" s="323"/>
      <c r="E166" s="196"/>
      <c r="F166" s="333"/>
    </row>
    <row r="167" spans="1:6" ht="19.5" customHeight="1">
      <c r="A167" s="322"/>
      <c r="B167" s="322"/>
      <c r="C167" s="322"/>
      <c r="D167" s="323"/>
      <c r="E167" s="196"/>
      <c r="F167" s="333"/>
    </row>
    <row r="168" spans="1:6" ht="19.5" customHeight="1">
      <c r="A168" s="322"/>
      <c r="B168" s="322"/>
      <c r="C168" s="322"/>
      <c r="D168" s="323"/>
      <c r="E168" s="196"/>
      <c r="F168" s="333"/>
    </row>
    <row r="169" spans="1:6" ht="19.5" customHeight="1">
      <c r="A169" s="322"/>
      <c r="B169" s="322"/>
      <c r="C169" s="322"/>
      <c r="D169" s="323"/>
      <c r="E169" s="196"/>
      <c r="F169" s="333"/>
    </row>
    <row r="170" spans="1:6" ht="19.5" customHeight="1">
      <c r="A170" s="322"/>
      <c r="B170" s="322"/>
      <c r="C170" s="322"/>
      <c r="D170" s="323"/>
      <c r="E170" s="196"/>
      <c r="F170" s="333"/>
    </row>
    <row r="171" spans="1:6" ht="19.5" customHeight="1">
      <c r="A171" s="322"/>
      <c r="B171" s="322"/>
      <c r="C171" s="322"/>
      <c r="D171" s="323"/>
      <c r="E171" s="196"/>
      <c r="F171" s="333"/>
    </row>
    <row r="172" spans="1:6" ht="19.5" customHeight="1">
      <c r="A172" s="322"/>
      <c r="B172" s="322"/>
      <c r="C172" s="322"/>
      <c r="D172" s="323"/>
      <c r="E172" s="196"/>
      <c r="F172" s="333"/>
    </row>
    <row r="173" spans="1:5" ht="19.5" customHeight="1">
      <c r="A173" s="322"/>
      <c r="B173" s="322"/>
      <c r="C173" s="322"/>
      <c r="D173" s="323"/>
      <c r="E173" s="196"/>
    </row>
    <row r="174" spans="1:5" ht="19.5" customHeight="1">
      <c r="A174" s="322"/>
      <c r="B174" s="322"/>
      <c r="C174" s="322"/>
      <c r="D174" s="323"/>
      <c r="E174" s="196"/>
    </row>
    <row r="175" spans="1:5" ht="19.5" customHeight="1">
      <c r="A175" s="322"/>
      <c r="B175" s="322"/>
      <c r="C175" s="322"/>
      <c r="D175" s="323"/>
      <c r="E175" s="196"/>
    </row>
    <row r="176" spans="1:5" ht="19.5" customHeight="1">
      <c r="A176" s="322"/>
      <c r="B176" s="322"/>
      <c r="C176" s="322"/>
      <c r="D176" s="323"/>
      <c r="E176" s="196"/>
    </row>
    <row r="177" spans="1:5" ht="19.5" customHeight="1">
      <c r="A177" s="322"/>
      <c r="B177" s="322"/>
      <c r="C177" s="322"/>
      <c r="D177" s="323"/>
      <c r="E177" s="196"/>
    </row>
    <row r="178" spans="1:5" ht="19.5" customHeight="1">
      <c r="A178" s="322"/>
      <c r="B178" s="322"/>
      <c r="C178" s="322"/>
      <c r="D178" s="323"/>
      <c r="E178" s="196"/>
    </row>
    <row r="179" spans="1:5" ht="19.5" customHeight="1">
      <c r="A179" s="322"/>
      <c r="B179" s="322"/>
      <c r="C179" s="322"/>
      <c r="D179" s="323"/>
      <c r="E179" s="196"/>
    </row>
    <row r="180" spans="1:5" ht="19.5" customHeight="1">
      <c r="A180" s="322"/>
      <c r="B180" s="322"/>
      <c r="C180" s="322"/>
      <c r="D180" s="323"/>
      <c r="E180" s="196"/>
    </row>
    <row r="181" spans="1:5" ht="19.5" customHeight="1">
      <c r="A181" s="322"/>
      <c r="B181" s="322"/>
      <c r="C181" s="322"/>
      <c r="D181" s="323"/>
      <c r="E181" s="196"/>
    </row>
    <row r="182" spans="1:5" ht="19.5" customHeight="1">
      <c r="A182" s="322"/>
      <c r="B182" s="322"/>
      <c r="C182" s="322"/>
      <c r="D182" s="323"/>
      <c r="E182" s="196"/>
    </row>
    <row r="183" spans="1:5" ht="19.5" customHeight="1">
      <c r="A183" s="322"/>
      <c r="B183" s="322"/>
      <c r="C183" s="322"/>
      <c r="D183" s="323"/>
      <c r="E183" s="196"/>
    </row>
    <row r="184" spans="1:5" ht="19.5" customHeight="1">
      <c r="A184" s="322"/>
      <c r="B184" s="322"/>
      <c r="C184" s="322"/>
      <c r="D184" s="323"/>
      <c r="E184" s="196"/>
    </row>
    <row r="185" spans="1:5" ht="19.5" customHeight="1">
      <c r="A185" s="322"/>
      <c r="B185" s="322"/>
      <c r="C185" s="322"/>
      <c r="D185" s="323"/>
      <c r="E185" s="196"/>
    </row>
    <row r="186" spans="1:5" ht="19.5" customHeight="1">
      <c r="A186" s="322"/>
      <c r="B186" s="322"/>
      <c r="C186" s="322"/>
      <c r="D186" s="323"/>
      <c r="E186" s="196"/>
    </row>
    <row r="187" spans="1:5" ht="19.5" customHeight="1">
      <c r="A187" s="322"/>
      <c r="B187" s="322"/>
      <c r="C187" s="322"/>
      <c r="D187" s="323"/>
      <c r="E187" s="196"/>
    </row>
    <row r="188" spans="1:5" ht="19.5" customHeight="1">
      <c r="A188" s="322"/>
      <c r="B188" s="322"/>
      <c r="C188" s="322"/>
      <c r="D188" s="323"/>
      <c r="E188" s="196"/>
    </row>
    <row r="189" spans="1:5" ht="19.5" customHeight="1">
      <c r="A189" s="322"/>
      <c r="B189" s="322"/>
      <c r="C189" s="322"/>
      <c r="D189" s="323"/>
      <c r="E189" s="196"/>
    </row>
    <row r="190" spans="1:5" ht="19.5" customHeight="1">
      <c r="A190" s="322"/>
      <c r="B190" s="322"/>
      <c r="C190" s="322"/>
      <c r="D190" s="323"/>
      <c r="E190" s="196"/>
    </row>
    <row r="191" spans="1:5" ht="19.5" customHeight="1">
      <c r="A191" s="322"/>
      <c r="B191" s="322"/>
      <c r="C191" s="322"/>
      <c r="D191" s="323"/>
      <c r="E191" s="196"/>
    </row>
    <row r="192" spans="1:5" ht="19.5" customHeight="1">
      <c r="A192" s="322"/>
      <c r="B192" s="322"/>
      <c r="C192" s="322"/>
      <c r="D192" s="323"/>
      <c r="E192" s="196"/>
    </row>
    <row r="193" spans="1:5" ht="19.5" customHeight="1">
      <c r="A193" s="322"/>
      <c r="B193" s="322"/>
      <c r="C193" s="322"/>
      <c r="D193" s="323"/>
      <c r="E193" s="196"/>
    </row>
    <row r="194" spans="1:5" ht="19.5" customHeight="1">
      <c r="A194" s="322"/>
      <c r="B194" s="322"/>
      <c r="C194" s="322"/>
      <c r="D194" s="323"/>
      <c r="E194" s="196"/>
    </row>
    <row r="195" spans="1:5" ht="19.5" customHeight="1">
      <c r="A195" s="322"/>
      <c r="B195" s="322"/>
      <c r="C195" s="322"/>
      <c r="D195" s="323"/>
      <c r="E195" s="196"/>
    </row>
    <row r="196" spans="1:5" ht="19.5" customHeight="1">
      <c r="A196" s="322"/>
      <c r="B196" s="322"/>
      <c r="C196" s="322"/>
      <c r="D196" s="323"/>
      <c r="E196" s="196"/>
    </row>
    <row r="197" spans="1:5" ht="19.5" customHeight="1">
      <c r="A197" s="322"/>
      <c r="B197" s="322"/>
      <c r="C197" s="322"/>
      <c r="D197" s="323"/>
      <c r="E197" s="196"/>
    </row>
    <row r="198" spans="1:5" ht="19.5" customHeight="1">
      <c r="A198" s="322"/>
      <c r="B198" s="322"/>
      <c r="C198" s="322"/>
      <c r="D198" s="323"/>
      <c r="E198" s="196"/>
    </row>
    <row r="199" spans="1:5" ht="19.5" customHeight="1">
      <c r="A199" s="322"/>
      <c r="B199" s="322"/>
      <c r="C199" s="322"/>
      <c r="D199" s="323"/>
      <c r="E199" s="196"/>
    </row>
    <row r="200" spans="1:5" ht="19.5" customHeight="1">
      <c r="A200" s="322"/>
      <c r="B200" s="322"/>
      <c r="C200" s="322"/>
      <c r="D200" s="323"/>
      <c r="E200" s="196"/>
    </row>
    <row r="201" spans="1:5" ht="19.5" customHeight="1">
      <c r="A201" s="322"/>
      <c r="B201" s="322"/>
      <c r="C201" s="322"/>
      <c r="D201" s="323"/>
      <c r="E201" s="196"/>
    </row>
    <row r="202" spans="1:5" ht="19.5" customHeight="1">
      <c r="A202" s="322"/>
      <c r="B202" s="322"/>
      <c r="C202" s="322"/>
      <c r="D202" s="323"/>
      <c r="E202" s="196"/>
    </row>
    <row r="203" spans="1:5" ht="19.5" customHeight="1">
      <c r="A203" s="322"/>
      <c r="B203" s="322"/>
      <c r="C203" s="322"/>
      <c r="D203" s="323"/>
      <c r="E203" s="196"/>
    </row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</sheetData>
  <sheetProtection password="CF53" sheet="1" objects="1" scenarios="1" selectLockedCells="1" selectUnlockedCells="1"/>
  <mergeCells count="11">
    <mergeCell ref="B50:D50"/>
    <mergeCell ref="B51:D51"/>
    <mergeCell ref="B52:D52"/>
    <mergeCell ref="B54:D54"/>
    <mergeCell ref="B53:D53"/>
    <mergeCell ref="A49:D49"/>
    <mergeCell ref="A34:D34"/>
    <mergeCell ref="F1:G1"/>
    <mergeCell ref="M3:Q3"/>
    <mergeCell ref="A3:G3"/>
    <mergeCell ref="A7:D7"/>
  </mergeCells>
  <printOptions horizontalCentered="1"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F83"/>
  <sheetViews>
    <sheetView view="pageBreakPreview" zoomScaleSheetLayoutView="100" workbookViewId="0" topLeftCell="A3">
      <selection activeCell="H23" sqref="H23"/>
    </sheetView>
  </sheetViews>
  <sheetFormatPr defaultColWidth="9.00390625" defaultRowHeight="12.75"/>
  <cols>
    <col min="1" max="1" width="45.125" style="341" customWidth="1"/>
    <col min="2" max="2" width="13.125" style="341" customWidth="1"/>
    <col min="3" max="3" width="13.00390625" style="341" customWidth="1"/>
    <col min="4" max="4" width="7.125" style="341" customWidth="1"/>
    <col min="5" max="5" width="8.25390625" style="341" customWidth="1"/>
    <col min="6" max="6" width="9.125" style="391" customWidth="1"/>
    <col min="7" max="16384" width="9.125" style="341" customWidth="1"/>
  </cols>
  <sheetData>
    <row r="1" spans="1:6" ht="12.75">
      <c r="A1" s="349"/>
      <c r="B1" s="349"/>
      <c r="D1" s="1550" t="s">
        <v>826</v>
      </c>
      <c r="E1" s="1550"/>
      <c r="F1" s="341"/>
    </row>
    <row r="2" spans="1:6" ht="13.5" customHeight="1">
      <c r="A2" s="349"/>
      <c r="B2" s="349"/>
      <c r="F2" s="341"/>
    </row>
    <row r="3" spans="1:5" s="350" customFormat="1" ht="12.75">
      <c r="A3" s="1551" t="s">
        <v>283</v>
      </c>
      <c r="B3" s="1551"/>
      <c r="C3" s="1551"/>
      <c r="D3" s="1551"/>
      <c r="E3" s="1551"/>
    </row>
    <row r="4" spans="4:5" s="350" customFormat="1" ht="13.5" thickBot="1">
      <c r="D4" s="351"/>
      <c r="E4" s="351" t="s">
        <v>67</v>
      </c>
    </row>
    <row r="5" spans="1:6" ht="30.75" customHeight="1">
      <c r="A5" s="1235" t="s">
        <v>14</v>
      </c>
      <c r="B5" s="1236" t="s">
        <v>70</v>
      </c>
      <c r="C5" s="1237" t="s">
        <v>71</v>
      </c>
      <c r="D5" s="1238" t="s">
        <v>1137</v>
      </c>
      <c r="E5" s="1239" t="s">
        <v>244</v>
      </c>
      <c r="F5" s="341"/>
    </row>
    <row r="6" spans="1:5" s="352" customFormat="1" ht="12.75" customHeight="1" thickBot="1">
      <c r="A6" s="1240">
        <v>1</v>
      </c>
      <c r="B6" s="1241">
        <v>2</v>
      </c>
      <c r="C6" s="1242">
        <v>3</v>
      </c>
      <c r="D6" s="1243">
        <v>4</v>
      </c>
      <c r="E6" s="1244">
        <v>5</v>
      </c>
    </row>
    <row r="7" spans="1:5" s="352" customFormat="1" ht="8.25" customHeight="1">
      <c r="A7" s="353"/>
      <c r="B7" s="354"/>
      <c r="C7" s="355"/>
      <c r="D7" s="355"/>
      <c r="E7" s="356"/>
    </row>
    <row r="8" spans="1:6" ht="12.75">
      <c r="A8" s="357" t="s">
        <v>960</v>
      </c>
      <c r="B8" s="358">
        <f>SUM(B10,B20,B32,B36,B38,B40,B42,B44)</f>
        <v>145556723</v>
      </c>
      <c r="C8" s="358">
        <f>SUM(C10,C20,C32,C36,C38,C40,C42,C44)</f>
        <v>47544857.65</v>
      </c>
      <c r="D8" s="359">
        <f>C8/B8*100</f>
        <v>32.66414403270126</v>
      </c>
      <c r="E8" s="360">
        <f>C8/$C$80*100</f>
        <v>55.50506166222681</v>
      </c>
      <c r="F8" s="341"/>
    </row>
    <row r="9" spans="1:6" ht="6.75" customHeight="1">
      <c r="A9" s="337"/>
      <c r="B9" s="338"/>
      <c r="C9" s="338"/>
      <c r="D9" s="339"/>
      <c r="E9" s="340"/>
      <c r="F9" s="341"/>
    </row>
    <row r="10" spans="1:6" ht="12.75">
      <c r="A10" s="337" t="s">
        <v>961</v>
      </c>
      <c r="B10" s="338">
        <f>SUM(B11:B18)</f>
        <v>40083500</v>
      </c>
      <c r="C10" s="338">
        <f>SUM(C11:C18)</f>
        <v>16778221.529999997</v>
      </c>
      <c r="D10" s="339">
        <f aca="true" t="shared" si="0" ref="D10:D17">C10/B10*100</f>
        <v>41.858174884927706</v>
      </c>
      <c r="E10" s="340">
        <f aca="true" t="shared" si="1" ref="E10:E17">C10/$C$80*100</f>
        <v>19.58731746471327</v>
      </c>
      <c r="F10" s="341"/>
    </row>
    <row r="11" spans="1:6" ht="12.75">
      <c r="A11" s="342" t="s">
        <v>23</v>
      </c>
      <c r="B11" s="343">
        <f>SUM(6D!E93+6D!E100)</f>
        <v>36830000</v>
      </c>
      <c r="C11" s="343">
        <f>SUM(6D!F93+6D!F100)</f>
        <v>14904510.389999999</v>
      </c>
      <c r="D11" s="344">
        <f t="shared" si="0"/>
        <v>40.46839638881347</v>
      </c>
      <c r="E11" s="345">
        <f t="shared" si="1"/>
        <v>17.3998999919658</v>
      </c>
      <c r="F11" s="341"/>
    </row>
    <row r="12" spans="1:6" ht="12.75">
      <c r="A12" s="342" t="s">
        <v>24</v>
      </c>
      <c r="B12" s="343">
        <f>SUM(6D!E94,6D!E101)</f>
        <v>42000</v>
      </c>
      <c r="C12" s="343">
        <f>SUM(6D!F94,6D!F101)</f>
        <v>31485.62</v>
      </c>
      <c r="D12" s="344">
        <f t="shared" si="0"/>
        <v>74.9657619047619</v>
      </c>
      <c r="E12" s="345">
        <f t="shared" si="1"/>
        <v>0.03675710404768541</v>
      </c>
      <c r="F12" s="341"/>
    </row>
    <row r="13" spans="1:6" ht="12.75">
      <c r="A13" s="342" t="s">
        <v>25</v>
      </c>
      <c r="B13" s="343">
        <f>SUM(6D!E95,6D!E102)</f>
        <v>46500</v>
      </c>
      <c r="C13" s="343">
        <f>SUM(6D!F95,6D!F102)</f>
        <v>30494.27</v>
      </c>
      <c r="D13" s="344">
        <f t="shared" si="0"/>
        <v>65.5790752688172</v>
      </c>
      <c r="E13" s="345">
        <f t="shared" si="1"/>
        <v>0.03559977714423956</v>
      </c>
      <c r="F13" s="341"/>
    </row>
    <row r="14" spans="1:6" ht="12.75">
      <c r="A14" s="342" t="s">
        <v>26</v>
      </c>
      <c r="B14" s="343">
        <f>SUM(6D!E96,6D!E103)</f>
        <v>235000</v>
      </c>
      <c r="C14" s="343">
        <f>SUM(6D!F96,6D!F103)</f>
        <v>116566.08</v>
      </c>
      <c r="D14" s="344">
        <f t="shared" si="0"/>
        <v>49.60258723404255</v>
      </c>
      <c r="E14" s="345">
        <f t="shared" si="1"/>
        <v>0.13608217119405053</v>
      </c>
      <c r="F14" s="341"/>
    </row>
    <row r="15" spans="1:6" ht="25.5" customHeight="1">
      <c r="A15" s="346" t="s">
        <v>444</v>
      </c>
      <c r="B15" s="347">
        <f>SUM(6D!E88)</f>
        <v>410000</v>
      </c>
      <c r="C15" s="347">
        <f>SUM(6D!F88)</f>
        <v>122203.78</v>
      </c>
      <c r="D15" s="344">
        <f t="shared" si="0"/>
        <v>29.805799999999998</v>
      </c>
      <c r="E15" s="345">
        <f t="shared" si="1"/>
        <v>0.14266376385411683</v>
      </c>
      <c r="F15" s="341"/>
    </row>
    <row r="16" spans="1:6" ht="12.75">
      <c r="A16" s="342" t="s">
        <v>27</v>
      </c>
      <c r="B16" s="343">
        <f>SUM(6D!E104)</f>
        <v>320000</v>
      </c>
      <c r="C16" s="343">
        <f>SUM(6D!F104)</f>
        <v>175642.8</v>
      </c>
      <c r="D16" s="344">
        <f t="shared" si="0"/>
        <v>54.888375</v>
      </c>
      <c r="E16" s="345">
        <f t="shared" si="1"/>
        <v>0.20504981876891099</v>
      </c>
      <c r="F16" s="341"/>
    </row>
    <row r="17" spans="1:6" ht="12.75">
      <c r="A17" s="342" t="s">
        <v>28</v>
      </c>
      <c r="B17" s="343">
        <f>SUM(6D!E97,6D!E107)</f>
        <v>2200000</v>
      </c>
      <c r="C17" s="343">
        <f>SUM(6D!F97,6D!F107)</f>
        <v>1396867.69</v>
      </c>
      <c r="D17" s="344">
        <f t="shared" si="0"/>
        <v>63.49398590909091</v>
      </c>
      <c r="E17" s="345">
        <f t="shared" si="1"/>
        <v>1.6307384457469782</v>
      </c>
      <c r="F17" s="341"/>
    </row>
    <row r="18" spans="1:6" ht="12.75">
      <c r="A18" s="342" t="s">
        <v>641</v>
      </c>
      <c r="B18" s="343">
        <f>SUM(6D!E108)</f>
        <v>0</v>
      </c>
      <c r="C18" s="343">
        <f>SUM(6D!F108)</f>
        <v>450.9</v>
      </c>
      <c r="D18" s="361" t="s">
        <v>312</v>
      </c>
      <c r="E18" s="345">
        <f>C18/$C$80*100</f>
        <v>0.0005263919914901263</v>
      </c>
      <c r="F18" s="341"/>
    </row>
    <row r="19" spans="1:6" ht="6" customHeight="1">
      <c r="A19" s="337"/>
      <c r="B19" s="338"/>
      <c r="C19" s="338"/>
      <c r="D19" s="339"/>
      <c r="E19" s="340"/>
      <c r="F19" s="341"/>
    </row>
    <row r="20" spans="1:6" ht="12.75">
      <c r="A20" s="337" t="s">
        <v>15</v>
      </c>
      <c r="B20" s="338">
        <f>SUM(B21:B30)</f>
        <v>4809840</v>
      </c>
      <c r="C20" s="338">
        <f>SUM(C21:C30)</f>
        <v>2565251.1199999996</v>
      </c>
      <c r="D20" s="339">
        <f aca="true" t="shared" si="2" ref="D20:D30">C20/B20*100</f>
        <v>53.33339820035593</v>
      </c>
      <c r="E20" s="340">
        <f aca="true" t="shared" si="3" ref="E20:E30">C20/$C$80*100</f>
        <v>2.9947386243714282</v>
      </c>
      <c r="F20" s="341"/>
    </row>
    <row r="21" spans="1:6" ht="12.75">
      <c r="A21" s="342" t="s">
        <v>1138</v>
      </c>
      <c r="B21" s="343">
        <f>SUM(6D!E207)</f>
        <v>9000</v>
      </c>
      <c r="C21" s="343">
        <f>SUM(6D!F207)</f>
        <v>8182.99</v>
      </c>
      <c r="D21" s="344">
        <f t="shared" si="2"/>
        <v>90.92211111111111</v>
      </c>
      <c r="E21" s="345">
        <f t="shared" si="3"/>
        <v>0.009553028171310244</v>
      </c>
      <c r="F21" s="341"/>
    </row>
    <row r="22" spans="1:6" ht="12.75">
      <c r="A22" s="342" t="s">
        <v>29</v>
      </c>
      <c r="B22" s="343">
        <f>SUM(6D!E112)</f>
        <v>500000</v>
      </c>
      <c r="C22" s="343">
        <f>SUM(6D!F112)</f>
        <v>282622.3</v>
      </c>
      <c r="D22" s="344">
        <f t="shared" si="2"/>
        <v>56.52446</v>
      </c>
      <c r="E22" s="345">
        <f t="shared" si="3"/>
        <v>0.3299403755522731</v>
      </c>
      <c r="F22" s="341"/>
    </row>
    <row r="23" spans="1:6" ht="12.75">
      <c r="A23" s="342" t="s">
        <v>30</v>
      </c>
      <c r="B23" s="343">
        <f>SUM(6D!E270)</f>
        <v>518840</v>
      </c>
      <c r="C23" s="343">
        <f>SUM(6D!F270)</f>
        <v>362134</v>
      </c>
      <c r="D23" s="344">
        <f t="shared" si="2"/>
        <v>69.79685452162516</v>
      </c>
      <c r="E23" s="345">
        <f t="shared" si="3"/>
        <v>0.4227643323270912</v>
      </c>
      <c r="F23" s="341"/>
    </row>
    <row r="24" spans="1:6" ht="12.75">
      <c r="A24" s="342" t="s">
        <v>7</v>
      </c>
      <c r="B24" s="343">
        <f>SUM(6D!E105)</f>
        <v>1800000</v>
      </c>
      <c r="C24" s="343">
        <f>SUM(6D!F105)</f>
        <v>622407.42</v>
      </c>
      <c r="D24" s="344">
        <f t="shared" si="2"/>
        <v>34.578190000000006</v>
      </c>
      <c r="E24" s="345">
        <f t="shared" si="3"/>
        <v>0.7266140637215159</v>
      </c>
      <c r="F24" s="341"/>
    </row>
    <row r="25" spans="1:6" ht="12.75">
      <c r="A25" s="342" t="s">
        <v>793</v>
      </c>
      <c r="B25" s="343">
        <f>SUM(6D!E106)</f>
        <v>650000</v>
      </c>
      <c r="C25" s="343">
        <f>SUM(6D!F106)</f>
        <v>234897.5</v>
      </c>
      <c r="D25" s="344">
        <f t="shared" si="2"/>
        <v>36.13807692307692</v>
      </c>
      <c r="E25" s="345">
        <f t="shared" si="3"/>
        <v>0.27422524466855613</v>
      </c>
      <c r="F25" s="341"/>
    </row>
    <row r="26" spans="1:6" ht="12.75">
      <c r="A26" s="342" t="s">
        <v>31</v>
      </c>
      <c r="B26" s="343">
        <f>SUM(6D!E113)</f>
        <v>5000</v>
      </c>
      <c r="C26" s="343">
        <f>SUM(6D!F113)</f>
        <v>2229.63</v>
      </c>
      <c r="D26" s="344">
        <f t="shared" si="2"/>
        <v>44.592600000000004</v>
      </c>
      <c r="E26" s="345">
        <f t="shared" si="3"/>
        <v>0.0026029260944469518</v>
      </c>
      <c r="F26" s="341"/>
    </row>
    <row r="27" spans="1:6" ht="12.75">
      <c r="A27" s="342" t="s">
        <v>33</v>
      </c>
      <c r="B27" s="343">
        <f>SUM(6D!E114)</f>
        <v>1200000</v>
      </c>
      <c r="C27" s="343">
        <f>SUM(6D!F114)</f>
        <v>962051.03</v>
      </c>
      <c r="D27" s="344">
        <f t="shared" si="2"/>
        <v>80.17091916666666</v>
      </c>
      <c r="E27" s="345">
        <f t="shared" si="3"/>
        <v>1.1231225495604953</v>
      </c>
      <c r="F27" s="341"/>
    </row>
    <row r="28" spans="1:6" ht="12.75">
      <c r="A28" s="342" t="s">
        <v>317</v>
      </c>
      <c r="B28" s="343">
        <f>SUM(6D!E115)</f>
        <v>70000</v>
      </c>
      <c r="C28" s="343">
        <f>SUM(6D!F115)</f>
        <v>42176.51</v>
      </c>
      <c r="D28" s="344">
        <f t="shared" si="2"/>
        <v>60.25215714285714</v>
      </c>
      <c r="E28" s="345">
        <f t="shared" si="3"/>
        <v>0.04923791770459798</v>
      </c>
      <c r="F28" s="341"/>
    </row>
    <row r="29" spans="1:6" ht="12.75">
      <c r="A29" s="342" t="s">
        <v>34</v>
      </c>
      <c r="B29" s="343">
        <f>SUM(6D!E116)</f>
        <v>20000</v>
      </c>
      <c r="C29" s="343">
        <f>SUM(6D!F116)</f>
        <v>7493.73</v>
      </c>
      <c r="D29" s="344">
        <f t="shared" si="2"/>
        <v>37.46865</v>
      </c>
      <c r="E29" s="345">
        <f t="shared" si="3"/>
        <v>0.008748368725636071</v>
      </c>
      <c r="F29" s="341"/>
    </row>
    <row r="30" spans="1:6" ht="12.75">
      <c r="A30" s="342" t="s">
        <v>316</v>
      </c>
      <c r="B30" s="343">
        <f>SUM(6D!E13,6D!E129,6D!E257,6D!E65)</f>
        <v>37000</v>
      </c>
      <c r="C30" s="343">
        <f>SUM(6D!F13,6D!F129,6D!F257,6D!F65)</f>
        <v>41056.009999999995</v>
      </c>
      <c r="D30" s="344">
        <f t="shared" si="2"/>
        <v>110.96218918918916</v>
      </c>
      <c r="E30" s="345">
        <f t="shared" si="3"/>
        <v>0.04792981784550574</v>
      </c>
      <c r="F30" s="341"/>
    </row>
    <row r="31" spans="1:6" ht="4.5" customHeight="1">
      <c r="A31" s="337"/>
      <c r="B31" s="338"/>
      <c r="C31" s="338"/>
      <c r="D31" s="339"/>
      <c r="E31" s="340"/>
      <c r="F31" s="341"/>
    </row>
    <row r="32" spans="1:6" ht="25.5">
      <c r="A32" s="348" t="s">
        <v>521</v>
      </c>
      <c r="B32" s="338">
        <f>B33+B34</f>
        <v>28086517</v>
      </c>
      <c r="C32" s="338">
        <f>C33+C34</f>
        <v>12778616.16</v>
      </c>
      <c r="D32" s="339">
        <f>C32/B32*100</f>
        <v>45.497332972970625</v>
      </c>
      <c r="E32" s="340">
        <f>C32/$C$80*100</f>
        <v>14.918077642382594</v>
      </c>
      <c r="F32" s="341"/>
    </row>
    <row r="33" spans="1:6" ht="12.75">
      <c r="A33" s="342" t="s">
        <v>36</v>
      </c>
      <c r="B33" s="343">
        <f>SUM(6D!E122,6D!E272)</f>
        <v>26446517</v>
      </c>
      <c r="C33" s="343">
        <f>SUM(6D!F122,6D!F272)</f>
        <v>12290084</v>
      </c>
      <c r="D33" s="344">
        <f>C33/B33*100</f>
        <v>46.471465410738205</v>
      </c>
      <c r="E33" s="345">
        <f>C33/$C$80*100</f>
        <v>14.347752921581144</v>
      </c>
      <c r="F33" s="341"/>
    </row>
    <row r="34" spans="1:6" ht="12.75">
      <c r="A34" s="342" t="s">
        <v>37</v>
      </c>
      <c r="B34" s="343">
        <f>SUM(6D!E123,6D!E273)</f>
        <v>1640000</v>
      </c>
      <c r="C34" s="343">
        <f>SUM(6D!F123,6D!F273)</f>
        <v>488532.16000000003</v>
      </c>
      <c r="D34" s="344">
        <f>C34/B34*100</f>
        <v>29.788546341463416</v>
      </c>
      <c r="E34" s="345">
        <f>C34/$C$80*100</f>
        <v>0.5703247208014484</v>
      </c>
      <c r="F34" s="341"/>
    </row>
    <row r="35" spans="1:6" ht="5.25" customHeight="1">
      <c r="A35" s="337"/>
      <c r="B35" s="338"/>
      <c r="C35" s="338"/>
      <c r="D35" s="339"/>
      <c r="E35" s="340"/>
      <c r="F35" s="341"/>
    </row>
    <row r="36" spans="1:6" ht="38.25">
      <c r="A36" s="348" t="s">
        <v>520</v>
      </c>
      <c r="B36" s="362">
        <f>SUM(6D!E18,6D!E200)</f>
        <v>0</v>
      </c>
      <c r="C36" s="362">
        <f>SUM(6D!F18,6D!F200)</f>
        <v>33322.61</v>
      </c>
      <c r="D36" s="363" t="s">
        <v>312</v>
      </c>
      <c r="E36" s="340">
        <f>C36/$C$80*100</f>
        <v>0.03890165233876425</v>
      </c>
      <c r="F36" s="341"/>
    </row>
    <row r="37" spans="1:6" ht="4.5" customHeight="1">
      <c r="A37" s="337"/>
      <c r="B37" s="338"/>
      <c r="C37" s="338"/>
      <c r="D37" s="339"/>
      <c r="E37" s="340"/>
      <c r="F37" s="341"/>
    </row>
    <row r="38" spans="1:6" ht="12.75">
      <c r="A38" s="337" t="s">
        <v>17</v>
      </c>
      <c r="B38" s="338">
        <f>SUM(6D!E14,6D!E22,6D!E33,6D!E41,6D!E43,6D!E44,6D!E45,6D!E66,6D!E68,6D!E198,6D!E209,6D!E210,6D!E258)</f>
        <v>39185700</v>
      </c>
      <c r="C38" s="338">
        <f>SUM(6D!F14,6D!F22,6D!F33,6D!F41,6D!F43,6D!F44,6D!F45,6D!F66,6D!F68,6D!F198,6D!F209,6D!F210,6D!F258)</f>
        <v>8416582.049999999</v>
      </c>
      <c r="D38" s="339">
        <f>C38/B38*100</f>
        <v>21.47870792151218</v>
      </c>
      <c r="E38" s="340">
        <f>C38/$C$80*100</f>
        <v>9.825729400841759</v>
      </c>
      <c r="F38" s="341"/>
    </row>
    <row r="39" spans="1:6" ht="5.25" customHeight="1">
      <c r="A39" s="337"/>
      <c r="B39" s="338"/>
      <c r="C39" s="338"/>
      <c r="D39" s="339"/>
      <c r="E39" s="340"/>
      <c r="F39" s="341"/>
    </row>
    <row r="40" spans="1:6" ht="25.5" customHeight="1">
      <c r="A40" s="348" t="s">
        <v>662</v>
      </c>
      <c r="B40" s="362">
        <f>SUM(6D!E130)</f>
        <v>300000</v>
      </c>
      <c r="C40" s="362">
        <f>SUM(6D!F130)</f>
        <v>459299</v>
      </c>
      <c r="D40" s="339">
        <f>C40/B40*100</f>
        <v>153.09966666666665</v>
      </c>
      <c r="E40" s="340">
        <f>C40/$C$80*100</f>
        <v>0.5361971951639466</v>
      </c>
      <c r="F40" s="341"/>
    </row>
    <row r="41" spans="1:6" ht="3.75" customHeight="1">
      <c r="A41" s="337" t="s">
        <v>18</v>
      </c>
      <c r="B41" s="338"/>
      <c r="C41" s="338"/>
      <c r="D41" s="339"/>
      <c r="E41" s="340"/>
      <c r="F41" s="341"/>
    </row>
    <row r="42" spans="1:6" ht="25.5" customHeight="1">
      <c r="A42" s="348" t="s">
        <v>522</v>
      </c>
      <c r="B42" s="362">
        <f>SUM(6D!E15,6D!E46,6D!E69,6D!E89,6D!E98,6D!E109,6D!E110,6D!E117,6D!E118,6D!E174,6D!E181,6D!E211,6D!E259)</f>
        <v>3708000</v>
      </c>
      <c r="C42" s="362">
        <f>SUM(6D!F15,6D!F46,6D!F69,6D!F89,6D!F98,6D!F109,6D!F110,6D!F117,6D!F118,6D!F174,6D!F181,6D!F211,6D!F259)</f>
        <v>2630137.0500000003</v>
      </c>
      <c r="D42" s="339">
        <f>C42/B42*100</f>
        <v>70.93141990291262</v>
      </c>
      <c r="E42" s="340">
        <f>C42/$C$80*100</f>
        <v>3.070488089690544</v>
      </c>
      <c r="F42" s="341"/>
    </row>
    <row r="43" spans="1:6" ht="3.75" customHeight="1">
      <c r="A43" s="337"/>
      <c r="B43" s="338"/>
      <c r="C43" s="338"/>
      <c r="D43" s="339"/>
      <c r="E43" s="340"/>
      <c r="F43" s="341"/>
    </row>
    <row r="44" spans="1:6" ht="18" customHeight="1">
      <c r="A44" s="348" t="s">
        <v>21</v>
      </c>
      <c r="B44" s="362">
        <f>SUM(B45,B46,B47,B48,B49,B50,B51)</f>
        <v>29383166</v>
      </c>
      <c r="C44" s="362">
        <f>SUM(C45,C46,C47,C48,C49,C50,C51)</f>
        <v>3883428.1299999994</v>
      </c>
      <c r="D44" s="339">
        <f aca="true" t="shared" si="4" ref="D44:D51">C44/B44*100</f>
        <v>13.216506791677926</v>
      </c>
      <c r="E44" s="340">
        <f aca="true" t="shared" si="5" ref="E44:E51">C44/$C$80*100</f>
        <v>4.5336115927245</v>
      </c>
      <c r="F44" s="341"/>
    </row>
    <row r="45" spans="1:6" ht="14.25" customHeight="1">
      <c r="A45" s="346" t="s">
        <v>559</v>
      </c>
      <c r="B45" s="347">
        <f>SUM(6D!E21,6D!E42,6D!E51,6D!E55,6D!E57,6D!E81,6D!E128,6D!E137,6D!E184,6D!E218,6D!E233,6D!E234,6D!E247)</f>
        <v>192000</v>
      </c>
      <c r="C45" s="347">
        <f>SUM(6D!F21,6D!F42,6D!F51,6D!F55,6D!F57,6D!F81,6D!F128,6D!F137,6D!F184,6D!F218,6D!F233,6D!F234,6D!F247)</f>
        <v>43500.189999999995</v>
      </c>
      <c r="D45" s="344">
        <f t="shared" si="4"/>
        <v>22.656348958333332</v>
      </c>
      <c r="E45" s="345">
        <f t="shared" si="5"/>
        <v>0.050783215001771735</v>
      </c>
      <c r="F45" s="341"/>
    </row>
    <row r="46" spans="1:6" ht="14.25" customHeight="1">
      <c r="A46" s="342" t="s">
        <v>39</v>
      </c>
      <c r="B46" s="347">
        <f>SUM(6D!E58,6D!E67,6D!E180,6D!E163)</f>
        <v>237000</v>
      </c>
      <c r="C46" s="347">
        <f>SUM(6D!F58,6D!F67,6D!F180,6D!F163)</f>
        <v>120777.12</v>
      </c>
      <c r="D46" s="344">
        <f t="shared" si="4"/>
        <v>50.96081012658228</v>
      </c>
      <c r="E46" s="345">
        <f t="shared" si="5"/>
        <v>0.14099824511697043</v>
      </c>
      <c r="F46" s="341"/>
    </row>
    <row r="47" spans="1:5" s="364" customFormat="1" ht="14.25" customHeight="1">
      <c r="A47" s="342" t="s">
        <v>238</v>
      </c>
      <c r="B47" s="344">
        <f>SUM(6D!E71,6D!E260)</f>
        <v>609300</v>
      </c>
      <c r="C47" s="344">
        <f>SUM(6D!F71,6D!F260)</f>
        <v>671775.9700000001</v>
      </c>
      <c r="D47" s="344">
        <f t="shared" si="4"/>
        <v>110.25372886919418</v>
      </c>
      <c r="E47" s="345">
        <f t="shared" si="5"/>
        <v>0.7842481496640307</v>
      </c>
    </row>
    <row r="48" spans="1:5" s="364" customFormat="1" ht="14.25" customHeight="1">
      <c r="A48" s="342" t="s">
        <v>151</v>
      </c>
      <c r="B48" s="344">
        <f>SUM(6D!E313)</f>
        <v>115500</v>
      </c>
      <c r="C48" s="344">
        <f>SUM(6D!F313)</f>
        <v>57751</v>
      </c>
      <c r="D48" s="344">
        <f t="shared" si="4"/>
        <v>50.0008658008658</v>
      </c>
      <c r="E48" s="345">
        <f t="shared" si="5"/>
        <v>0.0674199687304198</v>
      </c>
    </row>
    <row r="49" spans="1:6" ht="13.5" customHeight="1">
      <c r="A49" s="342" t="s">
        <v>41</v>
      </c>
      <c r="B49" s="343">
        <f>SUM(6D!E25,6D!E27,6D!E35,6D!E52,6D!E85,6D!E141,6D!E204,6D!E219,6D!E228,6D!E236)</f>
        <v>22731789</v>
      </c>
      <c r="C49" s="343">
        <f>SUM(6D!F25,6D!F27,6D!F35,6D!F52,6D!F85,6D!F141,6D!F204,6D!F219,6D!F228,6D!F236)</f>
        <v>0</v>
      </c>
      <c r="D49" s="344">
        <f t="shared" si="4"/>
        <v>0</v>
      </c>
      <c r="E49" s="345">
        <f t="shared" si="5"/>
        <v>0</v>
      </c>
      <c r="F49" s="341"/>
    </row>
    <row r="50" spans="1:6" ht="13.5" customHeight="1">
      <c r="A50" s="342" t="s">
        <v>1205</v>
      </c>
      <c r="B50" s="343">
        <f>SUM(6D!E138,6D!E215,6D!E221)</f>
        <v>331023</v>
      </c>
      <c r="C50" s="343">
        <f>SUM(6D!F138,6D!F215,6D!F221)</f>
        <v>196124.55</v>
      </c>
      <c r="D50" s="344">
        <f t="shared" si="4"/>
        <v>59.24801297795017</v>
      </c>
      <c r="E50" s="345">
        <f t="shared" si="5"/>
        <v>0.22896072844223742</v>
      </c>
      <c r="F50" s="341"/>
    </row>
    <row r="51" spans="1:6" ht="13.5" customHeight="1">
      <c r="A51" s="342" t="s">
        <v>152</v>
      </c>
      <c r="B51" s="343">
        <f>SUM(6D!E23,6D!E34,6D!E47,6D!E83,6D!E70,6D!E131,6D!E140,6D!E149,6D!E151,6D!E153,6D!E161,6D!E170,6D!E175,6D!E199,6D!E212,6D!E235,6D!E295,6D!E299,6D!E311,6D!E330)</f>
        <v>5166554</v>
      </c>
      <c r="C51" s="343">
        <f>SUM(6D!F23,6D!F34,6D!F47,6D!F83,6D!F70,6D!F131,6D!F140,6D!F149,6D!F151,6D!F153,6D!F161,6D!F170,6D!F175,6D!F199,6D!F212,6D!F235,6D!F295,6D!F299,6D!F311,6D!F330)</f>
        <v>2793499.2999999993</v>
      </c>
      <c r="D51" s="344">
        <f t="shared" si="4"/>
        <v>54.06890743811057</v>
      </c>
      <c r="E51" s="345">
        <f t="shared" si="5"/>
        <v>3.26120128576907</v>
      </c>
      <c r="F51" s="341"/>
    </row>
    <row r="52" spans="1:5" s="384" customFormat="1" ht="13.5" customHeight="1" thickBot="1">
      <c r="A52" s="380"/>
      <c r="B52" s="381"/>
      <c r="C52" s="381"/>
      <c r="D52" s="382"/>
      <c r="E52" s="383"/>
    </row>
    <row r="53" spans="1:6" ht="19.5" customHeight="1" thickBot="1">
      <c r="A53" s="385"/>
      <c r="B53" s="354"/>
      <c r="C53" s="354"/>
      <c r="D53" s="386"/>
      <c r="E53" s="387"/>
      <c r="F53" s="341"/>
    </row>
    <row r="54" spans="1:6" ht="14.25" customHeight="1" thickBot="1">
      <c r="A54" s="1245">
        <v>1</v>
      </c>
      <c r="B54" s="1246">
        <v>2</v>
      </c>
      <c r="C54" s="1247">
        <v>3</v>
      </c>
      <c r="D54" s="1247">
        <v>4</v>
      </c>
      <c r="E54" s="1248">
        <v>5</v>
      </c>
      <c r="F54" s="341"/>
    </row>
    <row r="55" spans="1:5" s="350" customFormat="1" ht="12.75">
      <c r="A55" s="371" t="s">
        <v>22</v>
      </c>
      <c r="B55" s="358">
        <f>SUM(B56,B57,B60,B61)</f>
        <v>53963179</v>
      </c>
      <c r="C55" s="358">
        <f>SUM(C56,C57,C60,C61)</f>
        <v>29819704</v>
      </c>
      <c r="D55" s="359">
        <f aca="true" t="shared" si="6" ref="D55:D61">C55/B55*100</f>
        <v>55.259353790109365</v>
      </c>
      <c r="E55" s="360">
        <f aca="true" t="shared" si="7" ref="E55:E61">C55/$C$80*100</f>
        <v>34.81227184343776</v>
      </c>
    </row>
    <row r="56" spans="1:6" ht="12.75">
      <c r="A56" s="365" t="s">
        <v>42</v>
      </c>
      <c r="B56" s="338">
        <f>SUM(6D!E126,6D!E278)</f>
        <v>29497928</v>
      </c>
      <c r="C56" s="338">
        <f>SUM(6D!F126,6D!F278)</f>
        <v>18152576</v>
      </c>
      <c r="D56" s="339">
        <f t="shared" si="6"/>
        <v>61.538478228030115</v>
      </c>
      <c r="E56" s="340">
        <f t="shared" si="7"/>
        <v>21.191773411656403</v>
      </c>
      <c r="F56" s="341"/>
    </row>
    <row r="57" spans="1:6" ht="12.75">
      <c r="A57" s="365" t="s">
        <v>43</v>
      </c>
      <c r="B57" s="338">
        <f>SUM(B58,B59)</f>
        <v>23131000</v>
      </c>
      <c r="C57" s="338">
        <f>SUM(C58,C59)</f>
        <v>11000000</v>
      </c>
      <c r="D57" s="339">
        <f t="shared" si="6"/>
        <v>47.55522891357918</v>
      </c>
      <c r="E57" s="340">
        <f t="shared" si="7"/>
        <v>12.841676439102661</v>
      </c>
      <c r="F57" s="341"/>
    </row>
    <row r="58" spans="1:5" s="368" customFormat="1" ht="15" customHeight="1">
      <c r="A58" s="369" t="s">
        <v>1080</v>
      </c>
      <c r="B58" s="370">
        <f>SUM(6D!E280)</f>
        <v>22000000</v>
      </c>
      <c r="C58" s="370">
        <f>SUM(6D!F280)</f>
        <v>11000000</v>
      </c>
      <c r="D58" s="344">
        <f t="shared" si="6"/>
        <v>50</v>
      </c>
      <c r="E58" s="345">
        <f t="shared" si="7"/>
        <v>12.841676439102661</v>
      </c>
    </row>
    <row r="59" spans="1:5" s="368" customFormat="1" ht="15" customHeight="1">
      <c r="A59" s="369" t="s">
        <v>1081</v>
      </c>
      <c r="B59" s="370">
        <f>SUM(6D!E281)</f>
        <v>1131000</v>
      </c>
      <c r="C59" s="370">
        <f>SUM(6D!F281)</f>
        <v>0</v>
      </c>
      <c r="D59" s="344">
        <f t="shared" si="6"/>
        <v>0</v>
      </c>
      <c r="E59" s="345">
        <f t="shared" si="7"/>
        <v>0</v>
      </c>
    </row>
    <row r="60" spans="1:5" s="368" customFormat="1" ht="12.75">
      <c r="A60" s="366" t="s">
        <v>636</v>
      </c>
      <c r="B60" s="372">
        <f>SUM(6D!E284)</f>
        <v>1266287</v>
      </c>
      <c r="C60" s="372">
        <f>SUM(6D!F284)</f>
        <v>633144</v>
      </c>
      <c r="D60" s="339">
        <f t="shared" si="6"/>
        <v>50.00003948551948</v>
      </c>
      <c r="E60" s="340">
        <f t="shared" si="7"/>
        <v>0.739148217032656</v>
      </c>
    </row>
    <row r="61" spans="1:5" s="368" customFormat="1" ht="12.75">
      <c r="A61" s="366" t="s">
        <v>1079</v>
      </c>
      <c r="B61" s="367">
        <f>6D!E283</f>
        <v>67964</v>
      </c>
      <c r="C61" s="367">
        <f>6D!F283</f>
        <v>33984</v>
      </c>
      <c r="D61" s="339">
        <f t="shared" si="6"/>
        <v>50.00294273438879</v>
      </c>
      <c r="E61" s="340">
        <f t="shared" si="7"/>
        <v>0.03967377564604226</v>
      </c>
    </row>
    <row r="62" spans="1:5" s="368" customFormat="1" ht="12.75">
      <c r="A62" s="366"/>
      <c r="B62" s="372"/>
      <c r="C62" s="372"/>
      <c r="D62" s="339"/>
      <c r="E62" s="340"/>
    </row>
    <row r="63" spans="1:5" s="368" customFormat="1" ht="12.75">
      <c r="A63" s="375" t="s">
        <v>150</v>
      </c>
      <c r="B63" s="376">
        <f>SUM(B64,B68,B72,B76)</f>
        <v>19165871.66</v>
      </c>
      <c r="C63" s="376">
        <f>SUM(C64,C68,C72,C76)</f>
        <v>8294036.37</v>
      </c>
      <c r="D63" s="359">
        <f>C63/B63*100</f>
        <v>43.27502822274455</v>
      </c>
      <c r="E63" s="360">
        <f>C63/$C$80*100</f>
        <v>9.682666494335415</v>
      </c>
    </row>
    <row r="64" spans="1:5" s="350" customFormat="1" ht="12.75">
      <c r="A64" s="373" t="s">
        <v>1082</v>
      </c>
      <c r="B64" s="338">
        <f>B65+B66</f>
        <v>5736549</v>
      </c>
      <c r="C64" s="338">
        <f>C65+C66</f>
        <v>1620928.58</v>
      </c>
      <c r="D64" s="339">
        <f>C64/B64*100</f>
        <v>28.256162023544125</v>
      </c>
      <c r="E64" s="340">
        <f>C64/$C$80*100</f>
        <v>1.8923127595685576</v>
      </c>
    </row>
    <row r="65" spans="1:6" ht="12.75">
      <c r="A65" s="374" t="s">
        <v>44</v>
      </c>
      <c r="B65" s="343">
        <f>SUM(6D!E239,6D!E288,6D!E289,6D!E304,6D!E306,6D!E315,6D!E319,6D!E320,6D!E323)</f>
        <v>2069883</v>
      </c>
      <c r="C65" s="343">
        <f>SUM(6D!F239,6D!F288,6D!F289,6D!F304,6D!F306,6D!F315,6D!F319,6D!F320,6D!F323)</f>
        <v>339786.58</v>
      </c>
      <c r="D65" s="344">
        <f>C65/B65*100</f>
        <v>16.41573847410699</v>
      </c>
      <c r="E65" s="345">
        <f>C65/$C$80*100</f>
        <v>0.3966753926099338</v>
      </c>
      <c r="F65" s="341"/>
    </row>
    <row r="66" spans="1:5" s="368" customFormat="1" ht="12.75">
      <c r="A66" s="369" t="s">
        <v>45</v>
      </c>
      <c r="B66" s="370">
        <f>SUM(6D!E38,6D!E132,6D!E135,6D!E145,6D!E146,6D!E172,6D!E176,6D!E186,6D!E189,6D!E191,6D!E195)</f>
        <v>3666666</v>
      </c>
      <c r="C66" s="370">
        <f>SUM(6D!F38,6D!F132,6D!F135,6D!F145,6D!F146,6D!F172,6D!F176,6D!F186,6D!F189,6D!F191,6D!F195)</f>
        <v>1281142</v>
      </c>
      <c r="D66" s="344">
        <f>C66/B66*100</f>
        <v>34.94024271640777</v>
      </c>
      <c r="E66" s="345">
        <f>C66/$C$80*100</f>
        <v>1.4956373669586238</v>
      </c>
    </row>
    <row r="67" spans="1:5" s="368" customFormat="1" ht="12.75">
      <c r="A67" s="366"/>
      <c r="B67" s="372"/>
      <c r="C67" s="372"/>
      <c r="D67" s="339"/>
      <c r="E67" s="340"/>
    </row>
    <row r="68" spans="1:5" s="377" customFormat="1" ht="15" customHeight="1">
      <c r="A68" s="373" t="s">
        <v>49</v>
      </c>
      <c r="B68" s="372">
        <f>SUM(B69,B70)</f>
        <v>12440223.66</v>
      </c>
      <c r="C68" s="372">
        <f>SUM(C69,C70)</f>
        <v>6631858.66</v>
      </c>
      <c r="D68" s="339">
        <f>C68/B68*100</f>
        <v>53.30980247022343</v>
      </c>
      <c r="E68" s="340">
        <f>C68/$C$80*100</f>
        <v>7.7421984637800865</v>
      </c>
    </row>
    <row r="69" spans="1:6" ht="12.75">
      <c r="A69" s="374" t="s">
        <v>47</v>
      </c>
      <c r="B69" s="343">
        <f>SUM(6D!E225,6D!E242,6D!E245,6D!E248,6D!E250,6D!E255,6D!E262,6D!E266,6D!E267,6D!E292,6D!E297,6D!E309)</f>
        <v>5214892</v>
      </c>
      <c r="C69" s="343">
        <f>SUM(6D!F225,6D!F242,6D!F245,6D!F248,6D!F250,6D!F255,6D!F262,6D!F266,6D!F267,6D!F292,6D!F297,6D!F309)</f>
        <v>3005088</v>
      </c>
      <c r="D69" s="344">
        <f>C69/B69*100</f>
        <v>57.62512435540371</v>
      </c>
      <c r="E69" s="345">
        <f>C69/$C$80*100</f>
        <v>3.508215251548194</v>
      </c>
      <c r="F69" s="341"/>
    </row>
    <row r="70" spans="1:6" ht="12.75">
      <c r="A70" s="369" t="s">
        <v>48</v>
      </c>
      <c r="B70" s="343">
        <f>SUM(6D!E10,6D!E48,6D!E61,6D!E74,6D!E76,6D!E79,6D!E143,6D!E155,6D!E164,6D!E166,6D!E168,6D!E171,6D!E182)</f>
        <v>7225331.66</v>
      </c>
      <c r="C70" s="343">
        <f>SUM(6D!F10,6D!F48,6D!F61,6D!F74,6D!F76,6D!F79,6D!F143,6D!F155,6D!F164,6D!F166,6D!F168,6D!F171,6D!F182)</f>
        <v>3626770.66</v>
      </c>
      <c r="D70" s="344">
        <f>C70/B70*100</f>
        <v>50.1952135993713</v>
      </c>
      <c r="E70" s="345">
        <f>C70/$C$80*100</f>
        <v>4.233983212231892</v>
      </c>
      <c r="F70" s="341"/>
    </row>
    <row r="71" spans="1:6" ht="12.75">
      <c r="A71" s="365"/>
      <c r="B71" s="338"/>
      <c r="C71" s="338"/>
      <c r="D71" s="339"/>
      <c r="E71" s="340"/>
      <c r="F71" s="341"/>
    </row>
    <row r="72" spans="1:5" s="350" customFormat="1" ht="25.5">
      <c r="A72" s="373" t="s">
        <v>525</v>
      </c>
      <c r="B72" s="338">
        <f>B73+B74</f>
        <v>924870</v>
      </c>
      <c r="C72" s="338">
        <f>C73+C74</f>
        <v>6370</v>
      </c>
      <c r="D72" s="339">
        <f>C72/B72*100</f>
        <v>0.6887454453058267</v>
      </c>
      <c r="E72" s="340">
        <f>C72/$C$80*100</f>
        <v>0.007436498083371268</v>
      </c>
    </row>
    <row r="73" spans="1:6" ht="12.75">
      <c r="A73" s="374" t="s">
        <v>47</v>
      </c>
      <c r="B73" s="343">
        <f>SUM(6D!E237,6D!E263)</f>
        <v>881500</v>
      </c>
      <c r="C73" s="343">
        <f>SUM(6D!F237,6D!F263)</f>
        <v>3000</v>
      </c>
      <c r="D73" s="344">
        <f>C73/B73*100</f>
        <v>0.3403289846851957</v>
      </c>
      <c r="E73" s="345">
        <f>C73/$C$80*100</f>
        <v>0.003502275392482544</v>
      </c>
      <c r="F73" s="341"/>
    </row>
    <row r="74" spans="1:6" ht="12.75">
      <c r="A74" s="369" t="s">
        <v>48</v>
      </c>
      <c r="B74" s="343">
        <f>SUM(6D!E49,6D!E144,6D!E158,6D!E185)</f>
        <v>43370</v>
      </c>
      <c r="C74" s="343">
        <f>SUM(6D!F49,6D!F144,6D!F158,6D!F185)</f>
        <v>3370</v>
      </c>
      <c r="D74" s="344">
        <f>C74/B74*100</f>
        <v>7.77034816693567</v>
      </c>
      <c r="E74" s="345">
        <f>C74/$C$80*100</f>
        <v>0.003934222690888725</v>
      </c>
      <c r="F74" s="341"/>
    </row>
    <row r="75" spans="1:6" ht="12.75">
      <c r="A75" s="369"/>
      <c r="B75" s="343"/>
      <c r="C75" s="343"/>
      <c r="D75" s="344"/>
      <c r="E75" s="345"/>
      <c r="F75" s="341"/>
    </row>
    <row r="76" spans="1:5" s="350" customFormat="1" ht="25.5">
      <c r="A76" s="373" t="s">
        <v>205</v>
      </c>
      <c r="B76" s="338">
        <f>SUM(B77,B78)</f>
        <v>64229</v>
      </c>
      <c r="C76" s="338">
        <f>SUM(C77,C78)</f>
        <v>34879.13</v>
      </c>
      <c r="D76" s="339">
        <f>C76/B76*100</f>
        <v>54.304332933721525</v>
      </c>
      <c r="E76" s="340">
        <f>C76/$C$80*100</f>
        <v>0.04071877290339989</v>
      </c>
    </row>
    <row r="77" spans="1:6" ht="12.75">
      <c r="A77" s="374" t="s">
        <v>47</v>
      </c>
      <c r="B77" s="343">
        <f>SUM(6D!E300,6D!E324,6D!E326)</f>
        <v>64229</v>
      </c>
      <c r="C77" s="343">
        <f>SUM(6D!F300,6D!F324,6D!F326)</f>
        <v>34879.13</v>
      </c>
      <c r="D77" s="344">
        <f>C77/B77*100</f>
        <v>54.304332933721525</v>
      </c>
      <c r="E77" s="345">
        <f>C77/$C$80*100</f>
        <v>0.04071877290339989</v>
      </c>
      <c r="F77" s="341"/>
    </row>
    <row r="78" spans="1:6" ht="12.75">
      <c r="A78" s="374" t="s">
        <v>48</v>
      </c>
      <c r="B78" s="343">
        <f>SUM(6D!E84)</f>
        <v>0</v>
      </c>
      <c r="C78" s="343">
        <f>SUM(6D!F84)</f>
        <v>0</v>
      </c>
      <c r="D78" s="361" t="s">
        <v>312</v>
      </c>
      <c r="E78" s="345">
        <f>C78/$C$80*100</f>
        <v>0</v>
      </c>
      <c r="F78" s="341"/>
    </row>
    <row r="79" spans="1:6" ht="13.5" thickBot="1">
      <c r="A79" s="337"/>
      <c r="B79" s="338"/>
      <c r="C79" s="338"/>
      <c r="D79" s="378"/>
      <c r="E79" s="340"/>
      <c r="F79" s="341"/>
    </row>
    <row r="80" spans="1:5" s="379" customFormat="1" ht="23.25" customHeight="1" thickBot="1">
      <c r="A80" s="790" t="s">
        <v>40</v>
      </c>
      <c r="B80" s="791">
        <f>SUM(B8,B55,B63)</f>
        <v>218685773.66</v>
      </c>
      <c r="C80" s="791">
        <f>SUM(C8,C55,C63)</f>
        <v>85658598.02000001</v>
      </c>
      <c r="D80" s="792">
        <f>C80/B80*100</f>
        <v>39.16971670648181</v>
      </c>
      <c r="E80" s="793">
        <f>C80/$C$80*100</f>
        <v>100</v>
      </c>
    </row>
    <row r="81" spans="1:6" ht="12.75">
      <c r="A81" s="351" t="s">
        <v>204</v>
      </c>
      <c r="B81" s="388">
        <v>218685773.66</v>
      </c>
      <c r="C81" s="388">
        <v>85658598.02</v>
      </c>
      <c r="F81" s="341"/>
    </row>
    <row r="82" spans="1:6" ht="12.75">
      <c r="A82" s="351" t="s">
        <v>38</v>
      </c>
      <c r="B82" s="388">
        <f>B81-B80</f>
        <v>0</v>
      </c>
      <c r="C82" s="388">
        <f>C81-C80</f>
        <v>0</v>
      </c>
      <c r="F82" s="341"/>
    </row>
    <row r="83" spans="1:3" ht="12.75">
      <c r="A83" s="389"/>
      <c r="B83" s="389"/>
      <c r="C83" s="390"/>
    </row>
    <row r="125" s="352" customFormat="1" ht="12.75"/>
    <row r="126" s="352" customFormat="1" ht="12.75" customHeight="1"/>
    <row r="181" s="352" customFormat="1" ht="12.75"/>
    <row r="182" s="352" customFormat="1" ht="12.75" customHeight="1"/>
  </sheetData>
  <sheetProtection password="CF53" sheet="1" objects="1" scenarios="1" selectLockedCells="1" selectUnlockedCells="1"/>
  <mergeCells count="2">
    <mergeCell ref="D1:E1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698"/>
  <sheetViews>
    <sheetView view="pageBreakPreview" zoomScale="120" zoomScaleSheetLayoutView="120" workbookViewId="0" topLeftCell="A283">
      <selection activeCell="G703" sqref="G703"/>
    </sheetView>
  </sheetViews>
  <sheetFormatPr defaultColWidth="9.00390625" defaultRowHeight="18.75" customHeight="1"/>
  <cols>
    <col min="1" max="1" width="5.25390625" style="551" customWidth="1"/>
    <col min="2" max="2" width="8.00390625" style="551" customWidth="1"/>
    <col min="3" max="3" width="41.375" style="552" customWidth="1"/>
    <col min="4" max="4" width="13.875" style="553" customWidth="1"/>
    <col min="5" max="5" width="13.375" style="553" customWidth="1"/>
    <col min="6" max="6" width="5.75390625" style="553" customWidth="1"/>
    <col min="7" max="7" width="11.375" style="553" bestFit="1" customWidth="1"/>
    <col min="8" max="8" width="10.375" style="553" customWidth="1"/>
    <col min="9" max="16384" width="9.125" style="553" customWidth="1"/>
  </cols>
  <sheetData>
    <row r="1" spans="5:6" ht="18.75" customHeight="1">
      <c r="E1" s="1518" t="s">
        <v>764</v>
      </c>
      <c r="F1" s="1518"/>
    </row>
    <row r="2" ht="21.75" customHeight="1"/>
    <row r="3" spans="1:5" s="554" customFormat="1" ht="18.75" customHeight="1">
      <c r="A3" s="1495" t="s">
        <v>284</v>
      </c>
      <c r="B3" s="1495"/>
      <c r="C3" s="1495"/>
      <c r="D3" s="1495"/>
      <c r="E3" s="1495"/>
    </row>
    <row r="4" spans="1:6" s="554" customFormat="1" ht="13.5" customHeight="1" thickBot="1">
      <c r="A4" s="555"/>
      <c r="B4" s="555"/>
      <c r="C4" s="556"/>
      <c r="D4" s="555"/>
      <c r="E4" s="555"/>
      <c r="F4" s="557" t="s">
        <v>67</v>
      </c>
    </row>
    <row r="5" spans="1:6" s="554" customFormat="1" ht="18.75" customHeight="1">
      <c r="A5" s="1249" t="s">
        <v>806</v>
      </c>
      <c r="B5" s="1250" t="s">
        <v>68</v>
      </c>
      <c r="C5" s="1250" t="s">
        <v>69</v>
      </c>
      <c r="D5" s="1251" t="s">
        <v>70</v>
      </c>
      <c r="E5" s="1251" t="s">
        <v>71</v>
      </c>
      <c r="F5" s="1252" t="s">
        <v>72</v>
      </c>
    </row>
    <row r="6" spans="1:6" s="129" customFormat="1" ht="11.25" customHeight="1" thickBot="1">
      <c r="A6" s="1119">
        <v>1</v>
      </c>
      <c r="B6" s="1120">
        <v>2</v>
      </c>
      <c r="C6" s="1120">
        <v>3</v>
      </c>
      <c r="D6" s="1122">
        <v>4</v>
      </c>
      <c r="E6" s="1122">
        <v>5</v>
      </c>
      <c r="F6" s="1123">
        <v>6</v>
      </c>
    </row>
    <row r="7" spans="1:6" s="127" customFormat="1" ht="19.5" customHeight="1">
      <c r="A7" s="1555" t="s">
        <v>104</v>
      </c>
      <c r="B7" s="1556"/>
      <c r="C7" s="1556"/>
      <c r="D7" s="403">
        <f>SUM(D8,D22,D25,D28,D35,D50,D59,D72,D86,D108,D121,D142,D148,D153,D156,D210,D245,D295,D312,D336,D359,D391)</f>
        <v>148325792.66</v>
      </c>
      <c r="E7" s="403">
        <f>SUM(E8,E22,E25,E28,E35,E50,E59,E72,E86,E108,E121,E142,E148,E153,E156,E210,E245,E295,E312,E336,E359,E391)</f>
        <v>61043631.110000014</v>
      </c>
      <c r="F7" s="558">
        <f>E7/D7*100</f>
        <v>41.15510189783874</v>
      </c>
    </row>
    <row r="8" spans="1:6" s="126" customFormat="1" ht="18.75" customHeight="1">
      <c r="A8" s="560" t="s">
        <v>73</v>
      </c>
      <c r="B8" s="561"/>
      <c r="C8" s="586" t="s">
        <v>807</v>
      </c>
      <c r="D8" s="244">
        <f>SUM(D9,D15,D17)</f>
        <v>62238.66</v>
      </c>
      <c r="E8" s="244">
        <f>SUM(E9,E15,E17)</f>
        <v>15480.41</v>
      </c>
      <c r="F8" s="562">
        <f>E8/D8*100</f>
        <v>24.87265953347967</v>
      </c>
    </row>
    <row r="9" spans="1:6" s="123" customFormat="1" ht="18.75" customHeight="1">
      <c r="A9" s="563"/>
      <c r="B9" s="564" t="s">
        <v>808</v>
      </c>
      <c r="C9" s="570" t="s">
        <v>809</v>
      </c>
      <c r="D9" s="248">
        <f>D10</f>
        <v>43000</v>
      </c>
      <c r="E9" s="248">
        <f>E10</f>
        <v>0</v>
      </c>
      <c r="F9" s="565">
        <f aca="true" t="shared" si="0" ref="F9:F27">E9/D9*100</f>
        <v>0</v>
      </c>
    </row>
    <row r="10" spans="1:6" s="569" customFormat="1" ht="18.75" customHeight="1">
      <c r="A10" s="566"/>
      <c r="B10" s="567"/>
      <c r="C10" s="241" t="s">
        <v>810</v>
      </c>
      <c r="D10" s="238">
        <v>43000</v>
      </c>
      <c r="E10" s="238">
        <v>0</v>
      </c>
      <c r="F10" s="568">
        <f t="shared" si="0"/>
        <v>0</v>
      </c>
    </row>
    <row r="11" spans="1:6" s="569" customFormat="1" ht="12" customHeight="1">
      <c r="A11" s="566"/>
      <c r="B11" s="567"/>
      <c r="C11" s="573" t="s">
        <v>828</v>
      </c>
      <c r="D11" s="574"/>
      <c r="E11" s="574"/>
      <c r="F11" s="575"/>
    </row>
    <row r="12" spans="1:6" s="590" customFormat="1" ht="18.75" customHeight="1">
      <c r="A12" s="593"/>
      <c r="B12" s="594"/>
      <c r="C12" s="579" t="s">
        <v>830</v>
      </c>
      <c r="D12" s="580">
        <f>SUM(D13,D14)</f>
        <v>32000</v>
      </c>
      <c r="E12" s="580">
        <f>SUM(E13,E14)</f>
        <v>0</v>
      </c>
      <c r="F12" s="581">
        <f>E12/D12*100</f>
        <v>0</v>
      </c>
    </row>
    <row r="13" spans="1:6" s="569" customFormat="1" ht="18.75" customHeight="1">
      <c r="A13" s="566"/>
      <c r="B13" s="567"/>
      <c r="C13" s="583" t="s">
        <v>802</v>
      </c>
      <c r="D13" s="574">
        <v>32000</v>
      </c>
      <c r="E13" s="574">
        <v>0</v>
      </c>
      <c r="F13" s="584">
        <f>E13/D13*100</f>
        <v>0</v>
      </c>
    </row>
    <row r="14" spans="1:6" s="569" customFormat="1" ht="18.75" customHeight="1" hidden="1">
      <c r="A14" s="566"/>
      <c r="B14" s="567"/>
      <c r="C14" s="583" t="s">
        <v>803</v>
      </c>
      <c r="D14" s="574">
        <v>0</v>
      </c>
      <c r="E14" s="574">
        <v>0</v>
      </c>
      <c r="F14" s="584" t="e">
        <f>E14/D14*100</f>
        <v>#DIV/0!</v>
      </c>
    </row>
    <row r="15" spans="1:6" s="123" customFormat="1" ht="18.75" customHeight="1">
      <c r="A15" s="563"/>
      <c r="B15" s="564" t="s">
        <v>811</v>
      </c>
      <c r="C15" s="592" t="s">
        <v>812</v>
      </c>
      <c r="D15" s="248">
        <f>D16</f>
        <v>900</v>
      </c>
      <c r="E15" s="248">
        <f>E16</f>
        <v>158.74</v>
      </c>
      <c r="F15" s="565">
        <f t="shared" si="0"/>
        <v>17.63777777777778</v>
      </c>
    </row>
    <row r="16" spans="1:6" s="569" customFormat="1" ht="18.75" customHeight="1">
      <c r="A16" s="566"/>
      <c r="B16" s="567"/>
      <c r="C16" s="241" t="s">
        <v>810</v>
      </c>
      <c r="D16" s="238">
        <v>900</v>
      </c>
      <c r="E16" s="238">
        <v>158.74</v>
      </c>
      <c r="F16" s="568">
        <f t="shared" si="0"/>
        <v>17.63777777777778</v>
      </c>
    </row>
    <row r="17" spans="1:6" s="123" customFormat="1" ht="18.75" customHeight="1">
      <c r="A17" s="563"/>
      <c r="B17" s="564" t="s">
        <v>813</v>
      </c>
      <c r="C17" s="279" t="s">
        <v>74</v>
      </c>
      <c r="D17" s="248">
        <f>D18</f>
        <v>18338.66</v>
      </c>
      <c r="E17" s="248">
        <f>E18</f>
        <v>15321.67</v>
      </c>
      <c r="F17" s="565">
        <f t="shared" si="0"/>
        <v>83.5484708261127</v>
      </c>
    </row>
    <row r="18" spans="1:6" s="569" customFormat="1" ht="18.75" customHeight="1">
      <c r="A18" s="566"/>
      <c r="B18" s="567"/>
      <c r="C18" s="241" t="s">
        <v>810</v>
      </c>
      <c r="D18" s="238">
        <v>18338.66</v>
      </c>
      <c r="E18" s="238">
        <v>15321.67</v>
      </c>
      <c r="F18" s="568">
        <f t="shared" si="0"/>
        <v>83.5484708261127</v>
      </c>
    </row>
    <row r="19" spans="1:6" s="569" customFormat="1" ht="10.5" customHeight="1" hidden="1">
      <c r="A19" s="566"/>
      <c r="B19" s="567"/>
      <c r="C19" s="573" t="s">
        <v>828</v>
      </c>
      <c r="D19" s="574"/>
      <c r="E19" s="574"/>
      <c r="F19" s="575"/>
    </row>
    <row r="20" spans="1:6" s="590" customFormat="1" ht="18.75" customHeight="1" hidden="1">
      <c r="A20" s="593"/>
      <c r="B20" s="594"/>
      <c r="C20" s="579" t="s">
        <v>830</v>
      </c>
      <c r="D20" s="580">
        <f>SUM(D21)</f>
        <v>0</v>
      </c>
      <c r="E20" s="580">
        <f>SUM(E21)</f>
        <v>0</v>
      </c>
      <c r="F20" s="581" t="e">
        <f>E20/D20*100</f>
        <v>#DIV/0!</v>
      </c>
    </row>
    <row r="21" spans="1:6" s="569" customFormat="1" ht="18.75" customHeight="1" hidden="1">
      <c r="A21" s="566"/>
      <c r="B21" s="567"/>
      <c r="C21" s="583" t="s">
        <v>802</v>
      </c>
      <c r="D21" s="574">
        <v>0</v>
      </c>
      <c r="E21" s="574">
        <v>0</v>
      </c>
      <c r="F21" s="584" t="e">
        <f>E21/D21*100</f>
        <v>#DIV/0!</v>
      </c>
    </row>
    <row r="22" spans="1:6" s="126" customFormat="1" ht="18.75" customHeight="1">
      <c r="A22" s="560" t="s">
        <v>75</v>
      </c>
      <c r="B22" s="561"/>
      <c r="C22" s="280" t="s">
        <v>814</v>
      </c>
      <c r="D22" s="244">
        <f>SUM(D23)</f>
        <v>54442</v>
      </c>
      <c r="E22" s="244">
        <f>SUM(E23)</f>
        <v>23294</v>
      </c>
      <c r="F22" s="562">
        <f t="shared" si="0"/>
        <v>42.786819000036736</v>
      </c>
    </row>
    <row r="23" spans="1:6" s="123" customFormat="1" ht="18.75" customHeight="1">
      <c r="A23" s="563"/>
      <c r="B23" s="564" t="s">
        <v>76</v>
      </c>
      <c r="C23" s="279" t="s">
        <v>74</v>
      </c>
      <c r="D23" s="248">
        <f>D24</f>
        <v>54442</v>
      </c>
      <c r="E23" s="248">
        <f>E24</f>
        <v>23294</v>
      </c>
      <c r="F23" s="565">
        <f t="shared" si="0"/>
        <v>42.786819000036736</v>
      </c>
    </row>
    <row r="24" spans="1:6" s="569" customFormat="1" ht="18.75" customHeight="1">
      <c r="A24" s="566"/>
      <c r="B24" s="567"/>
      <c r="C24" s="241" t="s">
        <v>810</v>
      </c>
      <c r="D24" s="238">
        <v>54442</v>
      </c>
      <c r="E24" s="238">
        <v>23294</v>
      </c>
      <c r="F24" s="568">
        <f t="shared" si="0"/>
        <v>42.786819000036736</v>
      </c>
    </row>
    <row r="25" spans="1:6" s="126" customFormat="1" ht="29.25" customHeight="1">
      <c r="A25" s="585" t="s">
        <v>402</v>
      </c>
      <c r="B25" s="561"/>
      <c r="C25" s="586" t="s">
        <v>816</v>
      </c>
      <c r="D25" s="244">
        <f>D26</f>
        <v>4251483</v>
      </c>
      <c r="E25" s="244">
        <f>E26</f>
        <v>1906705.84</v>
      </c>
      <c r="F25" s="562">
        <f t="shared" si="0"/>
        <v>44.84801750353935</v>
      </c>
    </row>
    <row r="26" spans="1:6" s="123" customFormat="1" ht="18.75" customHeight="1">
      <c r="A26" s="563"/>
      <c r="B26" s="564" t="s">
        <v>817</v>
      </c>
      <c r="C26" s="279" t="s">
        <v>818</v>
      </c>
      <c r="D26" s="248">
        <f>D27</f>
        <v>4251483</v>
      </c>
      <c r="E26" s="248">
        <f>E27</f>
        <v>1906705.84</v>
      </c>
      <c r="F26" s="565">
        <f t="shared" si="0"/>
        <v>44.84801750353935</v>
      </c>
    </row>
    <row r="27" spans="1:6" s="569" customFormat="1" ht="18.75" customHeight="1">
      <c r="A27" s="566"/>
      <c r="B27" s="567"/>
      <c r="C27" s="241" t="s">
        <v>810</v>
      </c>
      <c r="D27" s="238">
        <v>4251483</v>
      </c>
      <c r="E27" s="238">
        <v>1906705.84</v>
      </c>
      <c r="F27" s="568">
        <f t="shared" si="0"/>
        <v>44.84801750353935</v>
      </c>
    </row>
    <row r="28" spans="1:6" s="126" customFormat="1" ht="18.75" customHeight="1">
      <c r="A28" s="560" t="s">
        <v>77</v>
      </c>
      <c r="B28" s="561"/>
      <c r="C28" s="280" t="s">
        <v>819</v>
      </c>
      <c r="D28" s="244">
        <f>SUM(D29)</f>
        <v>391318</v>
      </c>
      <c r="E28" s="244">
        <f>SUM(E29)</f>
        <v>176137.45</v>
      </c>
      <c r="F28" s="562">
        <f aca="true" t="shared" si="1" ref="F28:F52">E28/D28*100</f>
        <v>45.011333493475895</v>
      </c>
    </row>
    <row r="29" spans="1:6" s="123" customFormat="1" ht="18.75" customHeight="1">
      <c r="A29" s="563"/>
      <c r="B29" s="564" t="s">
        <v>827</v>
      </c>
      <c r="C29" s="279" t="s">
        <v>74</v>
      </c>
      <c r="D29" s="248">
        <f>SUM(D30)</f>
        <v>391318</v>
      </c>
      <c r="E29" s="248">
        <f>SUM(E30)</f>
        <v>176137.45</v>
      </c>
      <c r="F29" s="565">
        <f t="shared" si="1"/>
        <v>45.011333493475895</v>
      </c>
    </row>
    <row r="30" spans="1:6" s="569" customFormat="1" ht="18.75" customHeight="1">
      <c r="A30" s="566"/>
      <c r="B30" s="567"/>
      <c r="C30" s="241" t="s">
        <v>810</v>
      </c>
      <c r="D30" s="238">
        <v>391318</v>
      </c>
      <c r="E30" s="238">
        <v>176137.45</v>
      </c>
      <c r="F30" s="568">
        <f t="shared" si="1"/>
        <v>45.011333493475895</v>
      </c>
    </row>
    <row r="31" spans="1:6" s="576" customFormat="1" ht="12" customHeight="1">
      <c r="A31" s="571"/>
      <c r="B31" s="572"/>
      <c r="C31" s="573" t="s">
        <v>828</v>
      </c>
      <c r="D31" s="574"/>
      <c r="E31" s="574"/>
      <c r="F31" s="575"/>
    </row>
    <row r="32" spans="1:6" s="582" customFormat="1" ht="18.75" customHeight="1">
      <c r="A32" s="577"/>
      <c r="B32" s="578"/>
      <c r="C32" s="579" t="s">
        <v>830</v>
      </c>
      <c r="D32" s="580">
        <f>SUM(D33,D34)</f>
        <v>192962</v>
      </c>
      <c r="E32" s="580">
        <f>SUM(E33,E34)</f>
        <v>93004.26000000001</v>
      </c>
      <c r="F32" s="581">
        <f t="shared" si="1"/>
        <v>48.198225557363635</v>
      </c>
    </row>
    <row r="33" spans="1:6" s="576" customFormat="1" ht="18.75" customHeight="1">
      <c r="A33" s="571"/>
      <c r="B33" s="572"/>
      <c r="C33" s="583" t="s">
        <v>802</v>
      </c>
      <c r="D33" s="574">
        <v>163094</v>
      </c>
      <c r="E33" s="574">
        <v>81242.3</v>
      </c>
      <c r="F33" s="584">
        <f t="shared" si="1"/>
        <v>49.813175224103894</v>
      </c>
    </row>
    <row r="34" spans="1:6" s="576" customFormat="1" ht="18.75" customHeight="1">
      <c r="A34" s="571"/>
      <c r="B34" s="572"/>
      <c r="C34" s="583" t="s">
        <v>803</v>
      </c>
      <c r="D34" s="574">
        <v>29868</v>
      </c>
      <c r="E34" s="574">
        <v>11761.96</v>
      </c>
      <c r="F34" s="584">
        <f t="shared" si="1"/>
        <v>39.379804473014595</v>
      </c>
    </row>
    <row r="35" spans="1:6" s="126" customFormat="1" ht="18.75" customHeight="1">
      <c r="A35" s="560" t="s">
        <v>78</v>
      </c>
      <c r="B35" s="561"/>
      <c r="C35" s="280" t="s">
        <v>79</v>
      </c>
      <c r="D35" s="244">
        <f>SUM(D36,D39,D48)</f>
        <v>36927763</v>
      </c>
      <c r="E35" s="244">
        <f>SUM(E36,E39,E48)</f>
        <v>15341901.370000001</v>
      </c>
      <c r="F35" s="562">
        <f t="shared" si="1"/>
        <v>41.545710120594094</v>
      </c>
    </row>
    <row r="36" spans="1:6" s="123" customFormat="1" ht="18.75" customHeight="1">
      <c r="A36" s="563"/>
      <c r="B36" s="564" t="s">
        <v>63</v>
      </c>
      <c r="C36" s="279" t="s">
        <v>64</v>
      </c>
      <c r="D36" s="248">
        <f>SUM(D37,D38)</f>
        <v>2900000</v>
      </c>
      <c r="E36" s="248">
        <f>SUM(E37,E38)</f>
        <v>1543000</v>
      </c>
      <c r="F36" s="565">
        <f>E36/D36*100</f>
        <v>53.206896551724135</v>
      </c>
    </row>
    <row r="37" spans="1:6" s="569" customFormat="1" ht="18.75" customHeight="1">
      <c r="A37" s="566"/>
      <c r="B37" s="567"/>
      <c r="C37" s="241" t="s">
        <v>810</v>
      </c>
      <c r="D37" s="238">
        <v>2500000</v>
      </c>
      <c r="E37" s="238">
        <v>1280000</v>
      </c>
      <c r="F37" s="568">
        <f>E37/D37*100</f>
        <v>51.2</v>
      </c>
    </row>
    <row r="38" spans="1:6" s="569" customFormat="1" ht="18.75" customHeight="1">
      <c r="A38" s="566"/>
      <c r="B38" s="567"/>
      <c r="C38" s="241" t="s">
        <v>832</v>
      </c>
      <c r="D38" s="238">
        <v>400000</v>
      </c>
      <c r="E38" s="238">
        <v>263000</v>
      </c>
      <c r="F38" s="568">
        <f>E38/D38*100</f>
        <v>65.75</v>
      </c>
    </row>
    <row r="39" spans="1:6" s="123" customFormat="1" ht="18.75" customHeight="1">
      <c r="A39" s="563"/>
      <c r="B39" s="564" t="s">
        <v>81</v>
      </c>
      <c r="C39" s="570" t="s">
        <v>82</v>
      </c>
      <c r="D39" s="248">
        <f>D40+D47</f>
        <v>14531843</v>
      </c>
      <c r="E39" s="248">
        <f>E40+E47</f>
        <v>5123985.45</v>
      </c>
      <c r="F39" s="565">
        <f t="shared" si="1"/>
        <v>35.260396427349235</v>
      </c>
    </row>
    <row r="40" spans="1:6" s="569" customFormat="1" ht="18.75" customHeight="1">
      <c r="A40" s="566"/>
      <c r="B40" s="567"/>
      <c r="C40" s="241" t="s">
        <v>810</v>
      </c>
      <c r="D40" s="238">
        <v>5751843</v>
      </c>
      <c r="E40" s="238">
        <v>1599427.06</v>
      </c>
      <c r="F40" s="568">
        <f t="shared" si="1"/>
        <v>27.80720996730961</v>
      </c>
    </row>
    <row r="41" spans="1:6" s="576" customFormat="1" ht="12" customHeight="1">
      <c r="A41" s="571"/>
      <c r="B41" s="572"/>
      <c r="C41" s="573" t="s">
        <v>828</v>
      </c>
      <c r="D41" s="574"/>
      <c r="E41" s="574"/>
      <c r="F41" s="575"/>
    </row>
    <row r="42" spans="1:6" s="582" customFormat="1" ht="18.75" customHeight="1">
      <c r="A42" s="577"/>
      <c r="B42" s="578"/>
      <c r="C42" s="579" t="s">
        <v>830</v>
      </c>
      <c r="D42" s="580">
        <f>SUM(D43,D46)</f>
        <v>25500</v>
      </c>
      <c r="E42" s="580">
        <f>SUM(E43,E46)</f>
        <v>13409.16</v>
      </c>
      <c r="F42" s="581">
        <f>E42/D42*100</f>
        <v>52.58494117647059</v>
      </c>
    </row>
    <row r="43" spans="1:6" s="576" customFormat="1" ht="17.25" customHeight="1" thickBot="1">
      <c r="A43" s="684"/>
      <c r="B43" s="685"/>
      <c r="C43" s="686" t="s">
        <v>802</v>
      </c>
      <c r="D43" s="687">
        <v>21000</v>
      </c>
      <c r="E43" s="687">
        <v>11601.07</v>
      </c>
      <c r="F43" s="688">
        <f>E43/D43*100</f>
        <v>55.24319047619047</v>
      </c>
    </row>
    <row r="44" spans="1:6" s="673" customFormat="1" ht="17.25" customHeight="1" thickBot="1">
      <c r="A44" s="596"/>
      <c r="B44" s="596"/>
      <c r="C44" s="670"/>
      <c r="D44" s="671"/>
      <c r="E44" s="671"/>
      <c r="F44" s="672"/>
    </row>
    <row r="45" spans="1:6" s="129" customFormat="1" ht="11.25" customHeight="1" thickBot="1">
      <c r="A45" s="1253">
        <v>1</v>
      </c>
      <c r="B45" s="1221">
        <v>2</v>
      </c>
      <c r="C45" s="1221">
        <v>3</v>
      </c>
      <c r="D45" s="1222">
        <v>4</v>
      </c>
      <c r="E45" s="1222">
        <v>5</v>
      </c>
      <c r="F45" s="1254">
        <v>6</v>
      </c>
    </row>
    <row r="46" spans="1:6" s="576" customFormat="1" ht="18.75" customHeight="1">
      <c r="A46" s="689"/>
      <c r="B46" s="572"/>
      <c r="C46" s="583" t="s">
        <v>803</v>
      </c>
      <c r="D46" s="574">
        <v>4500</v>
      </c>
      <c r="E46" s="574">
        <v>1808.09</v>
      </c>
      <c r="F46" s="584">
        <f>E46/D46*100</f>
        <v>40.17977777777777</v>
      </c>
    </row>
    <row r="47" spans="1:6" s="569" customFormat="1" ht="18.75" customHeight="1">
      <c r="A47" s="690"/>
      <c r="B47" s="567"/>
      <c r="C47" s="241" t="s">
        <v>832</v>
      </c>
      <c r="D47" s="238">
        <v>8780000</v>
      </c>
      <c r="E47" s="238">
        <v>3524558.39</v>
      </c>
      <c r="F47" s="568">
        <f t="shared" si="1"/>
        <v>40.143034054669705</v>
      </c>
    </row>
    <row r="48" spans="1:6" s="569" customFormat="1" ht="18.75" customHeight="1">
      <c r="A48" s="691"/>
      <c r="B48" s="564" t="s">
        <v>420</v>
      </c>
      <c r="C48" s="279" t="s">
        <v>421</v>
      </c>
      <c r="D48" s="248">
        <f>SUM(D49)</f>
        <v>19495920</v>
      </c>
      <c r="E48" s="248">
        <f>SUM(E49)</f>
        <v>8674915.92</v>
      </c>
      <c r="F48" s="565">
        <f>E48/D48*100</f>
        <v>44.49605825218815</v>
      </c>
    </row>
    <row r="49" spans="1:6" s="569" customFormat="1" ht="18.75" customHeight="1">
      <c r="A49" s="690"/>
      <c r="B49" s="567"/>
      <c r="C49" s="241" t="s">
        <v>832</v>
      </c>
      <c r="D49" s="238">
        <v>19495920</v>
      </c>
      <c r="E49" s="238">
        <v>8674915.92</v>
      </c>
      <c r="F49" s="568">
        <f>E49/D49*100</f>
        <v>44.49605825218815</v>
      </c>
    </row>
    <row r="50" spans="1:6" s="126" customFormat="1" ht="18.75" customHeight="1">
      <c r="A50" s="692" t="s">
        <v>83</v>
      </c>
      <c r="B50" s="561"/>
      <c r="C50" s="280" t="s">
        <v>84</v>
      </c>
      <c r="D50" s="244">
        <f>D51+D56</f>
        <v>2573000</v>
      </c>
      <c r="E50" s="244">
        <f>E51+E56</f>
        <v>1287622.52</v>
      </c>
      <c r="F50" s="562">
        <f t="shared" si="1"/>
        <v>50.04362689467548</v>
      </c>
    </row>
    <row r="51" spans="1:6" s="123" customFormat="1" ht="18.75" customHeight="1">
      <c r="A51" s="691"/>
      <c r="B51" s="564" t="s">
        <v>397</v>
      </c>
      <c r="C51" s="279" t="s">
        <v>399</v>
      </c>
      <c r="D51" s="248">
        <f>SUM(D52)</f>
        <v>685000</v>
      </c>
      <c r="E51" s="248">
        <f>SUM(E52)</f>
        <v>369322.9</v>
      </c>
      <c r="F51" s="565">
        <f t="shared" si="1"/>
        <v>53.91575182481753</v>
      </c>
    </row>
    <row r="52" spans="1:6" s="569" customFormat="1" ht="18.75" customHeight="1">
      <c r="A52" s="690"/>
      <c r="B52" s="567"/>
      <c r="C52" s="241" t="s">
        <v>810</v>
      </c>
      <c r="D52" s="238">
        <v>685000</v>
      </c>
      <c r="E52" s="238">
        <v>369322.9</v>
      </c>
      <c r="F52" s="568">
        <f t="shared" si="1"/>
        <v>53.91575182481753</v>
      </c>
    </row>
    <row r="53" spans="1:6" s="569" customFormat="1" ht="11.25" customHeight="1">
      <c r="A53" s="690"/>
      <c r="B53" s="567"/>
      <c r="C53" s="573" t="s">
        <v>828</v>
      </c>
      <c r="D53" s="574"/>
      <c r="E53" s="574"/>
      <c r="F53" s="575"/>
    </row>
    <row r="54" spans="1:6" s="590" customFormat="1" ht="18.75" customHeight="1">
      <c r="A54" s="693"/>
      <c r="B54" s="594"/>
      <c r="C54" s="579" t="s">
        <v>830</v>
      </c>
      <c r="D54" s="580">
        <f>SUM(D55)</f>
        <v>20000</v>
      </c>
      <c r="E54" s="580">
        <f>SUM(E55)</f>
        <v>13311</v>
      </c>
      <c r="F54" s="581">
        <f>E54/D54*100</f>
        <v>66.55499999999999</v>
      </c>
    </row>
    <row r="55" spans="1:6" s="569" customFormat="1" ht="18.75" customHeight="1">
      <c r="A55" s="690"/>
      <c r="B55" s="567"/>
      <c r="C55" s="583" t="s">
        <v>802</v>
      </c>
      <c r="D55" s="574">
        <v>20000</v>
      </c>
      <c r="E55" s="574">
        <v>13311</v>
      </c>
      <c r="F55" s="584">
        <f>E55/D55*100</f>
        <v>66.55499999999999</v>
      </c>
    </row>
    <row r="56" spans="1:6" s="123" customFormat="1" ht="18.75" customHeight="1">
      <c r="A56" s="691"/>
      <c r="B56" s="564" t="s">
        <v>833</v>
      </c>
      <c r="C56" s="279" t="s">
        <v>834</v>
      </c>
      <c r="D56" s="248">
        <f>SUM(D57,D58)</f>
        <v>1888000</v>
      </c>
      <c r="E56" s="248">
        <f>SUM(E57,E58)</f>
        <v>918299.62</v>
      </c>
      <c r="F56" s="565">
        <f aca="true" t="shared" si="2" ref="F56:F74">E56/D56*100</f>
        <v>48.63875105932203</v>
      </c>
    </row>
    <row r="57" spans="1:6" s="569" customFormat="1" ht="18.75" customHeight="1">
      <c r="A57" s="690"/>
      <c r="B57" s="567"/>
      <c r="C57" s="241" t="s">
        <v>810</v>
      </c>
      <c r="D57" s="238">
        <v>378000</v>
      </c>
      <c r="E57" s="238">
        <v>168000</v>
      </c>
      <c r="F57" s="568">
        <f t="shared" si="2"/>
        <v>44.44444444444444</v>
      </c>
    </row>
    <row r="58" spans="1:6" s="569" customFormat="1" ht="18.75" customHeight="1">
      <c r="A58" s="690"/>
      <c r="B58" s="567"/>
      <c r="C58" s="241" t="s">
        <v>832</v>
      </c>
      <c r="D58" s="238">
        <v>1510000</v>
      </c>
      <c r="E58" s="238">
        <v>750299.62</v>
      </c>
      <c r="F58" s="568">
        <f t="shared" si="2"/>
        <v>49.68871655629139</v>
      </c>
    </row>
    <row r="59" spans="1:6" s="126" customFormat="1" ht="18" customHeight="1">
      <c r="A59" s="692" t="s">
        <v>85</v>
      </c>
      <c r="B59" s="561"/>
      <c r="C59" s="280" t="s">
        <v>86</v>
      </c>
      <c r="D59" s="244">
        <f>D67+D70+D60</f>
        <v>5326500</v>
      </c>
      <c r="E59" s="244">
        <f>E67+E70+E60</f>
        <v>1376445.3900000001</v>
      </c>
      <c r="F59" s="562">
        <f t="shared" si="2"/>
        <v>25.84146043368066</v>
      </c>
    </row>
    <row r="60" spans="1:6" s="123" customFormat="1" ht="18.75" customHeight="1">
      <c r="A60" s="691"/>
      <c r="B60" s="564" t="s">
        <v>835</v>
      </c>
      <c r="C60" s="279" t="s">
        <v>836</v>
      </c>
      <c r="D60" s="248">
        <f>SUM(D61,D64)</f>
        <v>1250000</v>
      </c>
      <c r="E60" s="248">
        <f>SUM(E61,E64)</f>
        <v>520000</v>
      </c>
      <c r="F60" s="565">
        <f t="shared" si="2"/>
        <v>41.6</v>
      </c>
    </row>
    <row r="61" spans="1:6" s="569" customFormat="1" ht="18" customHeight="1">
      <c r="A61" s="690"/>
      <c r="B61" s="567"/>
      <c r="C61" s="241" t="s">
        <v>810</v>
      </c>
      <c r="D61" s="238">
        <v>550000</v>
      </c>
      <c r="E61" s="238">
        <v>420000</v>
      </c>
      <c r="F61" s="568">
        <f t="shared" si="2"/>
        <v>76.36363636363637</v>
      </c>
    </row>
    <row r="62" spans="1:6" s="576" customFormat="1" ht="11.25" customHeight="1">
      <c r="A62" s="689"/>
      <c r="B62" s="572"/>
      <c r="C62" s="573" t="s">
        <v>828</v>
      </c>
      <c r="D62" s="574"/>
      <c r="E62" s="574"/>
      <c r="F62" s="575"/>
    </row>
    <row r="63" spans="1:6" s="582" customFormat="1" ht="15.75" customHeight="1">
      <c r="A63" s="636"/>
      <c r="B63" s="578"/>
      <c r="C63" s="579" t="s">
        <v>831</v>
      </c>
      <c r="D63" s="580">
        <v>550000</v>
      </c>
      <c r="E63" s="580">
        <v>420000</v>
      </c>
      <c r="F63" s="581">
        <f t="shared" si="2"/>
        <v>76.36363636363637</v>
      </c>
    </row>
    <row r="64" spans="1:6" s="576" customFormat="1" ht="15.75" customHeight="1">
      <c r="A64" s="690"/>
      <c r="B64" s="567"/>
      <c r="C64" s="241" t="s">
        <v>832</v>
      </c>
      <c r="D64" s="238">
        <f>SUM(D66)</f>
        <v>700000</v>
      </c>
      <c r="E64" s="238">
        <f>SUM(E66)</f>
        <v>100000</v>
      </c>
      <c r="F64" s="568">
        <f>E64/D64*100</f>
        <v>14.285714285714285</v>
      </c>
    </row>
    <row r="65" spans="1:6" s="576" customFormat="1" ht="10.5" customHeight="1">
      <c r="A65" s="689"/>
      <c r="B65" s="572"/>
      <c r="C65" s="573" t="s">
        <v>828</v>
      </c>
      <c r="D65" s="574"/>
      <c r="E65" s="574"/>
      <c r="F65" s="575"/>
    </row>
    <row r="66" spans="1:6" s="582" customFormat="1" ht="15.75" customHeight="1">
      <c r="A66" s="636"/>
      <c r="B66" s="578"/>
      <c r="C66" s="579" t="s">
        <v>831</v>
      </c>
      <c r="D66" s="580">
        <v>700000</v>
      </c>
      <c r="E66" s="580">
        <v>100000</v>
      </c>
      <c r="F66" s="581">
        <f>E66/D66*100</f>
        <v>14.285714285714285</v>
      </c>
    </row>
    <row r="67" spans="1:6" s="123" customFormat="1" ht="17.25" customHeight="1">
      <c r="A67" s="691"/>
      <c r="B67" s="564" t="s">
        <v>87</v>
      </c>
      <c r="C67" s="570" t="s">
        <v>88</v>
      </c>
      <c r="D67" s="248">
        <f>D68+D69</f>
        <v>4010500</v>
      </c>
      <c r="E67" s="248">
        <f>E68+E69</f>
        <v>843739.1200000001</v>
      </c>
      <c r="F67" s="565">
        <f t="shared" si="2"/>
        <v>21.038252586959235</v>
      </c>
    </row>
    <row r="68" spans="1:6" s="569" customFormat="1" ht="18.75" customHeight="1">
      <c r="A68" s="690"/>
      <c r="B68" s="567"/>
      <c r="C68" s="241" t="s">
        <v>810</v>
      </c>
      <c r="D68" s="238">
        <v>1510500</v>
      </c>
      <c r="E68" s="238">
        <v>274620.06</v>
      </c>
      <c r="F68" s="568">
        <f t="shared" si="2"/>
        <v>18.180738828202582</v>
      </c>
    </row>
    <row r="69" spans="1:6" s="569" customFormat="1" ht="18.75" customHeight="1">
      <c r="A69" s="690"/>
      <c r="B69" s="567"/>
      <c r="C69" s="241" t="s">
        <v>832</v>
      </c>
      <c r="D69" s="238">
        <v>2500000</v>
      </c>
      <c r="E69" s="238">
        <v>569119.06</v>
      </c>
      <c r="F69" s="568">
        <f t="shared" si="2"/>
        <v>22.764762400000002</v>
      </c>
    </row>
    <row r="70" spans="1:6" s="123" customFormat="1" ht="18.75" customHeight="1">
      <c r="A70" s="691"/>
      <c r="B70" s="564" t="s">
        <v>837</v>
      </c>
      <c r="C70" s="279" t="s">
        <v>74</v>
      </c>
      <c r="D70" s="248">
        <f>SUM(D71)</f>
        <v>66000</v>
      </c>
      <c r="E70" s="248">
        <f>SUM(E71)</f>
        <v>12706.27</v>
      </c>
      <c r="F70" s="565">
        <f t="shared" si="2"/>
        <v>19.25192424242424</v>
      </c>
    </row>
    <row r="71" spans="1:6" s="569" customFormat="1" ht="18.75" customHeight="1">
      <c r="A71" s="690"/>
      <c r="B71" s="567"/>
      <c r="C71" s="241" t="s">
        <v>832</v>
      </c>
      <c r="D71" s="238">
        <v>66000</v>
      </c>
      <c r="E71" s="238">
        <v>12706.27</v>
      </c>
      <c r="F71" s="568">
        <f t="shared" si="2"/>
        <v>19.25192424242424</v>
      </c>
    </row>
    <row r="72" spans="1:6" s="126" customFormat="1" ht="18.75" customHeight="1">
      <c r="A72" s="692" t="s">
        <v>89</v>
      </c>
      <c r="B72" s="561"/>
      <c r="C72" s="586" t="s">
        <v>90</v>
      </c>
      <c r="D72" s="244">
        <f>SUM(D73,D79,D81)</f>
        <v>1863434</v>
      </c>
      <c r="E72" s="244">
        <f>SUM(E73,E79,E81)</f>
        <v>334324.70999999996</v>
      </c>
      <c r="F72" s="562">
        <f>E72/D72*100</f>
        <v>17.94132284803218</v>
      </c>
    </row>
    <row r="73" spans="1:6" s="123" customFormat="1" ht="18.75" customHeight="1">
      <c r="A73" s="691"/>
      <c r="B73" s="564" t="s">
        <v>838</v>
      </c>
      <c r="C73" s="570" t="s">
        <v>839</v>
      </c>
      <c r="D73" s="248">
        <f>D74</f>
        <v>538300</v>
      </c>
      <c r="E73" s="248">
        <f>E74</f>
        <v>118298.02</v>
      </c>
      <c r="F73" s="565">
        <f t="shared" si="2"/>
        <v>21.976225153260266</v>
      </c>
    </row>
    <row r="74" spans="1:6" s="569" customFormat="1" ht="18" customHeight="1">
      <c r="A74" s="690"/>
      <c r="B74" s="567"/>
      <c r="C74" s="241" t="s">
        <v>810</v>
      </c>
      <c r="D74" s="238">
        <v>538300</v>
      </c>
      <c r="E74" s="238">
        <v>118298.02</v>
      </c>
      <c r="F74" s="568">
        <f t="shared" si="2"/>
        <v>21.976225153260266</v>
      </c>
    </row>
    <row r="75" spans="1:6" s="569" customFormat="1" ht="10.5" customHeight="1">
      <c r="A75" s="690"/>
      <c r="B75" s="567"/>
      <c r="C75" s="573" t="s">
        <v>828</v>
      </c>
      <c r="D75" s="574"/>
      <c r="E75" s="574"/>
      <c r="F75" s="575"/>
    </row>
    <row r="76" spans="1:6" s="590" customFormat="1" ht="18" customHeight="1">
      <c r="A76" s="693"/>
      <c r="B76" s="594"/>
      <c r="C76" s="579" t="s">
        <v>830</v>
      </c>
      <c r="D76" s="580">
        <f>SUM(D77,D78)</f>
        <v>16200</v>
      </c>
      <c r="E76" s="580">
        <f>SUM(E77,E78)</f>
        <v>9563.34</v>
      </c>
      <c r="F76" s="581">
        <f>E76/D76*100</f>
        <v>59.03296296296296</v>
      </c>
    </row>
    <row r="77" spans="1:6" s="569" customFormat="1" ht="18" customHeight="1">
      <c r="A77" s="690"/>
      <c r="B77" s="567"/>
      <c r="C77" s="583" t="s">
        <v>802</v>
      </c>
      <c r="D77" s="574">
        <v>15000</v>
      </c>
      <c r="E77" s="574">
        <v>8452</v>
      </c>
      <c r="F77" s="584">
        <f>E77/D77*100</f>
        <v>56.346666666666664</v>
      </c>
    </row>
    <row r="78" spans="1:6" s="569" customFormat="1" ht="18" customHeight="1">
      <c r="A78" s="690"/>
      <c r="B78" s="567"/>
      <c r="C78" s="583" t="s">
        <v>803</v>
      </c>
      <c r="D78" s="574">
        <v>1200</v>
      </c>
      <c r="E78" s="574">
        <v>1111.34</v>
      </c>
      <c r="F78" s="584">
        <f>E78/D78*100</f>
        <v>92.61166666666666</v>
      </c>
    </row>
    <row r="79" spans="1:6" s="123" customFormat="1" ht="18.75" customHeight="1">
      <c r="A79" s="691"/>
      <c r="B79" s="564" t="s">
        <v>92</v>
      </c>
      <c r="C79" s="570" t="s">
        <v>93</v>
      </c>
      <c r="D79" s="248">
        <f>D80</f>
        <v>130000</v>
      </c>
      <c r="E79" s="248">
        <f>E80</f>
        <v>48075.27</v>
      </c>
      <c r="F79" s="565">
        <f aca="true" t="shared" si="3" ref="F79:F96">E79/D79*100</f>
        <v>36.980976923076916</v>
      </c>
    </row>
    <row r="80" spans="1:6" s="569" customFormat="1" ht="18.75" customHeight="1">
      <c r="A80" s="690"/>
      <c r="B80" s="567"/>
      <c r="C80" s="241" t="s">
        <v>810</v>
      </c>
      <c r="D80" s="238">
        <v>130000</v>
      </c>
      <c r="E80" s="238">
        <v>48075.27</v>
      </c>
      <c r="F80" s="568">
        <f t="shared" si="3"/>
        <v>36.980976923076916</v>
      </c>
    </row>
    <row r="81" spans="1:6" ht="18.75" customHeight="1">
      <c r="A81" s="691"/>
      <c r="B81" s="564" t="s">
        <v>99</v>
      </c>
      <c r="C81" s="247" t="s">
        <v>100</v>
      </c>
      <c r="D81" s="248">
        <f>SUM(D82,D83)</f>
        <v>1195134</v>
      </c>
      <c r="E81" s="248">
        <f>SUM(E82,E83)</f>
        <v>167951.41999999998</v>
      </c>
      <c r="F81" s="565">
        <f t="shared" si="3"/>
        <v>14.05293632345829</v>
      </c>
    </row>
    <row r="82" spans="1:6" s="569" customFormat="1" ht="18.75" customHeight="1">
      <c r="A82" s="690"/>
      <c r="B82" s="567"/>
      <c r="C82" s="241" t="s">
        <v>810</v>
      </c>
      <c r="D82" s="238">
        <v>593134</v>
      </c>
      <c r="E82" s="238">
        <v>137751.46</v>
      </c>
      <c r="F82" s="568">
        <f t="shared" si="3"/>
        <v>23.224340536876994</v>
      </c>
    </row>
    <row r="83" spans="1:6" s="569" customFormat="1" ht="18.75" customHeight="1" thickBot="1">
      <c r="A83" s="800"/>
      <c r="B83" s="704"/>
      <c r="C83" s="695" t="s">
        <v>832</v>
      </c>
      <c r="D83" s="696">
        <v>602000</v>
      </c>
      <c r="E83" s="696">
        <v>30199.96</v>
      </c>
      <c r="F83" s="697">
        <f t="shared" si="3"/>
        <v>5.01660465116279</v>
      </c>
    </row>
    <row r="84" spans="1:6" s="676" customFormat="1" ht="23.25" customHeight="1" thickBot="1">
      <c r="A84" s="599"/>
      <c r="B84" s="599"/>
      <c r="C84" s="237"/>
      <c r="D84" s="674"/>
      <c r="E84" s="674"/>
      <c r="F84" s="675"/>
    </row>
    <row r="85" spans="1:6" s="129" customFormat="1" ht="11.25" customHeight="1" thickBot="1">
      <c r="A85" s="1255">
        <v>1</v>
      </c>
      <c r="B85" s="1224">
        <v>2</v>
      </c>
      <c r="C85" s="1224">
        <v>3</v>
      </c>
      <c r="D85" s="1226">
        <v>4</v>
      </c>
      <c r="E85" s="1226">
        <v>5</v>
      </c>
      <c r="F85" s="1256">
        <v>6</v>
      </c>
    </row>
    <row r="86" spans="1:6" s="126" customFormat="1" ht="18.75" customHeight="1">
      <c r="A86" s="692" t="s">
        <v>101</v>
      </c>
      <c r="B86" s="561"/>
      <c r="C86" s="280" t="s">
        <v>102</v>
      </c>
      <c r="D86" s="244">
        <f>SUM(D87,D93,D95,D102)</f>
        <v>12990439</v>
      </c>
      <c r="E86" s="244">
        <f>SUM(E87,E93,E95,E102)</f>
        <v>6164889.579999999</v>
      </c>
      <c r="F86" s="562">
        <f t="shared" si="3"/>
        <v>47.457130432620474</v>
      </c>
    </row>
    <row r="87" spans="1:6" s="123" customFormat="1" ht="18.75" customHeight="1">
      <c r="A87" s="691"/>
      <c r="B87" s="564" t="s">
        <v>103</v>
      </c>
      <c r="C87" s="247" t="s">
        <v>109</v>
      </c>
      <c r="D87" s="248">
        <f>D88</f>
        <v>360000</v>
      </c>
      <c r="E87" s="248">
        <f>E88</f>
        <v>194135</v>
      </c>
      <c r="F87" s="565">
        <f t="shared" si="3"/>
        <v>53.92638888888889</v>
      </c>
    </row>
    <row r="88" spans="1:6" s="569" customFormat="1" ht="18.75" customHeight="1">
      <c r="A88" s="690"/>
      <c r="B88" s="567"/>
      <c r="C88" s="241" t="s">
        <v>810</v>
      </c>
      <c r="D88" s="238">
        <v>360000</v>
      </c>
      <c r="E88" s="238">
        <v>194135</v>
      </c>
      <c r="F88" s="568">
        <f t="shared" si="3"/>
        <v>53.92638888888889</v>
      </c>
    </row>
    <row r="89" spans="1:6" s="576" customFormat="1" ht="12" customHeight="1">
      <c r="A89" s="689"/>
      <c r="B89" s="572"/>
      <c r="C89" s="573" t="s">
        <v>828</v>
      </c>
      <c r="D89" s="574"/>
      <c r="E89" s="574"/>
      <c r="F89" s="575"/>
    </row>
    <row r="90" spans="1:6" s="582" customFormat="1" ht="18.75" customHeight="1">
      <c r="A90" s="636"/>
      <c r="B90" s="578"/>
      <c r="C90" s="579" t="s">
        <v>830</v>
      </c>
      <c r="D90" s="580">
        <f>SUM(D91,D92)</f>
        <v>355042</v>
      </c>
      <c r="E90" s="580">
        <f>SUM(E91,E92)</f>
        <v>189601.95</v>
      </c>
      <c r="F90" s="581">
        <f t="shared" si="3"/>
        <v>53.40268193622163</v>
      </c>
    </row>
    <row r="91" spans="1:6" s="576" customFormat="1" ht="18.75" customHeight="1">
      <c r="A91" s="689"/>
      <c r="B91" s="572"/>
      <c r="C91" s="583" t="s">
        <v>802</v>
      </c>
      <c r="D91" s="574">
        <v>296811</v>
      </c>
      <c r="E91" s="574">
        <v>146462.47</v>
      </c>
      <c r="F91" s="584">
        <f t="shared" si="3"/>
        <v>49.34536455859116</v>
      </c>
    </row>
    <row r="92" spans="1:6" s="576" customFormat="1" ht="18.75" customHeight="1">
      <c r="A92" s="689"/>
      <c r="B92" s="572"/>
      <c r="C92" s="583" t="s">
        <v>803</v>
      </c>
      <c r="D92" s="574">
        <v>58231</v>
      </c>
      <c r="E92" s="574">
        <v>43139.48</v>
      </c>
      <c r="F92" s="584">
        <f t="shared" si="3"/>
        <v>74.08335766172658</v>
      </c>
    </row>
    <row r="93" spans="1:6" s="123" customFormat="1" ht="18.75" customHeight="1">
      <c r="A93" s="691"/>
      <c r="B93" s="564" t="s">
        <v>840</v>
      </c>
      <c r="C93" s="279" t="s">
        <v>841</v>
      </c>
      <c r="D93" s="248">
        <f>SUM(D94)</f>
        <v>502000</v>
      </c>
      <c r="E93" s="248">
        <f>SUM(E94)</f>
        <v>245491.59</v>
      </c>
      <c r="F93" s="565">
        <f t="shared" si="3"/>
        <v>48.90270717131474</v>
      </c>
    </row>
    <row r="94" spans="1:6" s="569" customFormat="1" ht="18.75" customHeight="1">
      <c r="A94" s="690"/>
      <c r="B94" s="567"/>
      <c r="C94" s="241" t="s">
        <v>810</v>
      </c>
      <c r="D94" s="238">
        <v>502000</v>
      </c>
      <c r="E94" s="238">
        <v>245491.59</v>
      </c>
      <c r="F94" s="568">
        <f t="shared" si="3"/>
        <v>48.90270717131474</v>
      </c>
    </row>
    <row r="95" spans="1:6" s="123" customFormat="1" ht="18.75" customHeight="1">
      <c r="A95" s="691"/>
      <c r="B95" s="564" t="s">
        <v>112</v>
      </c>
      <c r="C95" s="279" t="s">
        <v>383</v>
      </c>
      <c r="D95" s="248">
        <f>D96+D101</f>
        <v>11504532</v>
      </c>
      <c r="E95" s="248">
        <f>E96+E101</f>
        <v>5579372.899999999</v>
      </c>
      <c r="F95" s="565">
        <f t="shared" si="3"/>
        <v>48.49717398326155</v>
      </c>
    </row>
    <row r="96" spans="1:6" s="569" customFormat="1" ht="18.75" customHeight="1">
      <c r="A96" s="690"/>
      <c r="B96" s="567"/>
      <c r="C96" s="241" t="s">
        <v>810</v>
      </c>
      <c r="D96" s="238">
        <v>10989593</v>
      </c>
      <c r="E96" s="238">
        <v>5536912.52</v>
      </c>
      <c r="F96" s="568">
        <f t="shared" si="3"/>
        <v>50.38323548469902</v>
      </c>
    </row>
    <row r="97" spans="1:6" s="576" customFormat="1" ht="12" customHeight="1">
      <c r="A97" s="689"/>
      <c r="B97" s="572"/>
      <c r="C97" s="573" t="s">
        <v>828</v>
      </c>
      <c r="D97" s="574"/>
      <c r="E97" s="574"/>
      <c r="F97" s="575"/>
    </row>
    <row r="98" spans="1:6" s="582" customFormat="1" ht="18.75" customHeight="1">
      <c r="A98" s="636"/>
      <c r="B98" s="578"/>
      <c r="C98" s="579" t="s">
        <v>830</v>
      </c>
      <c r="D98" s="580">
        <f>SUM(D99,D100)</f>
        <v>8777184</v>
      </c>
      <c r="E98" s="580">
        <f>SUM(E99,E100)</f>
        <v>4453092.67</v>
      </c>
      <c r="F98" s="581">
        <f>E98/D98*100</f>
        <v>50.73486747002227</v>
      </c>
    </row>
    <row r="99" spans="1:6" s="576" customFormat="1" ht="18.75" customHeight="1">
      <c r="A99" s="689"/>
      <c r="B99" s="572"/>
      <c r="C99" s="583" t="s">
        <v>802</v>
      </c>
      <c r="D99" s="574">
        <v>7514923</v>
      </c>
      <c r="E99" s="574">
        <v>3843581.37</v>
      </c>
      <c r="F99" s="584">
        <f>E99/D99*100</f>
        <v>51.14598472931792</v>
      </c>
    </row>
    <row r="100" spans="1:6" s="576" customFormat="1" ht="18.75" customHeight="1">
      <c r="A100" s="689"/>
      <c r="B100" s="572"/>
      <c r="C100" s="583" t="s">
        <v>803</v>
      </c>
      <c r="D100" s="574">
        <v>1262261</v>
      </c>
      <c r="E100" s="574">
        <v>609511.3</v>
      </c>
      <c r="F100" s="584">
        <f>E100/D100*100</f>
        <v>48.28726388599506</v>
      </c>
    </row>
    <row r="101" spans="1:6" s="569" customFormat="1" ht="18.75" customHeight="1">
      <c r="A101" s="690"/>
      <c r="B101" s="567"/>
      <c r="C101" s="241" t="s">
        <v>832</v>
      </c>
      <c r="D101" s="238">
        <v>514939</v>
      </c>
      <c r="E101" s="238">
        <v>42460.38</v>
      </c>
      <c r="F101" s="568">
        <f aca="true" t="shared" si="4" ref="F101:F121">E101/D101*100</f>
        <v>8.24571065699044</v>
      </c>
    </row>
    <row r="102" spans="1:6" s="576" customFormat="1" ht="18.75" customHeight="1">
      <c r="A102" s="691"/>
      <c r="B102" s="564" t="s">
        <v>115</v>
      </c>
      <c r="C102" s="279" t="s">
        <v>74</v>
      </c>
      <c r="D102" s="248">
        <f>SUM(D103)</f>
        <v>623907</v>
      </c>
      <c r="E102" s="248">
        <f>SUM(E103)</f>
        <v>145890.09</v>
      </c>
      <c r="F102" s="565">
        <f t="shared" si="4"/>
        <v>23.38330712750458</v>
      </c>
    </row>
    <row r="103" spans="1:6" s="576" customFormat="1" ht="18.75" customHeight="1">
      <c r="A103" s="690"/>
      <c r="B103" s="567"/>
      <c r="C103" s="241" t="s">
        <v>810</v>
      </c>
      <c r="D103" s="238">
        <v>623907</v>
      </c>
      <c r="E103" s="238">
        <v>145890.09</v>
      </c>
      <c r="F103" s="568">
        <f t="shared" si="4"/>
        <v>23.38330712750458</v>
      </c>
    </row>
    <row r="104" spans="1:6" s="576" customFormat="1" ht="12" customHeight="1">
      <c r="A104" s="689"/>
      <c r="B104" s="572"/>
      <c r="C104" s="573" t="s">
        <v>828</v>
      </c>
      <c r="D104" s="574"/>
      <c r="E104" s="574"/>
      <c r="F104" s="575"/>
    </row>
    <row r="105" spans="1:6" s="126" customFormat="1" ht="18.75" customHeight="1">
      <c r="A105" s="636"/>
      <c r="B105" s="578"/>
      <c r="C105" s="579" t="s">
        <v>830</v>
      </c>
      <c r="D105" s="580">
        <f>SUM(D106)</f>
        <v>74000</v>
      </c>
      <c r="E105" s="580">
        <f>SUM(E106)</f>
        <v>6573</v>
      </c>
      <c r="F105" s="581">
        <f t="shared" si="4"/>
        <v>8.882432432432433</v>
      </c>
    </row>
    <row r="106" spans="1:6" s="123" customFormat="1" ht="18.75" customHeight="1">
      <c r="A106" s="689"/>
      <c r="B106" s="572"/>
      <c r="C106" s="583" t="s">
        <v>802</v>
      </c>
      <c r="D106" s="574">
        <v>74000</v>
      </c>
      <c r="E106" s="574">
        <v>6573</v>
      </c>
      <c r="F106" s="584">
        <f t="shared" si="4"/>
        <v>8.882432432432433</v>
      </c>
    </row>
    <row r="107" spans="1:6" s="590" customFormat="1" ht="18.75" customHeight="1">
      <c r="A107" s="636"/>
      <c r="B107" s="578"/>
      <c r="C107" s="579" t="s">
        <v>831</v>
      </c>
      <c r="D107" s="580">
        <v>6255</v>
      </c>
      <c r="E107" s="580">
        <v>3120</v>
      </c>
      <c r="F107" s="581">
        <f t="shared" si="4"/>
        <v>49.88009592326139</v>
      </c>
    </row>
    <row r="108" spans="1:6" s="576" customFormat="1" ht="44.25" customHeight="1">
      <c r="A108" s="698" t="s">
        <v>333</v>
      </c>
      <c r="B108" s="561"/>
      <c r="C108" s="586" t="s">
        <v>116</v>
      </c>
      <c r="D108" s="627">
        <f>SUM(D109,D115)</f>
        <v>6168</v>
      </c>
      <c r="E108" s="627">
        <f>SUM(E109,E115)</f>
        <v>601</v>
      </c>
      <c r="F108" s="562">
        <f t="shared" si="4"/>
        <v>9.74383916990921</v>
      </c>
    </row>
    <row r="109" spans="1:6" s="576" customFormat="1" ht="26.25" customHeight="1">
      <c r="A109" s="691"/>
      <c r="B109" s="591" t="s">
        <v>269</v>
      </c>
      <c r="C109" s="570" t="s">
        <v>842</v>
      </c>
      <c r="D109" s="628">
        <f>D110</f>
        <v>6168</v>
      </c>
      <c r="E109" s="248">
        <f>E110</f>
        <v>601</v>
      </c>
      <c r="F109" s="565">
        <f t="shared" si="4"/>
        <v>9.74383916990921</v>
      </c>
    </row>
    <row r="110" spans="1:6" s="576" customFormat="1" ht="18.75" customHeight="1">
      <c r="A110" s="690"/>
      <c r="B110" s="567"/>
      <c r="C110" s="241" t="s">
        <v>810</v>
      </c>
      <c r="D110" s="238">
        <v>6168</v>
      </c>
      <c r="E110" s="238">
        <v>601</v>
      </c>
      <c r="F110" s="568">
        <f t="shared" si="4"/>
        <v>9.74383916990921</v>
      </c>
    </row>
    <row r="111" spans="1:6" s="126" customFormat="1" ht="12" customHeight="1">
      <c r="A111" s="689"/>
      <c r="B111" s="572"/>
      <c r="C111" s="573" t="s">
        <v>828</v>
      </c>
      <c r="D111" s="574"/>
      <c r="E111" s="574"/>
      <c r="F111" s="575"/>
    </row>
    <row r="112" spans="1:6" s="126" customFormat="1" ht="18.75" customHeight="1">
      <c r="A112" s="636"/>
      <c r="B112" s="578"/>
      <c r="C112" s="579" t="s">
        <v>830</v>
      </c>
      <c r="D112" s="580">
        <f>SUM(D113,D114)</f>
        <v>6168</v>
      </c>
      <c r="E112" s="580">
        <f>SUM(E113,E114)</f>
        <v>601</v>
      </c>
      <c r="F112" s="581">
        <f t="shared" si="4"/>
        <v>9.74383916990921</v>
      </c>
    </row>
    <row r="113" spans="1:6" s="123" customFormat="1" ht="18.75" customHeight="1">
      <c r="A113" s="689"/>
      <c r="B113" s="572"/>
      <c r="C113" s="583" t="s">
        <v>802</v>
      </c>
      <c r="D113" s="574">
        <v>5242</v>
      </c>
      <c r="E113" s="574">
        <v>601</v>
      </c>
      <c r="F113" s="584">
        <f t="shared" si="4"/>
        <v>11.465089660434948</v>
      </c>
    </row>
    <row r="114" spans="1:6" s="123" customFormat="1" ht="18.75" customHeight="1">
      <c r="A114" s="689"/>
      <c r="B114" s="572"/>
      <c r="C114" s="583" t="s">
        <v>803</v>
      </c>
      <c r="D114" s="574">
        <v>926</v>
      </c>
      <c r="E114" s="574">
        <v>0</v>
      </c>
      <c r="F114" s="584">
        <f t="shared" si="4"/>
        <v>0</v>
      </c>
    </row>
    <row r="115" spans="1:6" s="576" customFormat="1" ht="16.5" customHeight="1" hidden="1">
      <c r="A115" s="691"/>
      <c r="B115" s="591" t="s">
        <v>683</v>
      </c>
      <c r="C115" s="570" t="s">
        <v>227</v>
      </c>
      <c r="D115" s="628">
        <f>D116</f>
        <v>0</v>
      </c>
      <c r="E115" s="248">
        <f>E116</f>
        <v>0</v>
      </c>
      <c r="F115" s="565" t="e">
        <f>E115/D115*100</f>
        <v>#DIV/0!</v>
      </c>
    </row>
    <row r="116" spans="1:6" s="576" customFormat="1" ht="18.75" customHeight="1" hidden="1">
      <c r="A116" s="690"/>
      <c r="B116" s="567"/>
      <c r="C116" s="241" t="s">
        <v>810</v>
      </c>
      <c r="D116" s="238">
        <v>0</v>
      </c>
      <c r="E116" s="238">
        <v>0</v>
      </c>
      <c r="F116" s="568" t="e">
        <f>E116/D116*100</f>
        <v>#DIV/0!</v>
      </c>
    </row>
    <row r="117" spans="1:6" s="126" customFormat="1" ht="12" customHeight="1" hidden="1">
      <c r="A117" s="689"/>
      <c r="B117" s="572"/>
      <c r="C117" s="573" t="s">
        <v>828</v>
      </c>
      <c r="D117" s="574"/>
      <c r="E117" s="574"/>
      <c r="F117" s="575"/>
    </row>
    <row r="118" spans="1:6" s="126" customFormat="1" ht="18.75" customHeight="1" hidden="1">
      <c r="A118" s="636"/>
      <c r="B118" s="578"/>
      <c r="C118" s="579" t="s">
        <v>830</v>
      </c>
      <c r="D118" s="580">
        <f>SUM(D119,D120)</f>
        <v>0</v>
      </c>
      <c r="E118" s="580">
        <f>SUM(E119,E120)</f>
        <v>0</v>
      </c>
      <c r="F118" s="581" t="e">
        <f>E118/D118*100</f>
        <v>#DIV/0!</v>
      </c>
    </row>
    <row r="119" spans="1:6" s="123" customFormat="1" ht="18.75" customHeight="1" hidden="1">
      <c r="A119" s="689"/>
      <c r="B119" s="572"/>
      <c r="C119" s="583" t="s">
        <v>802</v>
      </c>
      <c r="D119" s="574">
        <v>0</v>
      </c>
      <c r="E119" s="574">
        <v>0</v>
      </c>
      <c r="F119" s="584" t="e">
        <f>E119/D119*100</f>
        <v>#DIV/0!</v>
      </c>
    </row>
    <row r="120" spans="1:6" s="123" customFormat="1" ht="18.75" customHeight="1" hidden="1">
      <c r="A120" s="689"/>
      <c r="B120" s="572"/>
      <c r="C120" s="583" t="s">
        <v>803</v>
      </c>
      <c r="D120" s="574">
        <v>0</v>
      </c>
      <c r="E120" s="574">
        <v>0</v>
      </c>
      <c r="F120" s="584" t="e">
        <f>E120/D120*100</f>
        <v>#DIV/0!</v>
      </c>
    </row>
    <row r="121" spans="1:6" s="576" customFormat="1" ht="27.75" customHeight="1">
      <c r="A121" s="698" t="s">
        <v>117</v>
      </c>
      <c r="B121" s="561"/>
      <c r="C121" s="586" t="s">
        <v>418</v>
      </c>
      <c r="D121" s="244">
        <f>SUM(D122,D130,D132,D139)</f>
        <v>1316995</v>
      </c>
      <c r="E121" s="244">
        <f>SUM(E122,E130,E132,E139)</f>
        <v>152670.71</v>
      </c>
      <c r="F121" s="562">
        <f t="shared" si="4"/>
        <v>11.592353046139127</v>
      </c>
    </row>
    <row r="122" spans="1:6" s="576" customFormat="1" ht="18.75" customHeight="1">
      <c r="A122" s="691"/>
      <c r="B122" s="564" t="s">
        <v>845</v>
      </c>
      <c r="C122" s="279" t="s">
        <v>846</v>
      </c>
      <c r="D122" s="248">
        <f>SUM(D123)</f>
        <v>85375</v>
      </c>
      <c r="E122" s="248">
        <f>SUM(E123)</f>
        <v>41504.99</v>
      </c>
      <c r="F122" s="565">
        <f aca="true" t="shared" si="5" ref="F122:F158">E122/D122*100</f>
        <v>48.6149224011713</v>
      </c>
    </row>
    <row r="123" spans="1:6" s="569" customFormat="1" ht="18.75" customHeight="1">
      <c r="A123" s="690"/>
      <c r="B123" s="567"/>
      <c r="C123" s="241" t="s">
        <v>810</v>
      </c>
      <c r="D123" s="238">
        <v>85375</v>
      </c>
      <c r="E123" s="238">
        <v>41504.99</v>
      </c>
      <c r="F123" s="568">
        <f t="shared" si="5"/>
        <v>48.6149224011713</v>
      </c>
    </row>
    <row r="124" spans="1:6" s="576" customFormat="1" ht="12" customHeight="1">
      <c r="A124" s="699"/>
      <c r="B124" s="629"/>
      <c r="C124" s="573" t="s">
        <v>828</v>
      </c>
      <c r="D124" s="630"/>
      <c r="E124" s="630"/>
      <c r="F124" s="631"/>
    </row>
    <row r="125" spans="1:6" s="126" customFormat="1" ht="18.75" customHeight="1">
      <c r="A125" s="636"/>
      <c r="B125" s="578"/>
      <c r="C125" s="579" t="s">
        <v>830</v>
      </c>
      <c r="D125" s="580">
        <f>SUM(D126,D127)</f>
        <v>36028</v>
      </c>
      <c r="E125" s="580">
        <f>SUM(E126,E127)</f>
        <v>22894.67</v>
      </c>
      <c r="F125" s="581">
        <f t="shared" si="5"/>
        <v>63.54688020428555</v>
      </c>
    </row>
    <row r="126" spans="1:6" s="123" customFormat="1" ht="18.75" customHeight="1">
      <c r="A126" s="689"/>
      <c r="B126" s="572"/>
      <c r="C126" s="583" t="s">
        <v>802</v>
      </c>
      <c r="D126" s="574">
        <v>30277</v>
      </c>
      <c r="E126" s="574">
        <v>19697.18</v>
      </c>
      <c r="F126" s="584">
        <f t="shared" si="5"/>
        <v>65.05657760015853</v>
      </c>
    </row>
    <row r="127" spans="1:6" s="123" customFormat="1" ht="18.75" customHeight="1" thickBot="1">
      <c r="A127" s="801"/>
      <c r="B127" s="685"/>
      <c r="C127" s="686" t="s">
        <v>803</v>
      </c>
      <c r="D127" s="687">
        <v>5751</v>
      </c>
      <c r="E127" s="687">
        <v>3197.49</v>
      </c>
      <c r="F127" s="688">
        <f t="shared" si="5"/>
        <v>55.59885237350025</v>
      </c>
    </row>
    <row r="128" spans="1:6" s="677" customFormat="1" ht="24.75" customHeight="1" thickBot="1">
      <c r="A128" s="596"/>
      <c r="B128" s="596"/>
      <c r="C128" s="670"/>
      <c r="D128" s="671"/>
      <c r="E128" s="671"/>
      <c r="F128" s="672"/>
    </row>
    <row r="129" spans="1:6" s="129" customFormat="1" ht="11.25" customHeight="1" thickBot="1">
      <c r="A129" s="1255">
        <v>1</v>
      </c>
      <c r="B129" s="1224">
        <v>2</v>
      </c>
      <c r="C129" s="1224">
        <v>3</v>
      </c>
      <c r="D129" s="1226">
        <v>4</v>
      </c>
      <c r="E129" s="1226">
        <v>5</v>
      </c>
      <c r="F129" s="1256">
        <v>6</v>
      </c>
    </row>
    <row r="130" spans="1:6" s="576" customFormat="1" ht="18.75" customHeight="1">
      <c r="A130" s="691"/>
      <c r="B130" s="564" t="s">
        <v>119</v>
      </c>
      <c r="C130" s="247" t="s">
        <v>120</v>
      </c>
      <c r="D130" s="248">
        <f>SUM(D131)</f>
        <v>7000</v>
      </c>
      <c r="E130" s="248">
        <f>SUM(E131)</f>
        <v>1293.23</v>
      </c>
      <c r="F130" s="565">
        <f t="shared" si="5"/>
        <v>18.474714285714285</v>
      </c>
    </row>
    <row r="131" spans="1:6" s="576" customFormat="1" ht="18.75" customHeight="1">
      <c r="A131" s="690"/>
      <c r="B131" s="567"/>
      <c r="C131" s="241" t="s">
        <v>810</v>
      </c>
      <c r="D131" s="238">
        <v>7000</v>
      </c>
      <c r="E131" s="238">
        <v>1293.23</v>
      </c>
      <c r="F131" s="568">
        <f t="shared" si="5"/>
        <v>18.474714285714285</v>
      </c>
    </row>
    <row r="132" spans="1:6" s="569" customFormat="1" ht="18.75" customHeight="1">
      <c r="A132" s="691"/>
      <c r="B132" s="564" t="s">
        <v>400</v>
      </c>
      <c r="C132" s="247" t="s">
        <v>401</v>
      </c>
      <c r="D132" s="248">
        <f>SUM(D133,D138)</f>
        <v>295456</v>
      </c>
      <c r="E132" s="248">
        <f>SUM(E133,E138)</f>
        <v>107853.58</v>
      </c>
      <c r="F132" s="565">
        <f t="shared" si="5"/>
        <v>36.50410890284848</v>
      </c>
    </row>
    <row r="133" spans="1:6" s="569" customFormat="1" ht="18.75" customHeight="1">
      <c r="A133" s="690"/>
      <c r="B133" s="567"/>
      <c r="C133" s="241" t="s">
        <v>810</v>
      </c>
      <c r="D133" s="238">
        <v>195456</v>
      </c>
      <c r="E133" s="238">
        <v>107853.58</v>
      </c>
      <c r="F133" s="568">
        <f t="shared" si="5"/>
        <v>55.18049074983629</v>
      </c>
    </row>
    <row r="134" spans="1:6" s="576" customFormat="1" ht="12" customHeight="1">
      <c r="A134" s="689"/>
      <c r="B134" s="572"/>
      <c r="C134" s="573" t="s">
        <v>828</v>
      </c>
      <c r="D134" s="574"/>
      <c r="E134" s="574"/>
      <c r="F134" s="575"/>
    </row>
    <row r="135" spans="1:6" s="126" customFormat="1" ht="18.75" customHeight="1">
      <c r="A135" s="636"/>
      <c r="B135" s="578"/>
      <c r="C135" s="579" t="s">
        <v>830</v>
      </c>
      <c r="D135" s="580">
        <f>SUM(D136,D137)</f>
        <v>168201</v>
      </c>
      <c r="E135" s="580">
        <f>SUM(E136,E137)</f>
        <v>95611.24</v>
      </c>
      <c r="F135" s="581">
        <f t="shared" si="5"/>
        <v>56.84344326133615</v>
      </c>
    </row>
    <row r="136" spans="1:6" s="123" customFormat="1" ht="18.75" customHeight="1">
      <c r="A136" s="689"/>
      <c r="B136" s="572"/>
      <c r="C136" s="583" t="s">
        <v>802</v>
      </c>
      <c r="D136" s="574">
        <v>143357</v>
      </c>
      <c r="E136" s="574">
        <v>81595.94</v>
      </c>
      <c r="F136" s="584">
        <f t="shared" si="5"/>
        <v>56.918001911312324</v>
      </c>
    </row>
    <row r="137" spans="1:6" s="123" customFormat="1" ht="18.75" customHeight="1">
      <c r="A137" s="689"/>
      <c r="B137" s="572"/>
      <c r="C137" s="583" t="s">
        <v>803</v>
      </c>
      <c r="D137" s="574">
        <v>24844</v>
      </c>
      <c r="E137" s="574">
        <v>14015.3</v>
      </c>
      <c r="F137" s="584">
        <f t="shared" si="5"/>
        <v>56.41321848333602</v>
      </c>
    </row>
    <row r="138" spans="1:6" s="576" customFormat="1" ht="18.75" customHeight="1">
      <c r="A138" s="690"/>
      <c r="B138" s="567"/>
      <c r="C138" s="241" t="s">
        <v>832</v>
      </c>
      <c r="D138" s="238">
        <v>100000</v>
      </c>
      <c r="E138" s="238">
        <v>0</v>
      </c>
      <c r="F138" s="568">
        <f>E138/D138*100</f>
        <v>0</v>
      </c>
    </row>
    <row r="139" spans="1:6" s="576" customFormat="1" ht="17.25" customHeight="1">
      <c r="A139" s="691"/>
      <c r="B139" s="564" t="s">
        <v>847</v>
      </c>
      <c r="C139" s="247" t="s">
        <v>74</v>
      </c>
      <c r="D139" s="248">
        <f>SUM(D140,D141)</f>
        <v>929164</v>
      </c>
      <c r="E139" s="248">
        <f>SUM(E140,E141)</f>
        <v>2018.91</v>
      </c>
      <c r="F139" s="565">
        <f t="shared" si="5"/>
        <v>0.21728241731276718</v>
      </c>
    </row>
    <row r="140" spans="1:6" s="576" customFormat="1" ht="18.75" customHeight="1">
      <c r="A140" s="690"/>
      <c r="B140" s="567"/>
      <c r="C140" s="241" t="s">
        <v>810</v>
      </c>
      <c r="D140" s="238">
        <v>32766</v>
      </c>
      <c r="E140" s="238">
        <v>2003.92</v>
      </c>
      <c r="F140" s="568">
        <f t="shared" si="5"/>
        <v>6.115851797595068</v>
      </c>
    </row>
    <row r="141" spans="1:6" s="576" customFormat="1" ht="18.75" customHeight="1">
      <c r="A141" s="690"/>
      <c r="B141" s="567"/>
      <c r="C141" s="241" t="s">
        <v>832</v>
      </c>
      <c r="D141" s="238">
        <v>896398</v>
      </c>
      <c r="E141" s="238">
        <v>14.99</v>
      </c>
      <c r="F141" s="568">
        <f t="shared" si="5"/>
        <v>0.0016722482647216971</v>
      </c>
    </row>
    <row r="142" spans="1:6" s="123" customFormat="1" ht="65.25" customHeight="1">
      <c r="A142" s="692" t="s">
        <v>368</v>
      </c>
      <c r="B142" s="561"/>
      <c r="C142" s="586" t="s">
        <v>848</v>
      </c>
      <c r="D142" s="244">
        <f>SUM(D143)</f>
        <v>275000</v>
      </c>
      <c r="E142" s="244">
        <f>SUM(E143)</f>
        <v>100292.25</v>
      </c>
      <c r="F142" s="562">
        <f t="shared" si="5"/>
        <v>36.46990909090909</v>
      </c>
    </row>
    <row r="143" spans="1:6" s="569" customFormat="1" ht="27.75" customHeight="1">
      <c r="A143" s="691"/>
      <c r="B143" s="564" t="s">
        <v>850</v>
      </c>
      <c r="C143" s="570" t="s">
        <v>851</v>
      </c>
      <c r="D143" s="248">
        <f>SUM(D144)</f>
        <v>275000</v>
      </c>
      <c r="E143" s="248">
        <f>SUM(E144)</f>
        <v>100292.25</v>
      </c>
      <c r="F143" s="565">
        <f t="shared" si="5"/>
        <v>36.46990909090909</v>
      </c>
    </row>
    <row r="144" spans="1:6" s="576" customFormat="1" ht="18.75" customHeight="1">
      <c r="A144" s="691"/>
      <c r="B144" s="564"/>
      <c r="C144" s="241" t="s">
        <v>810</v>
      </c>
      <c r="D144" s="238">
        <v>275000</v>
      </c>
      <c r="E144" s="238">
        <v>100292.25</v>
      </c>
      <c r="F144" s="568">
        <f t="shared" si="5"/>
        <v>36.46990909090909</v>
      </c>
    </row>
    <row r="145" spans="1:6" s="576" customFormat="1" ht="11.25" customHeight="1">
      <c r="A145" s="691"/>
      <c r="B145" s="564"/>
      <c r="C145" s="573" t="s">
        <v>828</v>
      </c>
      <c r="D145" s="248"/>
      <c r="E145" s="248"/>
      <c r="F145" s="568"/>
    </row>
    <row r="146" spans="1:6" s="582" customFormat="1" ht="18.75" customHeight="1">
      <c r="A146" s="700"/>
      <c r="B146" s="632"/>
      <c r="C146" s="579" t="s">
        <v>830</v>
      </c>
      <c r="D146" s="580">
        <f>SUM(D147)</f>
        <v>150000</v>
      </c>
      <c r="E146" s="580">
        <f>SUM(E147)</f>
        <v>57934.35</v>
      </c>
      <c r="F146" s="581">
        <f t="shared" si="5"/>
        <v>38.6229</v>
      </c>
    </row>
    <row r="147" spans="1:6" s="576" customFormat="1" ht="18.75" customHeight="1">
      <c r="A147" s="701"/>
      <c r="B147" s="633"/>
      <c r="C147" s="583" t="s">
        <v>802</v>
      </c>
      <c r="D147" s="574">
        <v>150000</v>
      </c>
      <c r="E147" s="574">
        <v>57934.35</v>
      </c>
      <c r="F147" s="584">
        <f t="shared" si="5"/>
        <v>38.6229</v>
      </c>
    </row>
    <row r="148" spans="1:6" s="576" customFormat="1" ht="18.75" customHeight="1">
      <c r="A148" s="692" t="s">
        <v>121</v>
      </c>
      <c r="B148" s="561"/>
      <c r="C148" s="280" t="s">
        <v>854</v>
      </c>
      <c r="D148" s="244">
        <f>D149</f>
        <v>2481161</v>
      </c>
      <c r="E148" s="244">
        <f>E149</f>
        <v>697390.73</v>
      </c>
      <c r="F148" s="562">
        <f t="shared" si="5"/>
        <v>28.107435591644396</v>
      </c>
    </row>
    <row r="149" spans="1:6" s="576" customFormat="1" ht="29.25" customHeight="1">
      <c r="A149" s="691"/>
      <c r="B149" s="564" t="s">
        <v>855</v>
      </c>
      <c r="C149" s="570" t="s">
        <v>864</v>
      </c>
      <c r="D149" s="248">
        <f>D150</f>
        <v>2481161</v>
      </c>
      <c r="E149" s="248">
        <f>E150</f>
        <v>697390.73</v>
      </c>
      <c r="F149" s="565">
        <f t="shared" si="5"/>
        <v>28.107435591644396</v>
      </c>
    </row>
    <row r="150" spans="1:6" s="576" customFormat="1" ht="18.75" customHeight="1">
      <c r="A150" s="690"/>
      <c r="B150" s="567"/>
      <c r="C150" s="241" t="s">
        <v>810</v>
      </c>
      <c r="D150" s="238">
        <v>2481161</v>
      </c>
      <c r="E150" s="238">
        <v>697390.73</v>
      </c>
      <c r="F150" s="568">
        <f t="shared" si="5"/>
        <v>28.107435591644396</v>
      </c>
    </row>
    <row r="151" spans="1:6" s="126" customFormat="1" ht="12" customHeight="1">
      <c r="A151" s="689"/>
      <c r="B151" s="572"/>
      <c r="C151" s="573" t="s">
        <v>828</v>
      </c>
      <c r="D151" s="574"/>
      <c r="E151" s="574"/>
      <c r="F151" s="575"/>
    </row>
    <row r="152" spans="1:6" s="126" customFormat="1" ht="18.75" customHeight="1">
      <c r="A152" s="636"/>
      <c r="B152" s="578"/>
      <c r="C152" s="579" t="s">
        <v>865</v>
      </c>
      <c r="D152" s="580">
        <v>2481161</v>
      </c>
      <c r="E152" s="580">
        <v>697390.73</v>
      </c>
      <c r="F152" s="581">
        <f t="shared" si="5"/>
        <v>28.107435591644396</v>
      </c>
    </row>
    <row r="153" spans="1:6" s="126" customFormat="1" ht="18.75" customHeight="1">
      <c r="A153" s="692" t="s">
        <v>122</v>
      </c>
      <c r="B153" s="561"/>
      <c r="C153" s="586" t="s">
        <v>123</v>
      </c>
      <c r="D153" s="244">
        <f>SUM(D154)</f>
        <v>702747</v>
      </c>
      <c r="E153" s="244">
        <f>SUM(E154)</f>
        <v>0</v>
      </c>
      <c r="F153" s="562">
        <f t="shared" si="5"/>
        <v>0</v>
      </c>
    </row>
    <row r="154" spans="1:6" s="123" customFormat="1" ht="18.75" customHeight="1">
      <c r="A154" s="691"/>
      <c r="B154" s="564" t="s">
        <v>54</v>
      </c>
      <c r="C154" s="570" t="s">
        <v>55</v>
      </c>
      <c r="D154" s="248">
        <f>SUM(D155)</f>
        <v>702747</v>
      </c>
      <c r="E154" s="248">
        <f>SUM(E155)</f>
        <v>0</v>
      </c>
      <c r="F154" s="568">
        <f t="shared" si="5"/>
        <v>0</v>
      </c>
    </row>
    <row r="155" spans="1:6" s="123" customFormat="1" ht="18.75" customHeight="1">
      <c r="A155" s="690"/>
      <c r="B155" s="567"/>
      <c r="C155" s="241" t="s">
        <v>810</v>
      </c>
      <c r="D155" s="238">
        <v>702747</v>
      </c>
      <c r="E155" s="238">
        <v>0</v>
      </c>
      <c r="F155" s="565">
        <f t="shared" si="5"/>
        <v>0</v>
      </c>
    </row>
    <row r="156" spans="1:6" s="123" customFormat="1" ht="18.75" customHeight="1">
      <c r="A156" s="692" t="s">
        <v>124</v>
      </c>
      <c r="B156" s="561"/>
      <c r="C156" s="280" t="s">
        <v>125</v>
      </c>
      <c r="D156" s="244">
        <f>SUM(D157,D167,D173,D180,D188,D192,D194,D200)</f>
        <v>28089880</v>
      </c>
      <c r="E156" s="244">
        <f>SUM(E157,E167,E173,E180,E188,E192,E194,E200)</f>
        <v>13855536.24</v>
      </c>
      <c r="F156" s="562">
        <f t="shared" si="5"/>
        <v>49.32572243099651</v>
      </c>
    </row>
    <row r="157" spans="1:6" s="569" customFormat="1" ht="18.75" customHeight="1">
      <c r="A157" s="691"/>
      <c r="B157" s="564" t="s">
        <v>126</v>
      </c>
      <c r="C157" s="279" t="s">
        <v>127</v>
      </c>
      <c r="D157" s="248">
        <f>SUM(D158,D164)</f>
        <v>11915172</v>
      </c>
      <c r="E157" s="248">
        <f>SUM(E158,E164)</f>
        <v>6268657.98</v>
      </c>
      <c r="F157" s="565">
        <f t="shared" si="5"/>
        <v>52.6107216916382</v>
      </c>
    </row>
    <row r="158" spans="1:6" s="576" customFormat="1" ht="18.75" customHeight="1">
      <c r="A158" s="690"/>
      <c r="B158" s="567"/>
      <c r="C158" s="241" t="s">
        <v>810</v>
      </c>
      <c r="D158" s="238">
        <v>11645172</v>
      </c>
      <c r="E158" s="238">
        <v>6268657.98</v>
      </c>
      <c r="F158" s="568">
        <f t="shared" si="5"/>
        <v>53.83053148549459</v>
      </c>
    </row>
    <row r="159" spans="1:6" s="126" customFormat="1" ht="12" customHeight="1">
      <c r="A159" s="689"/>
      <c r="B159" s="572"/>
      <c r="C159" s="573" t="s">
        <v>828</v>
      </c>
      <c r="D159" s="574"/>
      <c r="E159" s="574"/>
      <c r="F159" s="575"/>
    </row>
    <row r="160" spans="1:6" s="126" customFormat="1" ht="18.75" customHeight="1">
      <c r="A160" s="636"/>
      <c r="B160" s="578"/>
      <c r="C160" s="579" t="s">
        <v>830</v>
      </c>
      <c r="D160" s="580">
        <f>SUM(D161,D162)</f>
        <v>9569691</v>
      </c>
      <c r="E160" s="580">
        <f>SUM(E161,E162)</f>
        <v>5137527.67</v>
      </c>
      <c r="F160" s="581">
        <f aca="true" t="shared" si="6" ref="F160:F186">E160/D160*100</f>
        <v>53.68540812864282</v>
      </c>
    </row>
    <row r="161" spans="1:6" s="123" customFormat="1" ht="18.75" customHeight="1">
      <c r="A161" s="689"/>
      <c r="B161" s="572"/>
      <c r="C161" s="583" t="s">
        <v>802</v>
      </c>
      <c r="D161" s="574">
        <v>7981038</v>
      </c>
      <c r="E161" s="574">
        <v>4439808.96</v>
      </c>
      <c r="F161" s="584">
        <f t="shared" si="6"/>
        <v>55.62946774592478</v>
      </c>
    </row>
    <row r="162" spans="1:6" s="123" customFormat="1" ht="18.75" customHeight="1">
      <c r="A162" s="689"/>
      <c r="B162" s="572"/>
      <c r="C162" s="583" t="s">
        <v>803</v>
      </c>
      <c r="D162" s="574">
        <v>1588653</v>
      </c>
      <c r="E162" s="574">
        <v>697718.71</v>
      </c>
      <c r="F162" s="584">
        <f t="shared" si="6"/>
        <v>43.91888662911283</v>
      </c>
    </row>
    <row r="163" spans="1:6" s="590" customFormat="1" ht="18.75" customHeight="1">
      <c r="A163" s="636"/>
      <c r="B163" s="578"/>
      <c r="C163" s="579" t="s">
        <v>831</v>
      </c>
      <c r="D163" s="580">
        <v>297419</v>
      </c>
      <c r="E163" s="580">
        <v>120594.18</v>
      </c>
      <c r="F163" s="581">
        <f t="shared" si="6"/>
        <v>40.54689848328452</v>
      </c>
    </row>
    <row r="164" spans="1:6" s="569" customFormat="1" ht="18.75" customHeight="1" thickBot="1">
      <c r="A164" s="801"/>
      <c r="B164" s="685"/>
      <c r="C164" s="695" t="s">
        <v>832</v>
      </c>
      <c r="D164" s="696">
        <v>270000</v>
      </c>
      <c r="E164" s="696">
        <v>0</v>
      </c>
      <c r="F164" s="697">
        <f t="shared" si="6"/>
        <v>0</v>
      </c>
    </row>
    <row r="165" spans="1:6" s="676" customFormat="1" ht="18.75" customHeight="1" thickBot="1">
      <c r="A165" s="596"/>
      <c r="B165" s="596"/>
      <c r="C165" s="237"/>
      <c r="D165" s="674"/>
      <c r="E165" s="674"/>
      <c r="F165" s="675"/>
    </row>
    <row r="166" spans="1:6" s="129" customFormat="1" ht="11.25" customHeight="1" thickBot="1">
      <c r="A166" s="1255">
        <v>1</v>
      </c>
      <c r="B166" s="1224">
        <v>2</v>
      </c>
      <c r="C166" s="1224">
        <v>3</v>
      </c>
      <c r="D166" s="1226">
        <v>4</v>
      </c>
      <c r="E166" s="1226">
        <v>5</v>
      </c>
      <c r="F166" s="1256">
        <v>6</v>
      </c>
    </row>
    <row r="167" spans="1:6" s="123" customFormat="1" ht="18.75" customHeight="1">
      <c r="A167" s="691"/>
      <c r="B167" s="564" t="s">
        <v>264</v>
      </c>
      <c r="C167" s="279" t="s">
        <v>265</v>
      </c>
      <c r="D167" s="248">
        <f>D168</f>
        <v>370972</v>
      </c>
      <c r="E167" s="248">
        <f>E168</f>
        <v>150228.93</v>
      </c>
      <c r="F167" s="565">
        <f>E167/D167*100</f>
        <v>40.49602934992399</v>
      </c>
    </row>
    <row r="168" spans="1:6" s="123" customFormat="1" ht="18.75" customHeight="1">
      <c r="A168" s="690"/>
      <c r="B168" s="567"/>
      <c r="C168" s="241" t="s">
        <v>810</v>
      </c>
      <c r="D168" s="238">
        <v>370972</v>
      </c>
      <c r="E168" s="238">
        <v>150228.93</v>
      </c>
      <c r="F168" s="568">
        <f>E168/D168*100</f>
        <v>40.49602934992399</v>
      </c>
    </row>
    <row r="169" spans="1:6" s="123" customFormat="1" ht="12" customHeight="1">
      <c r="A169" s="689"/>
      <c r="B169" s="572"/>
      <c r="C169" s="573" t="s">
        <v>828</v>
      </c>
      <c r="D169" s="574"/>
      <c r="E169" s="574"/>
      <c r="F169" s="575"/>
    </row>
    <row r="170" spans="1:6" s="126" customFormat="1" ht="18.75" customHeight="1">
      <c r="A170" s="636"/>
      <c r="B170" s="578"/>
      <c r="C170" s="579" t="s">
        <v>830</v>
      </c>
      <c r="D170" s="580">
        <f>SUM(D171,D172)</f>
        <v>295303</v>
      </c>
      <c r="E170" s="580">
        <f>SUM(E171,E172)</f>
        <v>133899.07</v>
      </c>
      <c r="F170" s="581">
        <f>E170/D170*100</f>
        <v>45.34294267244153</v>
      </c>
    </row>
    <row r="171" spans="1:6" s="123" customFormat="1" ht="18.75" customHeight="1">
      <c r="A171" s="689"/>
      <c r="B171" s="572"/>
      <c r="C171" s="583" t="s">
        <v>802</v>
      </c>
      <c r="D171" s="574">
        <v>246104</v>
      </c>
      <c r="E171" s="574">
        <v>115278.49</v>
      </c>
      <c r="F171" s="584">
        <f>E171/D171*100</f>
        <v>46.84137194031791</v>
      </c>
    </row>
    <row r="172" spans="1:6" s="123" customFormat="1" ht="18.75" customHeight="1">
      <c r="A172" s="689"/>
      <c r="B172" s="572"/>
      <c r="C172" s="583" t="s">
        <v>803</v>
      </c>
      <c r="D172" s="574">
        <v>49199</v>
      </c>
      <c r="E172" s="574">
        <v>18620.58</v>
      </c>
      <c r="F172" s="584">
        <f>E172/D172*100</f>
        <v>37.84747657472713</v>
      </c>
    </row>
    <row r="173" spans="1:6" s="576" customFormat="1" ht="18.75" customHeight="1">
      <c r="A173" s="691"/>
      <c r="B173" s="564" t="s">
        <v>868</v>
      </c>
      <c r="C173" s="279" t="s">
        <v>869</v>
      </c>
      <c r="D173" s="248">
        <f>SUM(D174,D177)</f>
        <v>5364323</v>
      </c>
      <c r="E173" s="248">
        <f>SUM(E174,E177)</f>
        <v>2852883.67</v>
      </c>
      <c r="F173" s="565">
        <f t="shared" si="6"/>
        <v>53.18254829174157</v>
      </c>
    </row>
    <row r="174" spans="1:6" s="576" customFormat="1" ht="18.75" customHeight="1">
      <c r="A174" s="690"/>
      <c r="B174" s="567"/>
      <c r="C174" s="241" t="s">
        <v>810</v>
      </c>
      <c r="D174" s="238">
        <v>5095323</v>
      </c>
      <c r="E174" s="238">
        <v>2589202</v>
      </c>
      <c r="F174" s="568">
        <f t="shared" si="6"/>
        <v>50.81526725587368</v>
      </c>
    </row>
    <row r="175" spans="1:6" s="576" customFormat="1" ht="12" customHeight="1">
      <c r="A175" s="689"/>
      <c r="B175" s="572"/>
      <c r="C175" s="573" t="s">
        <v>828</v>
      </c>
      <c r="D175" s="574"/>
      <c r="E175" s="574"/>
      <c r="F175" s="575"/>
    </row>
    <row r="176" spans="1:6" s="590" customFormat="1" ht="18.75" customHeight="1">
      <c r="A176" s="636"/>
      <c r="B176" s="578"/>
      <c r="C176" s="579" t="s">
        <v>831</v>
      </c>
      <c r="D176" s="580">
        <v>5095323</v>
      </c>
      <c r="E176" s="580">
        <v>2589202</v>
      </c>
      <c r="F176" s="581">
        <f t="shared" si="6"/>
        <v>50.81526725587368</v>
      </c>
    </row>
    <row r="177" spans="1:6" s="569" customFormat="1" ht="18.75" customHeight="1">
      <c r="A177" s="690"/>
      <c r="B177" s="567"/>
      <c r="C177" s="241" t="s">
        <v>832</v>
      </c>
      <c r="D177" s="238">
        <v>269000</v>
      </c>
      <c r="E177" s="238">
        <v>263681.67</v>
      </c>
      <c r="F177" s="568">
        <f t="shared" si="6"/>
        <v>98.02292565055761</v>
      </c>
    </row>
    <row r="178" spans="1:6" s="569" customFormat="1" ht="12" customHeight="1">
      <c r="A178" s="690"/>
      <c r="B178" s="567"/>
      <c r="C178" s="573" t="s">
        <v>828</v>
      </c>
      <c r="D178" s="574"/>
      <c r="E178" s="574"/>
      <c r="F178" s="575"/>
    </row>
    <row r="179" spans="1:6" s="569" customFormat="1" ht="18.75" customHeight="1">
      <c r="A179" s="690"/>
      <c r="B179" s="567"/>
      <c r="C179" s="579" t="s">
        <v>831</v>
      </c>
      <c r="D179" s="580">
        <v>83000</v>
      </c>
      <c r="E179" s="580">
        <v>83000</v>
      </c>
      <c r="F179" s="581">
        <f>E179/D179*100</f>
        <v>100</v>
      </c>
    </row>
    <row r="180" spans="1:6" s="576" customFormat="1" ht="18.75" customHeight="1">
      <c r="A180" s="691"/>
      <c r="B180" s="564" t="s">
        <v>128</v>
      </c>
      <c r="C180" s="279" t="s">
        <v>129</v>
      </c>
      <c r="D180" s="248">
        <f>SUM(D181,D187)</f>
        <v>7671183</v>
      </c>
      <c r="E180" s="248">
        <f>SUM(E181,E187)</f>
        <v>4078807.59</v>
      </c>
      <c r="F180" s="565">
        <f t="shared" si="6"/>
        <v>53.170516072944686</v>
      </c>
    </row>
    <row r="181" spans="1:6" s="576" customFormat="1" ht="18.75" customHeight="1">
      <c r="A181" s="690"/>
      <c r="B181" s="567"/>
      <c r="C181" s="241" t="s">
        <v>810</v>
      </c>
      <c r="D181" s="238">
        <v>7671183</v>
      </c>
      <c r="E181" s="238">
        <v>4078807.59</v>
      </c>
      <c r="F181" s="568">
        <f t="shared" si="6"/>
        <v>53.170516072944686</v>
      </c>
    </row>
    <row r="182" spans="1:6" s="576" customFormat="1" ht="12" customHeight="1">
      <c r="A182" s="689"/>
      <c r="B182" s="572"/>
      <c r="C182" s="573" t="s">
        <v>828</v>
      </c>
      <c r="D182" s="574"/>
      <c r="E182" s="574"/>
      <c r="F182" s="575"/>
    </row>
    <row r="183" spans="1:6" s="126" customFormat="1" ht="18.75" customHeight="1">
      <c r="A183" s="636"/>
      <c r="B183" s="578"/>
      <c r="C183" s="579" t="s">
        <v>830</v>
      </c>
      <c r="D183" s="580">
        <f>SUM(D184,D185)</f>
        <v>6013680</v>
      </c>
      <c r="E183" s="580">
        <f>SUM(E184,E185)</f>
        <v>3282488.98</v>
      </c>
      <c r="F183" s="581">
        <f t="shared" si="6"/>
        <v>54.58369883332668</v>
      </c>
    </row>
    <row r="184" spans="1:6" s="123" customFormat="1" ht="18.75" customHeight="1">
      <c r="A184" s="689"/>
      <c r="B184" s="572"/>
      <c r="C184" s="583" t="s">
        <v>802</v>
      </c>
      <c r="D184" s="574">
        <v>5083566</v>
      </c>
      <c r="E184" s="574">
        <v>2800094.16</v>
      </c>
      <c r="F184" s="584">
        <f t="shared" si="6"/>
        <v>55.081298442864714</v>
      </c>
    </row>
    <row r="185" spans="1:6" s="123" customFormat="1" ht="18.75" customHeight="1">
      <c r="A185" s="689"/>
      <c r="B185" s="572"/>
      <c r="C185" s="583" t="s">
        <v>803</v>
      </c>
      <c r="D185" s="574">
        <v>930114</v>
      </c>
      <c r="E185" s="574">
        <v>482394.82</v>
      </c>
      <c r="F185" s="584">
        <f t="shared" si="6"/>
        <v>51.86405322358335</v>
      </c>
    </row>
    <row r="186" spans="1:6" s="590" customFormat="1" ht="16.5" customHeight="1">
      <c r="A186" s="636"/>
      <c r="B186" s="578"/>
      <c r="C186" s="579" t="s">
        <v>831</v>
      </c>
      <c r="D186" s="580">
        <v>499013</v>
      </c>
      <c r="E186" s="580">
        <v>238055.32</v>
      </c>
      <c r="F186" s="581">
        <f t="shared" si="6"/>
        <v>47.70523413217692</v>
      </c>
    </row>
    <row r="187" spans="1:6" s="576" customFormat="1" ht="18.75" customHeight="1" hidden="1">
      <c r="A187" s="690"/>
      <c r="B187" s="567"/>
      <c r="C187" s="241" t="s">
        <v>832</v>
      </c>
      <c r="D187" s="238">
        <v>0</v>
      </c>
      <c r="E187" s="238">
        <v>0</v>
      </c>
      <c r="F187" s="568" t="e">
        <f>E187/D187*100</f>
        <v>#DIV/0!</v>
      </c>
    </row>
    <row r="188" spans="1:6" s="123" customFormat="1" ht="17.25" customHeight="1">
      <c r="A188" s="689"/>
      <c r="B188" s="564" t="s">
        <v>327</v>
      </c>
      <c r="C188" s="279" t="s">
        <v>328</v>
      </c>
      <c r="D188" s="248">
        <f>D189</f>
        <v>44000</v>
      </c>
      <c r="E188" s="248">
        <f>E189</f>
        <v>19296.99</v>
      </c>
      <c r="F188" s="565">
        <f>E188/D188*100</f>
        <v>43.85679545454546</v>
      </c>
    </row>
    <row r="189" spans="1:6" s="123" customFormat="1" ht="17.25" customHeight="1">
      <c r="A189" s="689"/>
      <c r="B189" s="567"/>
      <c r="C189" s="241" t="s">
        <v>810</v>
      </c>
      <c r="D189" s="238">
        <v>44000</v>
      </c>
      <c r="E189" s="238">
        <v>19296.99</v>
      </c>
      <c r="F189" s="568">
        <f>E189/D189*100</f>
        <v>43.85679545454546</v>
      </c>
    </row>
    <row r="190" spans="1:6" s="576" customFormat="1" ht="12" customHeight="1">
      <c r="A190" s="689"/>
      <c r="B190" s="572"/>
      <c r="C190" s="573" t="s">
        <v>828</v>
      </c>
      <c r="D190" s="574"/>
      <c r="E190" s="574"/>
      <c r="F190" s="575"/>
    </row>
    <row r="191" spans="1:6" s="590" customFormat="1" ht="16.5" customHeight="1">
      <c r="A191" s="636"/>
      <c r="B191" s="578"/>
      <c r="C191" s="579" t="s">
        <v>831</v>
      </c>
      <c r="D191" s="580">
        <v>10000</v>
      </c>
      <c r="E191" s="580">
        <v>6000</v>
      </c>
      <c r="F191" s="581">
        <f>E191/D191*100</f>
        <v>60</v>
      </c>
    </row>
    <row r="192" spans="1:6" s="123" customFormat="1" ht="18.75" customHeight="1">
      <c r="A192" s="691"/>
      <c r="B192" s="564" t="s">
        <v>908</v>
      </c>
      <c r="C192" s="279" t="s">
        <v>909</v>
      </c>
      <c r="D192" s="248">
        <f>D193</f>
        <v>92210</v>
      </c>
      <c r="E192" s="248">
        <f>E193</f>
        <v>23631.03</v>
      </c>
      <c r="F192" s="565">
        <f aca="true" t="shared" si="7" ref="F192:F210">E192/D192*100</f>
        <v>25.627404836785594</v>
      </c>
    </row>
    <row r="193" spans="1:6" s="569" customFormat="1" ht="18.75" customHeight="1">
      <c r="A193" s="690"/>
      <c r="B193" s="567"/>
      <c r="C193" s="241" t="s">
        <v>810</v>
      </c>
      <c r="D193" s="238">
        <v>92210</v>
      </c>
      <c r="E193" s="238">
        <v>23631.03</v>
      </c>
      <c r="F193" s="568">
        <f t="shared" si="7"/>
        <v>25.627404836785594</v>
      </c>
    </row>
    <row r="194" spans="1:6" s="123" customFormat="1" ht="18.75" customHeight="1">
      <c r="A194" s="691"/>
      <c r="B194" s="564" t="s">
        <v>637</v>
      </c>
      <c r="C194" s="570" t="s">
        <v>638</v>
      </c>
      <c r="D194" s="248">
        <f>SUM(D195)</f>
        <v>944046</v>
      </c>
      <c r="E194" s="248">
        <f>SUM(E195)</f>
        <v>333726.97</v>
      </c>
      <c r="F194" s="565">
        <f t="shared" si="7"/>
        <v>35.3507106645227</v>
      </c>
    </row>
    <row r="195" spans="1:6" s="576" customFormat="1" ht="18.75" customHeight="1">
      <c r="A195" s="690"/>
      <c r="B195" s="567"/>
      <c r="C195" s="241" t="s">
        <v>810</v>
      </c>
      <c r="D195" s="238">
        <v>944046</v>
      </c>
      <c r="E195" s="238">
        <v>333726.97</v>
      </c>
      <c r="F195" s="568">
        <f>E195/D195*100</f>
        <v>35.3507106645227</v>
      </c>
    </row>
    <row r="196" spans="1:6" s="123" customFormat="1" ht="12" customHeight="1">
      <c r="A196" s="689"/>
      <c r="B196" s="572"/>
      <c r="C196" s="573" t="s">
        <v>828</v>
      </c>
      <c r="D196" s="574"/>
      <c r="E196" s="574"/>
      <c r="F196" s="575"/>
    </row>
    <row r="197" spans="1:6" s="590" customFormat="1" ht="18.75" customHeight="1">
      <c r="A197" s="636"/>
      <c r="B197" s="578"/>
      <c r="C197" s="579" t="s">
        <v>830</v>
      </c>
      <c r="D197" s="580">
        <f>SUM(D198,D199)</f>
        <v>586614</v>
      </c>
      <c r="E197" s="580">
        <f>SUM(E198,E199)</f>
        <v>283384.04</v>
      </c>
      <c r="F197" s="581">
        <f>E197/D197*100</f>
        <v>48.30843450718871</v>
      </c>
    </row>
    <row r="198" spans="1:6" s="569" customFormat="1" ht="18.75" customHeight="1">
      <c r="A198" s="689"/>
      <c r="B198" s="572"/>
      <c r="C198" s="583" t="s">
        <v>802</v>
      </c>
      <c r="D198" s="574">
        <v>495879</v>
      </c>
      <c r="E198" s="574">
        <v>243265.68</v>
      </c>
      <c r="F198" s="584">
        <f>E198/D198*100</f>
        <v>49.05746764835776</v>
      </c>
    </row>
    <row r="199" spans="1:6" s="569" customFormat="1" ht="18.75" customHeight="1">
      <c r="A199" s="689"/>
      <c r="B199" s="572"/>
      <c r="C199" s="583" t="s">
        <v>803</v>
      </c>
      <c r="D199" s="574">
        <v>90735</v>
      </c>
      <c r="E199" s="574">
        <v>40118.36</v>
      </c>
      <c r="F199" s="584">
        <f>E199/D199*100</f>
        <v>44.21486747120736</v>
      </c>
    </row>
    <row r="200" spans="1:6" s="576" customFormat="1" ht="18.75" customHeight="1">
      <c r="A200" s="691"/>
      <c r="B200" s="564" t="s">
        <v>910</v>
      </c>
      <c r="C200" s="279" t="s">
        <v>74</v>
      </c>
      <c r="D200" s="248">
        <f>SUM(D201,D207)</f>
        <v>1687974</v>
      </c>
      <c r="E200" s="248">
        <f>SUM(E201,E207)</f>
        <v>128303.08</v>
      </c>
      <c r="F200" s="565">
        <f t="shared" si="7"/>
        <v>7.6010104421039655</v>
      </c>
    </row>
    <row r="201" spans="1:6" s="576" customFormat="1" ht="18.75" customHeight="1">
      <c r="A201" s="690"/>
      <c r="B201" s="567"/>
      <c r="C201" s="241" t="s">
        <v>810</v>
      </c>
      <c r="D201" s="238">
        <v>1687974</v>
      </c>
      <c r="E201" s="238">
        <v>128303.08</v>
      </c>
      <c r="F201" s="568">
        <f t="shared" si="7"/>
        <v>7.6010104421039655</v>
      </c>
    </row>
    <row r="202" spans="1:6" s="123" customFormat="1" ht="12" customHeight="1">
      <c r="A202" s="689"/>
      <c r="B202" s="572"/>
      <c r="C202" s="573" t="s">
        <v>828</v>
      </c>
      <c r="D202" s="574"/>
      <c r="E202" s="574"/>
      <c r="F202" s="575"/>
    </row>
    <row r="203" spans="1:6" s="590" customFormat="1" ht="18.75" customHeight="1">
      <c r="A203" s="636"/>
      <c r="B203" s="578"/>
      <c r="C203" s="579" t="s">
        <v>830</v>
      </c>
      <c r="D203" s="580">
        <f>SUM(D204,D205)</f>
        <v>1135359</v>
      </c>
      <c r="E203" s="580">
        <f>SUM(E204,E205)</f>
        <v>51.84</v>
      </c>
      <c r="F203" s="581">
        <f t="shared" si="7"/>
        <v>0.0045659566709736745</v>
      </c>
    </row>
    <row r="204" spans="1:6" s="569" customFormat="1" ht="18.75" customHeight="1">
      <c r="A204" s="689"/>
      <c r="B204" s="572"/>
      <c r="C204" s="583" t="s">
        <v>802</v>
      </c>
      <c r="D204" s="574">
        <v>892036</v>
      </c>
      <c r="E204" s="574">
        <v>51.84</v>
      </c>
      <c r="F204" s="584">
        <f t="shared" si="7"/>
        <v>0.005811424651023054</v>
      </c>
    </row>
    <row r="205" spans="1:6" s="569" customFormat="1" ht="18.75" customHeight="1">
      <c r="A205" s="689"/>
      <c r="B205" s="572"/>
      <c r="C205" s="583" t="s">
        <v>803</v>
      </c>
      <c r="D205" s="574">
        <v>243323</v>
      </c>
      <c r="E205" s="574">
        <v>0</v>
      </c>
      <c r="F205" s="584">
        <f t="shared" si="7"/>
        <v>0</v>
      </c>
    </row>
    <row r="206" spans="1:6" s="590" customFormat="1" ht="16.5" customHeight="1" thickBot="1">
      <c r="A206" s="802"/>
      <c r="B206" s="794"/>
      <c r="C206" s="702" t="s">
        <v>831</v>
      </c>
      <c r="D206" s="643">
        <v>20000</v>
      </c>
      <c r="E206" s="643">
        <v>0</v>
      </c>
      <c r="F206" s="644">
        <f>E206/D206*100</f>
        <v>0</v>
      </c>
    </row>
    <row r="207" spans="1:6" s="576" customFormat="1" ht="18.75" customHeight="1" hidden="1">
      <c r="A207" s="566"/>
      <c r="B207" s="567"/>
      <c r="C207" s="241" t="s">
        <v>832</v>
      </c>
      <c r="D207" s="238">
        <v>0</v>
      </c>
      <c r="E207" s="238">
        <v>0</v>
      </c>
      <c r="F207" s="568" t="e">
        <f>E207/D207*100</f>
        <v>#DIV/0!</v>
      </c>
    </row>
    <row r="208" spans="1:6" s="673" customFormat="1" ht="28.5" customHeight="1" thickBot="1">
      <c r="A208" s="599"/>
      <c r="B208" s="599"/>
      <c r="C208" s="237"/>
      <c r="D208" s="674"/>
      <c r="E208" s="674"/>
      <c r="F208" s="675"/>
    </row>
    <row r="209" spans="1:6" s="129" customFormat="1" ht="11.25" customHeight="1" thickBot="1">
      <c r="A209" s="1255">
        <v>1</v>
      </c>
      <c r="B209" s="1224">
        <v>2</v>
      </c>
      <c r="C209" s="1224">
        <v>3</v>
      </c>
      <c r="D209" s="1226">
        <v>4</v>
      </c>
      <c r="E209" s="1226">
        <v>5</v>
      </c>
      <c r="F209" s="1256">
        <v>6</v>
      </c>
    </row>
    <row r="210" spans="1:6" s="123" customFormat="1" ht="18.75" customHeight="1">
      <c r="A210" s="692" t="s">
        <v>133</v>
      </c>
      <c r="B210" s="561"/>
      <c r="C210" s="280" t="s">
        <v>134</v>
      </c>
      <c r="D210" s="244">
        <f>SUM(D211,D218,D225,D231,D239)</f>
        <v>1998741</v>
      </c>
      <c r="E210" s="244">
        <f>SUM(E211,E218,E225,E231,E239)</f>
        <v>1076556.19</v>
      </c>
      <c r="F210" s="562">
        <f t="shared" si="7"/>
        <v>53.86171544987569</v>
      </c>
    </row>
    <row r="211" spans="1:6" s="576" customFormat="1" ht="18.75" customHeight="1">
      <c r="A211" s="691"/>
      <c r="B211" s="564" t="s">
        <v>915</v>
      </c>
      <c r="C211" s="634" t="s">
        <v>916</v>
      </c>
      <c r="D211" s="601">
        <f>D212</f>
        <v>40900</v>
      </c>
      <c r="E211" s="601">
        <f>E212</f>
        <v>7818.98</v>
      </c>
      <c r="F211" s="565">
        <f aca="true" t="shared" si="8" ref="F211:F266">E211/D211*100</f>
        <v>19.117310513447432</v>
      </c>
    </row>
    <row r="212" spans="1:6" s="569" customFormat="1" ht="18.75" customHeight="1">
      <c r="A212" s="690"/>
      <c r="B212" s="567"/>
      <c r="C212" s="241" t="s">
        <v>810</v>
      </c>
      <c r="D212" s="238">
        <v>40900</v>
      </c>
      <c r="E212" s="238">
        <v>7818.98</v>
      </c>
      <c r="F212" s="568">
        <f t="shared" si="8"/>
        <v>19.117310513447432</v>
      </c>
    </row>
    <row r="213" spans="1:6" s="576" customFormat="1" ht="12" customHeight="1">
      <c r="A213" s="689"/>
      <c r="B213" s="572"/>
      <c r="C213" s="573" t="s">
        <v>828</v>
      </c>
      <c r="D213" s="574"/>
      <c r="E213" s="574"/>
      <c r="F213" s="575"/>
    </row>
    <row r="214" spans="1:6" s="582" customFormat="1" ht="15.75" customHeight="1">
      <c r="A214" s="636"/>
      <c r="B214" s="578"/>
      <c r="C214" s="579" t="s">
        <v>830</v>
      </c>
      <c r="D214" s="580">
        <f>SUM(D215,D216)</f>
        <v>11600</v>
      </c>
      <c r="E214" s="580">
        <f>SUM(E215,E216)</f>
        <v>2901</v>
      </c>
      <c r="F214" s="581">
        <f t="shared" si="8"/>
        <v>25.00862068965517</v>
      </c>
    </row>
    <row r="215" spans="1:6" s="576" customFormat="1" ht="15.75" customHeight="1">
      <c r="A215" s="689"/>
      <c r="B215" s="572"/>
      <c r="C215" s="583" t="s">
        <v>802</v>
      </c>
      <c r="D215" s="574">
        <v>11600</v>
      </c>
      <c r="E215" s="574">
        <v>2901</v>
      </c>
      <c r="F215" s="584">
        <f t="shared" si="8"/>
        <v>25.00862068965517</v>
      </c>
    </row>
    <row r="216" spans="1:6" s="576" customFormat="1" ht="15.75" customHeight="1" hidden="1">
      <c r="A216" s="689"/>
      <c r="B216" s="572"/>
      <c r="C216" s="583" t="s">
        <v>803</v>
      </c>
      <c r="D216" s="574"/>
      <c r="E216" s="574"/>
      <c r="F216" s="584" t="e">
        <f>E216/D216*100</f>
        <v>#DIV/0!</v>
      </c>
    </row>
    <row r="217" spans="1:6" s="582" customFormat="1" ht="18.75" customHeight="1" hidden="1">
      <c r="A217" s="636"/>
      <c r="B217" s="578"/>
      <c r="C217" s="579" t="s">
        <v>831</v>
      </c>
      <c r="D217" s="580"/>
      <c r="E217" s="580"/>
      <c r="F217" s="581" t="e">
        <f t="shared" si="8"/>
        <v>#DIV/0!</v>
      </c>
    </row>
    <row r="218" spans="1:6" s="123" customFormat="1" ht="18.75" customHeight="1">
      <c r="A218" s="691"/>
      <c r="B218" s="564" t="s">
        <v>917</v>
      </c>
      <c r="C218" s="570" t="s">
        <v>918</v>
      </c>
      <c r="D218" s="248">
        <f>SUM(D219)</f>
        <v>14000</v>
      </c>
      <c r="E218" s="248">
        <f>SUM(E219)</f>
        <v>12202.25</v>
      </c>
      <c r="F218" s="568">
        <f t="shared" si="8"/>
        <v>87.15892857142858</v>
      </c>
    </row>
    <row r="219" spans="1:6" s="569" customFormat="1" ht="18.75" customHeight="1">
      <c r="A219" s="689"/>
      <c r="B219" s="572"/>
      <c r="C219" s="241" t="s">
        <v>810</v>
      </c>
      <c r="D219" s="238">
        <v>14000</v>
      </c>
      <c r="E219" s="238">
        <v>12202.25</v>
      </c>
      <c r="F219" s="568">
        <f t="shared" si="8"/>
        <v>87.15892857142858</v>
      </c>
    </row>
    <row r="220" spans="1:6" s="569" customFormat="1" ht="12.75" customHeight="1">
      <c r="A220" s="689"/>
      <c r="B220" s="572"/>
      <c r="C220" s="573" t="s">
        <v>828</v>
      </c>
      <c r="D220" s="574"/>
      <c r="E220" s="574"/>
      <c r="F220" s="575"/>
    </row>
    <row r="221" spans="1:6" s="590" customFormat="1" ht="18" customHeight="1" hidden="1">
      <c r="A221" s="636"/>
      <c r="B221" s="578"/>
      <c r="C221" s="579" t="s">
        <v>830</v>
      </c>
      <c r="D221" s="580">
        <f>SUM(D222,D223)</f>
        <v>0</v>
      </c>
      <c r="E221" s="580">
        <f>SUM(E222,E223)</f>
        <v>0</v>
      </c>
      <c r="F221" s="581" t="e">
        <f>E221/D221*100</f>
        <v>#DIV/0!</v>
      </c>
    </row>
    <row r="222" spans="1:6" s="569" customFormat="1" ht="18" customHeight="1" hidden="1">
      <c r="A222" s="689"/>
      <c r="B222" s="572"/>
      <c r="C222" s="583" t="s">
        <v>802</v>
      </c>
      <c r="D222" s="574">
        <v>0</v>
      </c>
      <c r="E222" s="574">
        <v>0</v>
      </c>
      <c r="F222" s="584" t="e">
        <f>E222/D222*100</f>
        <v>#DIV/0!</v>
      </c>
    </row>
    <row r="223" spans="1:6" s="569" customFormat="1" ht="18" customHeight="1" hidden="1">
      <c r="A223" s="689"/>
      <c r="B223" s="572"/>
      <c r="C223" s="583" t="s">
        <v>803</v>
      </c>
      <c r="D223" s="574">
        <v>0</v>
      </c>
      <c r="E223" s="574">
        <v>0</v>
      </c>
      <c r="F223" s="584" t="e">
        <f>E223/D223*100</f>
        <v>#DIV/0!</v>
      </c>
    </row>
    <row r="224" spans="1:6" s="590" customFormat="1" ht="18" customHeight="1">
      <c r="A224" s="636"/>
      <c r="B224" s="578"/>
      <c r="C224" s="579" t="s">
        <v>831</v>
      </c>
      <c r="D224" s="580">
        <v>9000</v>
      </c>
      <c r="E224" s="580">
        <v>9000</v>
      </c>
      <c r="F224" s="581">
        <f>E224/D224*100</f>
        <v>100</v>
      </c>
    </row>
    <row r="225" spans="1:6" s="576" customFormat="1" ht="18.75" customHeight="1">
      <c r="A225" s="691"/>
      <c r="B225" s="564" t="s">
        <v>919</v>
      </c>
      <c r="C225" s="570" t="s">
        <v>920</v>
      </c>
      <c r="D225" s="248">
        <f>SUM(D226)</f>
        <v>36120</v>
      </c>
      <c r="E225" s="248">
        <f>SUM(E226)</f>
        <v>11901.12</v>
      </c>
      <c r="F225" s="568">
        <f t="shared" si="8"/>
        <v>32.948837209302326</v>
      </c>
    </row>
    <row r="226" spans="1:6" s="576" customFormat="1" ht="18.75" customHeight="1">
      <c r="A226" s="690"/>
      <c r="B226" s="567"/>
      <c r="C226" s="241" t="s">
        <v>810</v>
      </c>
      <c r="D226" s="238">
        <v>36120</v>
      </c>
      <c r="E226" s="238">
        <v>11901.12</v>
      </c>
      <c r="F226" s="568">
        <f t="shared" si="8"/>
        <v>32.948837209302326</v>
      </c>
    </row>
    <row r="227" spans="1:6" s="576" customFormat="1" ht="10.5" customHeight="1">
      <c r="A227" s="690"/>
      <c r="B227" s="567"/>
      <c r="C227" s="573" t="s">
        <v>828</v>
      </c>
      <c r="D227" s="574"/>
      <c r="E227" s="574"/>
      <c r="F227" s="575"/>
    </row>
    <row r="228" spans="1:6" s="590" customFormat="1" ht="18" customHeight="1" hidden="1">
      <c r="A228" s="636"/>
      <c r="B228" s="578"/>
      <c r="C228" s="579" t="s">
        <v>830</v>
      </c>
      <c r="D228" s="580">
        <f>SUM(D229)</f>
        <v>0</v>
      </c>
      <c r="E228" s="580">
        <f>SUM(E229)</f>
        <v>0</v>
      </c>
      <c r="F228" s="581" t="e">
        <f>E228/D228*100</f>
        <v>#DIV/0!</v>
      </c>
    </row>
    <row r="229" spans="1:6" s="569" customFormat="1" ht="18" customHeight="1" hidden="1">
      <c r="A229" s="689"/>
      <c r="B229" s="572"/>
      <c r="C229" s="583" t="s">
        <v>802</v>
      </c>
      <c r="D229" s="574">
        <v>0</v>
      </c>
      <c r="E229" s="574">
        <v>0</v>
      </c>
      <c r="F229" s="584" t="e">
        <f>E229/D229*100</f>
        <v>#DIV/0!</v>
      </c>
    </row>
    <row r="230" spans="1:6" s="582" customFormat="1" ht="18.75" customHeight="1">
      <c r="A230" s="693"/>
      <c r="B230" s="594"/>
      <c r="C230" s="579" t="s">
        <v>831</v>
      </c>
      <c r="D230" s="580">
        <v>18450</v>
      </c>
      <c r="E230" s="580">
        <v>9102</v>
      </c>
      <c r="F230" s="581">
        <f>E230/D230*100</f>
        <v>49.333333333333336</v>
      </c>
    </row>
    <row r="231" spans="1:6" s="576" customFormat="1" ht="18.75" customHeight="1">
      <c r="A231" s="691"/>
      <c r="B231" s="564" t="s">
        <v>135</v>
      </c>
      <c r="C231" s="279" t="s">
        <v>136</v>
      </c>
      <c r="D231" s="248">
        <f>D232+D238</f>
        <v>1753821</v>
      </c>
      <c r="E231" s="248">
        <f>E232+E238</f>
        <v>1034080.4099999999</v>
      </c>
      <c r="F231" s="565">
        <f t="shared" si="8"/>
        <v>58.96157076463333</v>
      </c>
    </row>
    <row r="232" spans="1:6" s="576" customFormat="1" ht="18.75" customHeight="1">
      <c r="A232" s="690"/>
      <c r="B232" s="567"/>
      <c r="C232" s="241" t="s">
        <v>810</v>
      </c>
      <c r="D232" s="238">
        <v>513821</v>
      </c>
      <c r="E232" s="238">
        <v>167007.19</v>
      </c>
      <c r="F232" s="568">
        <f t="shared" si="8"/>
        <v>32.50299034099424</v>
      </c>
    </row>
    <row r="233" spans="1:6" s="576" customFormat="1" ht="12" customHeight="1">
      <c r="A233" s="689"/>
      <c r="B233" s="572"/>
      <c r="C233" s="573" t="s">
        <v>828</v>
      </c>
      <c r="D233" s="574"/>
      <c r="E233" s="574"/>
      <c r="F233" s="575"/>
    </row>
    <row r="234" spans="1:6" s="582" customFormat="1" ht="18.75" customHeight="1">
      <c r="A234" s="636"/>
      <c r="B234" s="578"/>
      <c r="C234" s="579" t="s">
        <v>830</v>
      </c>
      <c r="D234" s="580">
        <f>SUM(D235,D236)</f>
        <v>213502</v>
      </c>
      <c r="E234" s="580">
        <f>SUM(E235,E236)</f>
        <v>76147.76</v>
      </c>
      <c r="F234" s="581">
        <f t="shared" si="8"/>
        <v>35.66606401813566</v>
      </c>
    </row>
    <row r="235" spans="1:6" s="576" customFormat="1" ht="18.75" customHeight="1">
      <c r="A235" s="689"/>
      <c r="B235" s="572"/>
      <c r="C235" s="583" t="s">
        <v>802</v>
      </c>
      <c r="D235" s="574">
        <v>186057</v>
      </c>
      <c r="E235" s="574">
        <v>68570.29</v>
      </c>
      <c r="F235" s="584">
        <f t="shared" si="8"/>
        <v>36.85445320520056</v>
      </c>
    </row>
    <row r="236" spans="1:6" s="576" customFormat="1" ht="18.75" customHeight="1">
      <c r="A236" s="689"/>
      <c r="B236" s="572"/>
      <c r="C236" s="583" t="s">
        <v>803</v>
      </c>
      <c r="D236" s="574">
        <v>27445</v>
      </c>
      <c r="E236" s="574">
        <v>7577.47</v>
      </c>
      <c r="F236" s="584">
        <f t="shared" si="8"/>
        <v>27.60965567498634</v>
      </c>
    </row>
    <row r="237" spans="1:6" s="582" customFormat="1" ht="17.25" customHeight="1">
      <c r="A237" s="636"/>
      <c r="B237" s="578"/>
      <c r="C237" s="579" t="s">
        <v>831</v>
      </c>
      <c r="D237" s="580">
        <v>91338</v>
      </c>
      <c r="E237" s="580">
        <v>27500</v>
      </c>
      <c r="F237" s="581">
        <f t="shared" si="8"/>
        <v>30.10795068865095</v>
      </c>
    </row>
    <row r="238" spans="1:6" s="123" customFormat="1" ht="18.75" customHeight="1">
      <c r="A238" s="690"/>
      <c r="B238" s="567"/>
      <c r="C238" s="241" t="s">
        <v>832</v>
      </c>
      <c r="D238" s="238">
        <v>1240000</v>
      </c>
      <c r="E238" s="238">
        <v>867073.22</v>
      </c>
      <c r="F238" s="568">
        <f t="shared" si="8"/>
        <v>69.92525967741935</v>
      </c>
    </row>
    <row r="239" spans="1:6" s="569" customFormat="1" ht="18.75" customHeight="1">
      <c r="A239" s="691"/>
      <c r="B239" s="564" t="s">
        <v>921</v>
      </c>
      <c r="C239" s="279" t="s">
        <v>74</v>
      </c>
      <c r="D239" s="248">
        <f>SUM(D240)</f>
        <v>153900</v>
      </c>
      <c r="E239" s="248">
        <f>SUM(E240)</f>
        <v>10553.43</v>
      </c>
      <c r="F239" s="565">
        <f t="shared" si="8"/>
        <v>6.857329434697856</v>
      </c>
    </row>
    <row r="240" spans="1:6" s="576" customFormat="1" ht="18.75" customHeight="1">
      <c r="A240" s="690"/>
      <c r="B240" s="567"/>
      <c r="C240" s="241" t="s">
        <v>810</v>
      </c>
      <c r="D240" s="238">
        <v>153900</v>
      </c>
      <c r="E240" s="238">
        <v>10553.43</v>
      </c>
      <c r="F240" s="568">
        <f t="shared" si="8"/>
        <v>6.857329434697856</v>
      </c>
    </row>
    <row r="241" spans="1:6" s="123" customFormat="1" ht="11.25" customHeight="1">
      <c r="A241" s="690"/>
      <c r="B241" s="567"/>
      <c r="C241" s="573" t="s">
        <v>828</v>
      </c>
      <c r="D241" s="574"/>
      <c r="E241" s="574"/>
      <c r="F241" s="575"/>
    </row>
    <row r="242" spans="1:6" s="126" customFormat="1" ht="18.75" customHeight="1">
      <c r="A242" s="693"/>
      <c r="B242" s="594"/>
      <c r="C242" s="579" t="s">
        <v>830</v>
      </c>
      <c r="D242" s="580">
        <f>SUM(D243)</f>
        <v>21480</v>
      </c>
      <c r="E242" s="580">
        <f>SUM(E243)</f>
        <v>5980.25</v>
      </c>
      <c r="F242" s="581">
        <f>E242/D242*100</f>
        <v>27.841014897579143</v>
      </c>
    </row>
    <row r="243" spans="1:6" s="123" customFormat="1" ht="18.75" customHeight="1">
      <c r="A243" s="690"/>
      <c r="B243" s="567"/>
      <c r="C243" s="583" t="s">
        <v>802</v>
      </c>
      <c r="D243" s="574">
        <v>21480</v>
      </c>
      <c r="E243" s="574">
        <v>5980.25</v>
      </c>
      <c r="F243" s="584">
        <f>E243/D243*100</f>
        <v>27.841014897579143</v>
      </c>
    </row>
    <row r="244" spans="1:6" s="582" customFormat="1" ht="17.25" customHeight="1">
      <c r="A244" s="636"/>
      <c r="B244" s="578"/>
      <c r="C244" s="579" t="s">
        <v>831</v>
      </c>
      <c r="D244" s="580">
        <v>20000</v>
      </c>
      <c r="E244" s="580">
        <v>0</v>
      </c>
      <c r="F244" s="581">
        <f>E244/D244*100</f>
        <v>0</v>
      </c>
    </row>
    <row r="245" spans="1:6" s="576" customFormat="1" ht="18.75" customHeight="1">
      <c r="A245" s="692" t="s">
        <v>610</v>
      </c>
      <c r="B245" s="561"/>
      <c r="C245" s="280" t="s">
        <v>922</v>
      </c>
      <c r="D245" s="244">
        <f>SUM(D246,D253,D255,D259,D267,D269,D274,D276,D283,D289)</f>
        <v>12923147</v>
      </c>
      <c r="E245" s="244">
        <f>SUM(E246,E253,E255,E259,E267,E269,E274,E276,E283,E289)</f>
        <v>5696829.580000001</v>
      </c>
      <c r="F245" s="562">
        <f t="shared" si="8"/>
        <v>44.08237080333452</v>
      </c>
    </row>
    <row r="246" spans="1:6" s="123" customFormat="1" ht="18.75" customHeight="1" hidden="1">
      <c r="A246" s="691"/>
      <c r="B246" s="564" t="s">
        <v>611</v>
      </c>
      <c r="C246" s="279" t="s">
        <v>923</v>
      </c>
      <c r="D246" s="248">
        <f>D247</f>
        <v>0</v>
      </c>
      <c r="E246" s="248">
        <f>E247</f>
        <v>0</v>
      </c>
      <c r="F246" s="565" t="e">
        <f t="shared" si="8"/>
        <v>#DIV/0!</v>
      </c>
    </row>
    <row r="247" spans="1:6" s="569" customFormat="1" ht="18.75" customHeight="1" hidden="1">
      <c r="A247" s="690"/>
      <c r="B247" s="567"/>
      <c r="C247" s="241" t="s">
        <v>810</v>
      </c>
      <c r="D247" s="238">
        <v>0</v>
      </c>
      <c r="E247" s="238">
        <v>0</v>
      </c>
      <c r="F247" s="568" t="e">
        <f t="shared" si="8"/>
        <v>#DIV/0!</v>
      </c>
    </row>
    <row r="248" spans="1:6" s="569" customFormat="1" ht="12" customHeight="1" hidden="1">
      <c r="A248" s="690"/>
      <c r="B248" s="567"/>
      <c r="C248" s="573" t="s">
        <v>828</v>
      </c>
      <c r="D248" s="574"/>
      <c r="E248" s="574"/>
      <c r="F248" s="575"/>
    </row>
    <row r="249" spans="1:6" s="590" customFormat="1" ht="19.5" customHeight="1" hidden="1">
      <c r="A249" s="693"/>
      <c r="B249" s="594"/>
      <c r="C249" s="579" t="s">
        <v>830</v>
      </c>
      <c r="D249" s="580">
        <f>SUM(D250,D251)</f>
        <v>0</v>
      </c>
      <c r="E249" s="580">
        <f>SUM(E250,E251)</f>
        <v>0</v>
      </c>
      <c r="F249" s="581" t="e">
        <f>E249/D249*100</f>
        <v>#DIV/0!</v>
      </c>
    </row>
    <row r="250" spans="1:6" s="569" customFormat="1" ht="19.5" customHeight="1" hidden="1">
      <c r="A250" s="690"/>
      <c r="B250" s="567"/>
      <c r="C250" s="583" t="s">
        <v>802</v>
      </c>
      <c r="D250" s="574">
        <v>0</v>
      </c>
      <c r="E250" s="574">
        <v>0</v>
      </c>
      <c r="F250" s="584" t="e">
        <f>E250/D250*100</f>
        <v>#DIV/0!</v>
      </c>
    </row>
    <row r="251" spans="1:6" s="569" customFormat="1" ht="19.5" customHeight="1" hidden="1">
      <c r="A251" s="690"/>
      <c r="B251" s="567"/>
      <c r="C251" s="583" t="s">
        <v>803</v>
      </c>
      <c r="D251" s="574">
        <v>0</v>
      </c>
      <c r="E251" s="574">
        <v>0</v>
      </c>
      <c r="F251" s="584" t="e">
        <f>E251/D251*100</f>
        <v>#DIV/0!</v>
      </c>
    </row>
    <row r="252" spans="1:6" s="590" customFormat="1" ht="18.75" customHeight="1" hidden="1">
      <c r="A252" s="693"/>
      <c r="B252" s="594"/>
      <c r="C252" s="579" t="s">
        <v>831</v>
      </c>
      <c r="D252" s="580">
        <v>0</v>
      </c>
      <c r="E252" s="580">
        <v>0</v>
      </c>
      <c r="F252" s="581" t="e">
        <f>E252/D252*100</f>
        <v>#DIV/0!</v>
      </c>
    </row>
    <row r="253" spans="1:6" s="576" customFormat="1" ht="18.75" customHeight="1">
      <c r="A253" s="691"/>
      <c r="B253" s="564" t="s">
        <v>924</v>
      </c>
      <c r="C253" s="570" t="s">
        <v>925</v>
      </c>
      <c r="D253" s="248">
        <f>SUM(D254)</f>
        <v>316800</v>
      </c>
      <c r="E253" s="248">
        <f>SUM(E254)</f>
        <v>130946.6</v>
      </c>
      <c r="F253" s="568">
        <f t="shared" si="8"/>
        <v>41.334154040404044</v>
      </c>
    </row>
    <row r="254" spans="1:6" s="126" customFormat="1" ht="18.75" customHeight="1">
      <c r="A254" s="689"/>
      <c r="B254" s="572"/>
      <c r="C254" s="241" t="s">
        <v>810</v>
      </c>
      <c r="D254" s="238">
        <v>316800</v>
      </c>
      <c r="E254" s="238">
        <v>130946.6</v>
      </c>
      <c r="F254" s="568">
        <f t="shared" si="8"/>
        <v>41.334154040404044</v>
      </c>
    </row>
    <row r="255" spans="1:6" s="569" customFormat="1" ht="18.75" customHeight="1">
      <c r="A255" s="691"/>
      <c r="B255" s="564" t="s">
        <v>622</v>
      </c>
      <c r="C255" s="279" t="s">
        <v>387</v>
      </c>
      <c r="D255" s="248">
        <f>SUM(D256)</f>
        <v>142000</v>
      </c>
      <c r="E255" s="248">
        <f>SUM(E256)</f>
        <v>63900</v>
      </c>
      <c r="F255" s="565">
        <f t="shared" si="8"/>
        <v>45</v>
      </c>
    </row>
    <row r="256" spans="1:6" s="576" customFormat="1" ht="18.75" customHeight="1">
      <c r="A256" s="690"/>
      <c r="B256" s="567"/>
      <c r="C256" s="241" t="s">
        <v>810</v>
      </c>
      <c r="D256" s="238">
        <v>142000</v>
      </c>
      <c r="E256" s="238">
        <v>63900</v>
      </c>
      <c r="F256" s="568">
        <f t="shared" si="8"/>
        <v>45</v>
      </c>
    </row>
    <row r="257" spans="1:6" s="576" customFormat="1" ht="14.25" customHeight="1">
      <c r="A257" s="690"/>
      <c r="B257" s="567"/>
      <c r="C257" s="573" t="s">
        <v>828</v>
      </c>
      <c r="D257" s="574"/>
      <c r="E257" s="574"/>
      <c r="F257" s="575"/>
    </row>
    <row r="258" spans="1:6" s="582" customFormat="1" ht="18.75" customHeight="1">
      <c r="A258" s="693"/>
      <c r="B258" s="594"/>
      <c r="C258" s="579" t="s">
        <v>831</v>
      </c>
      <c r="D258" s="580">
        <v>142000</v>
      </c>
      <c r="E258" s="580">
        <v>63900</v>
      </c>
      <c r="F258" s="581">
        <f>E258/D258*100</f>
        <v>45</v>
      </c>
    </row>
    <row r="259" spans="1:6" s="123" customFormat="1" ht="40.5" customHeight="1">
      <c r="A259" s="691"/>
      <c r="B259" s="564" t="s">
        <v>612</v>
      </c>
      <c r="C259" s="570" t="s">
        <v>849</v>
      </c>
      <c r="D259" s="248">
        <f>SUM(D260)</f>
        <v>5732000</v>
      </c>
      <c r="E259" s="248">
        <f>SUM(E260)</f>
        <v>2717578.49</v>
      </c>
      <c r="F259" s="568">
        <f t="shared" si="8"/>
        <v>47.41065055826937</v>
      </c>
    </row>
    <row r="260" spans="1:6" s="569" customFormat="1" ht="16.5" customHeight="1" thickBot="1">
      <c r="A260" s="803"/>
      <c r="B260" s="795"/>
      <c r="C260" s="695" t="s">
        <v>810</v>
      </c>
      <c r="D260" s="696">
        <v>5732000</v>
      </c>
      <c r="E260" s="696">
        <v>2717578.49</v>
      </c>
      <c r="F260" s="697">
        <f t="shared" si="8"/>
        <v>47.41065055826937</v>
      </c>
    </row>
    <row r="261" spans="1:6" s="676" customFormat="1" ht="40.5" customHeight="1" thickBot="1">
      <c r="A261" s="598"/>
      <c r="B261" s="598"/>
      <c r="C261" s="237"/>
      <c r="D261" s="674"/>
      <c r="E261" s="674"/>
      <c r="F261" s="675"/>
    </row>
    <row r="262" spans="1:6" s="129" customFormat="1" ht="11.25" customHeight="1" thickBot="1">
      <c r="A262" s="1255">
        <v>1</v>
      </c>
      <c r="B262" s="1224">
        <v>2</v>
      </c>
      <c r="C262" s="1224">
        <v>3</v>
      </c>
      <c r="D262" s="1226">
        <v>4</v>
      </c>
      <c r="E262" s="1226">
        <v>5</v>
      </c>
      <c r="F262" s="1256">
        <v>6</v>
      </c>
    </row>
    <row r="263" spans="1:6" s="576" customFormat="1" ht="12" customHeight="1">
      <c r="A263" s="691"/>
      <c r="B263" s="564"/>
      <c r="C263" s="573" t="s">
        <v>828</v>
      </c>
      <c r="D263" s="248"/>
      <c r="E263" s="248"/>
      <c r="F263" s="595"/>
    </row>
    <row r="264" spans="1:6" s="582" customFormat="1" ht="18.75" customHeight="1">
      <c r="A264" s="692"/>
      <c r="B264" s="561"/>
      <c r="C264" s="579" t="s">
        <v>830</v>
      </c>
      <c r="D264" s="580">
        <f>SUM(D265,D266)</f>
        <v>232457</v>
      </c>
      <c r="E264" s="580">
        <f>SUM(E265,E266)</f>
        <v>99753.22</v>
      </c>
      <c r="F264" s="581">
        <f t="shared" si="8"/>
        <v>42.912547266806335</v>
      </c>
    </row>
    <row r="265" spans="1:6" s="576" customFormat="1" ht="17.25" customHeight="1">
      <c r="A265" s="691"/>
      <c r="B265" s="564"/>
      <c r="C265" s="583" t="s">
        <v>802</v>
      </c>
      <c r="D265" s="574">
        <v>133978</v>
      </c>
      <c r="E265" s="574">
        <v>69173.52</v>
      </c>
      <c r="F265" s="584">
        <f t="shared" si="8"/>
        <v>51.630506501067345</v>
      </c>
    </row>
    <row r="266" spans="1:6" s="576" customFormat="1" ht="16.5" customHeight="1">
      <c r="A266" s="691"/>
      <c r="B266" s="564"/>
      <c r="C266" s="583" t="s">
        <v>803</v>
      </c>
      <c r="D266" s="574">
        <v>98479</v>
      </c>
      <c r="E266" s="574">
        <v>30579.7</v>
      </c>
      <c r="F266" s="584">
        <f t="shared" si="8"/>
        <v>31.052000934209325</v>
      </c>
    </row>
    <row r="267" spans="1:6" s="123" customFormat="1" ht="65.25" customHeight="1">
      <c r="A267" s="691"/>
      <c r="B267" s="591" t="s">
        <v>613</v>
      </c>
      <c r="C267" s="570" t="s">
        <v>347</v>
      </c>
      <c r="D267" s="248">
        <f>D268</f>
        <v>80000</v>
      </c>
      <c r="E267" s="248">
        <f>E268</f>
        <v>30892.48</v>
      </c>
      <c r="F267" s="565">
        <f aca="true" t="shared" si="9" ref="F267:F281">E267/D267*100</f>
        <v>38.6156</v>
      </c>
    </row>
    <row r="268" spans="1:6" s="123" customFormat="1" ht="18.75" customHeight="1">
      <c r="A268" s="690"/>
      <c r="B268" s="567"/>
      <c r="C268" s="241" t="s">
        <v>810</v>
      </c>
      <c r="D268" s="238">
        <v>80000</v>
      </c>
      <c r="E268" s="238">
        <v>30892.48</v>
      </c>
      <c r="F268" s="568">
        <f t="shared" si="9"/>
        <v>38.6156</v>
      </c>
    </row>
    <row r="269" spans="1:6" s="123" customFormat="1" ht="30" customHeight="1">
      <c r="A269" s="691"/>
      <c r="B269" s="591" t="s">
        <v>614</v>
      </c>
      <c r="C269" s="570" t="s">
        <v>796</v>
      </c>
      <c r="D269" s="248">
        <f>D270</f>
        <v>2164000</v>
      </c>
      <c r="E269" s="248">
        <f>E270</f>
        <v>780949.53</v>
      </c>
      <c r="F269" s="565">
        <f t="shared" si="9"/>
        <v>36.08824075785582</v>
      </c>
    </row>
    <row r="270" spans="1:6" s="576" customFormat="1" ht="18.75" customHeight="1">
      <c r="A270" s="690"/>
      <c r="B270" s="567"/>
      <c r="C270" s="241" t="s">
        <v>810</v>
      </c>
      <c r="D270" s="238">
        <v>2164000</v>
      </c>
      <c r="E270" s="238">
        <v>780949.53</v>
      </c>
      <c r="F270" s="568">
        <f t="shared" si="9"/>
        <v>36.08824075785582</v>
      </c>
    </row>
    <row r="271" spans="1:6" s="576" customFormat="1" ht="12.75" customHeight="1">
      <c r="A271" s="691"/>
      <c r="B271" s="564"/>
      <c r="C271" s="573" t="s">
        <v>828</v>
      </c>
      <c r="D271" s="248"/>
      <c r="E271" s="248"/>
      <c r="F271" s="595"/>
    </row>
    <row r="272" spans="1:6" s="582" customFormat="1" ht="18.75" customHeight="1">
      <c r="A272" s="692"/>
      <c r="B272" s="561"/>
      <c r="C272" s="579" t="s">
        <v>830</v>
      </c>
      <c r="D272" s="580">
        <f>SUM(D273)</f>
        <v>1500</v>
      </c>
      <c r="E272" s="580">
        <f>SUM(E273)</f>
        <v>447.9</v>
      </c>
      <c r="F272" s="581">
        <f>E272/D272*100</f>
        <v>29.86</v>
      </c>
    </row>
    <row r="273" spans="1:6" s="576" customFormat="1" ht="18.75" customHeight="1">
      <c r="A273" s="691"/>
      <c r="B273" s="564"/>
      <c r="C273" s="583" t="s">
        <v>803</v>
      </c>
      <c r="D273" s="574">
        <v>1500</v>
      </c>
      <c r="E273" s="574">
        <v>447.9</v>
      </c>
      <c r="F273" s="584">
        <f>E273/D273*100</f>
        <v>29.86</v>
      </c>
    </row>
    <row r="274" spans="1:6" s="123" customFormat="1" ht="18.75" customHeight="1">
      <c r="A274" s="691"/>
      <c r="B274" s="564" t="s">
        <v>615</v>
      </c>
      <c r="C274" s="279" t="s">
        <v>143</v>
      </c>
      <c r="D274" s="248">
        <f>D275</f>
        <v>1049200</v>
      </c>
      <c r="E274" s="248">
        <f>E275</f>
        <v>474763.33</v>
      </c>
      <c r="F274" s="565">
        <f t="shared" si="9"/>
        <v>45.25003145253527</v>
      </c>
    </row>
    <row r="275" spans="1:6" s="569" customFormat="1" ht="18.75" customHeight="1">
      <c r="A275" s="690"/>
      <c r="B275" s="567"/>
      <c r="C275" s="241" t="s">
        <v>810</v>
      </c>
      <c r="D275" s="238">
        <v>1049200</v>
      </c>
      <c r="E275" s="238">
        <v>474763.33</v>
      </c>
      <c r="F275" s="568">
        <f t="shared" si="9"/>
        <v>45.25003145253527</v>
      </c>
    </row>
    <row r="276" spans="1:6" s="569" customFormat="1" ht="18.75" customHeight="1">
      <c r="A276" s="691"/>
      <c r="B276" s="564" t="s">
        <v>616</v>
      </c>
      <c r="C276" s="570" t="s">
        <v>145</v>
      </c>
      <c r="D276" s="248">
        <f>D277+D282</f>
        <v>1485000</v>
      </c>
      <c r="E276" s="248">
        <f>E277+E282</f>
        <v>772546.51</v>
      </c>
      <c r="F276" s="565">
        <f t="shared" si="9"/>
        <v>52.02333400673401</v>
      </c>
    </row>
    <row r="277" spans="1:6" s="576" customFormat="1" ht="16.5" customHeight="1">
      <c r="A277" s="690"/>
      <c r="B277" s="567"/>
      <c r="C277" s="241" t="s">
        <v>810</v>
      </c>
      <c r="D277" s="238">
        <v>1474200</v>
      </c>
      <c r="E277" s="238">
        <v>768746.51</v>
      </c>
      <c r="F277" s="568">
        <f t="shared" si="9"/>
        <v>52.146690408357074</v>
      </c>
    </row>
    <row r="278" spans="1:6" s="123" customFormat="1" ht="12" customHeight="1">
      <c r="A278" s="689"/>
      <c r="B278" s="572"/>
      <c r="C278" s="573" t="s">
        <v>828</v>
      </c>
      <c r="D278" s="574"/>
      <c r="E278" s="574"/>
      <c r="F278" s="575"/>
    </row>
    <row r="279" spans="1:6" s="590" customFormat="1" ht="18.75" customHeight="1">
      <c r="A279" s="636"/>
      <c r="B279" s="578"/>
      <c r="C279" s="579" t="s">
        <v>830</v>
      </c>
      <c r="D279" s="580">
        <f>SUM(D280,D281)</f>
        <v>1179223</v>
      </c>
      <c r="E279" s="580">
        <f>SUM(E280,E281)</f>
        <v>612445.6699999999</v>
      </c>
      <c r="F279" s="581">
        <f t="shared" si="9"/>
        <v>51.936374205726985</v>
      </c>
    </row>
    <row r="280" spans="1:6" s="569" customFormat="1" ht="18.75" customHeight="1">
      <c r="A280" s="689"/>
      <c r="B280" s="572"/>
      <c r="C280" s="583" t="s">
        <v>802</v>
      </c>
      <c r="D280" s="574">
        <v>988305</v>
      </c>
      <c r="E280" s="574">
        <v>538372.47</v>
      </c>
      <c r="F280" s="584">
        <f t="shared" si="9"/>
        <v>54.47432422177364</v>
      </c>
    </row>
    <row r="281" spans="1:6" s="569" customFormat="1" ht="18.75" customHeight="1">
      <c r="A281" s="689"/>
      <c r="B281" s="572"/>
      <c r="C281" s="583" t="s">
        <v>803</v>
      </c>
      <c r="D281" s="574">
        <v>190918</v>
      </c>
      <c r="E281" s="574">
        <v>74073.2</v>
      </c>
      <c r="F281" s="584">
        <f t="shared" si="9"/>
        <v>38.79843702531977</v>
      </c>
    </row>
    <row r="282" spans="1:6" s="576" customFormat="1" ht="18.75" customHeight="1">
      <c r="A282" s="690"/>
      <c r="B282" s="567"/>
      <c r="C282" s="241" t="s">
        <v>832</v>
      </c>
      <c r="D282" s="238">
        <v>10800</v>
      </c>
      <c r="E282" s="238">
        <v>3800</v>
      </c>
      <c r="F282" s="595">
        <f>E282/D282*100</f>
        <v>35.18518518518518</v>
      </c>
    </row>
    <row r="283" spans="1:6" s="576" customFormat="1" ht="18.75" customHeight="1">
      <c r="A283" s="691"/>
      <c r="B283" s="564" t="s">
        <v>618</v>
      </c>
      <c r="C283" s="570" t="s">
        <v>148</v>
      </c>
      <c r="D283" s="248">
        <f>D284</f>
        <v>759747</v>
      </c>
      <c r="E283" s="248">
        <f>E284</f>
        <v>345118.86</v>
      </c>
      <c r="F283" s="565">
        <f>E283/D283*100</f>
        <v>45.42549822506703</v>
      </c>
    </row>
    <row r="284" spans="1:6" s="123" customFormat="1" ht="18.75" customHeight="1">
      <c r="A284" s="690"/>
      <c r="B284" s="567"/>
      <c r="C284" s="241" t="s">
        <v>810</v>
      </c>
      <c r="D284" s="238">
        <v>759747</v>
      </c>
      <c r="E284" s="238">
        <v>345118.86</v>
      </c>
      <c r="F284" s="568">
        <f>E284/D284*100</f>
        <v>45.42549822506703</v>
      </c>
    </row>
    <row r="285" spans="1:6" s="569" customFormat="1" ht="12" customHeight="1">
      <c r="A285" s="689"/>
      <c r="B285" s="572"/>
      <c r="C285" s="573" t="s">
        <v>828</v>
      </c>
      <c r="D285" s="574"/>
      <c r="E285" s="574"/>
      <c r="F285" s="575"/>
    </row>
    <row r="286" spans="1:6" s="582" customFormat="1" ht="17.25" customHeight="1">
      <c r="A286" s="636"/>
      <c r="B286" s="578"/>
      <c r="C286" s="579" t="s">
        <v>830</v>
      </c>
      <c r="D286" s="580">
        <f>SUM(D287,D288)</f>
        <v>703490</v>
      </c>
      <c r="E286" s="580">
        <f>SUM(E287,E288)</f>
        <v>311399.66</v>
      </c>
      <c r="F286" s="581">
        <f aca="true" t="shared" si="10" ref="F286:F297">E286/D286*100</f>
        <v>44.26497320502068</v>
      </c>
    </row>
    <row r="287" spans="1:6" s="576" customFormat="1" ht="17.25" customHeight="1">
      <c r="A287" s="689"/>
      <c r="B287" s="572"/>
      <c r="C287" s="583" t="s">
        <v>802</v>
      </c>
      <c r="D287" s="574">
        <v>589278</v>
      </c>
      <c r="E287" s="574">
        <v>271392.41</v>
      </c>
      <c r="F287" s="584">
        <f t="shared" si="10"/>
        <v>46.055072478524565</v>
      </c>
    </row>
    <row r="288" spans="1:6" s="576" customFormat="1" ht="17.25" customHeight="1">
      <c r="A288" s="689"/>
      <c r="B288" s="572"/>
      <c r="C288" s="583" t="s">
        <v>803</v>
      </c>
      <c r="D288" s="574">
        <v>114212</v>
      </c>
      <c r="E288" s="574">
        <v>40007.25</v>
      </c>
      <c r="F288" s="584">
        <f t="shared" si="10"/>
        <v>35.02893741463244</v>
      </c>
    </row>
    <row r="289" spans="1:6" s="569" customFormat="1" ht="18.75" customHeight="1">
      <c r="A289" s="691"/>
      <c r="B289" s="564" t="s">
        <v>620</v>
      </c>
      <c r="C289" s="279" t="s">
        <v>74</v>
      </c>
      <c r="D289" s="248">
        <f>SUM(D290,D294)</f>
        <v>1194400</v>
      </c>
      <c r="E289" s="248">
        <f>SUM(E290,E294)</f>
        <v>380133.78</v>
      </c>
      <c r="F289" s="565">
        <f t="shared" si="10"/>
        <v>31.826337910247826</v>
      </c>
    </row>
    <row r="290" spans="1:6" s="576" customFormat="1" ht="18.75" customHeight="1">
      <c r="A290" s="690"/>
      <c r="B290" s="567"/>
      <c r="C290" s="241" t="s">
        <v>810</v>
      </c>
      <c r="D290" s="238">
        <v>358400</v>
      </c>
      <c r="E290" s="238">
        <v>224330.89</v>
      </c>
      <c r="F290" s="568">
        <f t="shared" si="10"/>
        <v>62.59232421875001</v>
      </c>
    </row>
    <row r="291" spans="1:6" s="569" customFormat="1" ht="12" customHeight="1" hidden="1">
      <c r="A291" s="689"/>
      <c r="B291" s="572"/>
      <c r="C291" s="573" t="s">
        <v>828</v>
      </c>
      <c r="D291" s="574"/>
      <c r="E291" s="574"/>
      <c r="F291" s="575"/>
    </row>
    <row r="292" spans="1:6" s="582" customFormat="1" ht="17.25" customHeight="1" hidden="1">
      <c r="A292" s="636"/>
      <c r="B292" s="578"/>
      <c r="C292" s="579" t="s">
        <v>830</v>
      </c>
      <c r="D292" s="580">
        <f>SUM(D293)</f>
        <v>0</v>
      </c>
      <c r="E292" s="580">
        <f>SUM(E293)</f>
        <v>0</v>
      </c>
      <c r="F292" s="581" t="e">
        <f>E292/D292*100</f>
        <v>#DIV/0!</v>
      </c>
    </row>
    <row r="293" spans="1:6" s="576" customFormat="1" ht="17.25" customHeight="1" hidden="1">
      <c r="A293" s="689"/>
      <c r="B293" s="572"/>
      <c r="C293" s="583" t="s">
        <v>802</v>
      </c>
      <c r="D293" s="574"/>
      <c r="E293" s="574">
        <v>0</v>
      </c>
      <c r="F293" s="584" t="e">
        <f>E293/D293*100</f>
        <v>#DIV/0!</v>
      </c>
    </row>
    <row r="294" spans="1:6" s="576" customFormat="1" ht="18.75" customHeight="1">
      <c r="A294" s="690"/>
      <c r="B294" s="567"/>
      <c r="C294" s="241" t="s">
        <v>832</v>
      </c>
      <c r="D294" s="238">
        <v>836000</v>
      </c>
      <c r="E294" s="238">
        <v>155802.89</v>
      </c>
      <c r="F294" s="568">
        <f t="shared" si="10"/>
        <v>18.636709330143542</v>
      </c>
    </row>
    <row r="295" spans="1:6" s="569" customFormat="1" ht="27" customHeight="1">
      <c r="A295" s="692" t="s">
        <v>137</v>
      </c>
      <c r="B295" s="561"/>
      <c r="C295" s="586" t="s">
        <v>930</v>
      </c>
      <c r="D295" s="244">
        <f>SUM(D296,D305)</f>
        <v>1325833</v>
      </c>
      <c r="E295" s="244">
        <f>SUM(E296,E305)</f>
        <v>525770.38</v>
      </c>
      <c r="F295" s="562">
        <f t="shared" si="10"/>
        <v>39.655852584752374</v>
      </c>
    </row>
    <row r="296" spans="1:6" s="576" customFormat="1" ht="18.75" customHeight="1">
      <c r="A296" s="691"/>
      <c r="B296" s="564" t="s">
        <v>138</v>
      </c>
      <c r="C296" s="570" t="s">
        <v>931</v>
      </c>
      <c r="D296" s="248">
        <f>SUM(D297,D302)</f>
        <v>575259</v>
      </c>
      <c r="E296" s="248">
        <f>SUM(E297,E302)</f>
        <v>260066.38</v>
      </c>
      <c r="F296" s="565">
        <f t="shared" si="10"/>
        <v>45.208572138810524</v>
      </c>
    </row>
    <row r="297" spans="1:6" s="576" customFormat="1" ht="18.75" customHeight="1">
      <c r="A297" s="690"/>
      <c r="B297" s="567"/>
      <c r="C297" s="241" t="s">
        <v>810</v>
      </c>
      <c r="D297" s="238">
        <v>565259</v>
      </c>
      <c r="E297" s="238">
        <v>255186.38</v>
      </c>
      <c r="F297" s="565">
        <f t="shared" si="10"/>
        <v>45.145036169260464</v>
      </c>
    </row>
    <row r="298" spans="1:6" s="576" customFormat="1" ht="12" customHeight="1">
      <c r="A298" s="690"/>
      <c r="B298" s="567"/>
      <c r="C298" s="573" t="s">
        <v>828</v>
      </c>
      <c r="D298" s="238"/>
      <c r="E298" s="238"/>
      <c r="F298" s="595"/>
    </row>
    <row r="299" spans="1:6" s="126" customFormat="1" ht="18.75" customHeight="1">
      <c r="A299" s="693"/>
      <c r="B299" s="594"/>
      <c r="C299" s="579" t="s">
        <v>830</v>
      </c>
      <c r="D299" s="580">
        <f>SUM(D300,D301)</f>
        <v>518569</v>
      </c>
      <c r="E299" s="580">
        <f>SUM(E300,E301)</f>
        <v>244219.08000000002</v>
      </c>
      <c r="F299" s="581">
        <f aca="true" t="shared" si="11" ref="F299:F306">E299/D299*100</f>
        <v>47.094808983953925</v>
      </c>
    </row>
    <row r="300" spans="1:6" s="123" customFormat="1" ht="18" customHeight="1">
      <c r="A300" s="690"/>
      <c r="B300" s="567"/>
      <c r="C300" s="583" t="s">
        <v>802</v>
      </c>
      <c r="D300" s="635">
        <v>434536</v>
      </c>
      <c r="E300" s="635">
        <v>211250.42</v>
      </c>
      <c r="F300" s="584">
        <f t="shared" si="11"/>
        <v>48.61517112506214</v>
      </c>
    </row>
    <row r="301" spans="1:6" s="123" customFormat="1" ht="18.75" customHeight="1">
      <c r="A301" s="690"/>
      <c r="B301" s="567"/>
      <c r="C301" s="583" t="s">
        <v>803</v>
      </c>
      <c r="D301" s="635">
        <v>84033</v>
      </c>
      <c r="E301" s="635">
        <v>32968.66</v>
      </c>
      <c r="F301" s="584">
        <f t="shared" si="11"/>
        <v>39.23299180084015</v>
      </c>
    </row>
    <row r="302" spans="1:6" s="123" customFormat="1" ht="16.5" customHeight="1" thickBot="1">
      <c r="A302" s="800"/>
      <c r="B302" s="704"/>
      <c r="C302" s="695" t="s">
        <v>832</v>
      </c>
      <c r="D302" s="703">
        <v>10000</v>
      </c>
      <c r="E302" s="703">
        <v>4880</v>
      </c>
      <c r="F302" s="697">
        <f t="shared" si="11"/>
        <v>48.8</v>
      </c>
    </row>
    <row r="303" spans="1:6" s="677" customFormat="1" ht="11.25" customHeight="1" thickBot="1">
      <c r="A303" s="599"/>
      <c r="B303" s="599"/>
      <c r="C303" s="237"/>
      <c r="D303" s="674"/>
      <c r="E303" s="674"/>
      <c r="F303" s="675"/>
    </row>
    <row r="304" spans="1:6" s="129" customFormat="1" ht="11.25" customHeight="1" thickBot="1">
      <c r="A304" s="1255">
        <v>1</v>
      </c>
      <c r="B304" s="1224">
        <v>2</v>
      </c>
      <c r="C304" s="1224">
        <v>3</v>
      </c>
      <c r="D304" s="1226">
        <v>4</v>
      </c>
      <c r="E304" s="1226">
        <v>5</v>
      </c>
      <c r="F304" s="1256">
        <v>6</v>
      </c>
    </row>
    <row r="305" spans="1:6" s="569" customFormat="1" ht="18.75" customHeight="1">
      <c r="A305" s="691"/>
      <c r="B305" s="564" t="s">
        <v>934</v>
      </c>
      <c r="C305" s="570" t="s">
        <v>74</v>
      </c>
      <c r="D305" s="248">
        <f>SUM(D306)</f>
        <v>750574</v>
      </c>
      <c r="E305" s="248">
        <f>SUM(E306)</f>
        <v>265704</v>
      </c>
      <c r="F305" s="565">
        <f t="shared" si="11"/>
        <v>35.40010711801901</v>
      </c>
    </row>
    <row r="306" spans="1:6" s="569" customFormat="1" ht="18.75" customHeight="1">
      <c r="A306" s="689"/>
      <c r="B306" s="572"/>
      <c r="C306" s="241" t="s">
        <v>810</v>
      </c>
      <c r="D306" s="238">
        <v>750574</v>
      </c>
      <c r="E306" s="238">
        <v>265704</v>
      </c>
      <c r="F306" s="568">
        <f t="shared" si="11"/>
        <v>35.40010711801901</v>
      </c>
    </row>
    <row r="307" spans="1:6" s="569" customFormat="1" ht="12" customHeight="1">
      <c r="A307" s="690"/>
      <c r="B307" s="567"/>
      <c r="C307" s="573" t="s">
        <v>828</v>
      </c>
      <c r="D307" s="574"/>
      <c r="E307" s="574"/>
      <c r="F307" s="584"/>
    </row>
    <row r="308" spans="1:6" s="126" customFormat="1" ht="18.75" customHeight="1">
      <c r="A308" s="693"/>
      <c r="B308" s="594"/>
      <c r="C308" s="579" t="s">
        <v>830</v>
      </c>
      <c r="D308" s="580">
        <f>SUM(D309,D310)</f>
        <v>89240</v>
      </c>
      <c r="E308" s="580">
        <f>SUM(E309,E310)</f>
        <v>0</v>
      </c>
      <c r="F308" s="581">
        <f aca="true" t="shared" si="12" ref="F308:F314">E308/D308*100</f>
        <v>0</v>
      </c>
    </row>
    <row r="309" spans="1:6" s="123" customFormat="1" ht="18.75" customHeight="1">
      <c r="A309" s="690"/>
      <c r="B309" s="567"/>
      <c r="C309" s="583" t="s">
        <v>802</v>
      </c>
      <c r="D309" s="635">
        <v>78152</v>
      </c>
      <c r="E309" s="635">
        <v>0</v>
      </c>
      <c r="F309" s="584">
        <f t="shared" si="12"/>
        <v>0</v>
      </c>
    </row>
    <row r="310" spans="1:6" s="123" customFormat="1" ht="18.75" customHeight="1">
      <c r="A310" s="690"/>
      <c r="B310" s="567"/>
      <c r="C310" s="583" t="s">
        <v>803</v>
      </c>
      <c r="D310" s="635">
        <v>11088</v>
      </c>
      <c r="E310" s="635">
        <v>0</v>
      </c>
      <c r="F310" s="584">
        <f t="shared" si="12"/>
        <v>0</v>
      </c>
    </row>
    <row r="311" spans="1:6" s="590" customFormat="1" ht="18.75" customHeight="1">
      <c r="A311" s="693"/>
      <c r="B311" s="594"/>
      <c r="C311" s="579" t="s">
        <v>831</v>
      </c>
      <c r="D311" s="580">
        <v>500000</v>
      </c>
      <c r="E311" s="580">
        <v>249992</v>
      </c>
      <c r="F311" s="581">
        <f t="shared" si="12"/>
        <v>49.9984</v>
      </c>
    </row>
    <row r="312" spans="1:6" s="569" customFormat="1" ht="18.75" customHeight="1">
      <c r="A312" s="692" t="s">
        <v>149</v>
      </c>
      <c r="B312" s="561"/>
      <c r="C312" s="586" t="s">
        <v>153</v>
      </c>
      <c r="D312" s="244">
        <f>SUM(D313,D319,D326,D328,D330)</f>
        <v>2334527</v>
      </c>
      <c r="E312" s="244">
        <f>SUM(E313,E319,E326,E328,E330)</f>
        <v>957628.53</v>
      </c>
      <c r="F312" s="562">
        <f t="shared" si="12"/>
        <v>41.02023793256621</v>
      </c>
    </row>
    <row r="313" spans="1:6" s="569" customFormat="1" ht="18.75" customHeight="1">
      <c r="A313" s="691"/>
      <c r="B313" s="564" t="s">
        <v>935</v>
      </c>
      <c r="C313" s="570" t="s">
        <v>936</v>
      </c>
      <c r="D313" s="248">
        <f>SUM(D314)</f>
        <v>640099</v>
      </c>
      <c r="E313" s="248">
        <f>SUM(E314)</f>
        <v>300604.18</v>
      </c>
      <c r="F313" s="565">
        <f t="shared" si="12"/>
        <v>46.962138669174614</v>
      </c>
    </row>
    <row r="314" spans="1:6" s="569" customFormat="1" ht="18.75" customHeight="1">
      <c r="A314" s="690"/>
      <c r="B314" s="567"/>
      <c r="C314" s="241" t="s">
        <v>810</v>
      </c>
      <c r="D314" s="238">
        <v>640099</v>
      </c>
      <c r="E314" s="238">
        <v>300604.18</v>
      </c>
      <c r="F314" s="568">
        <f t="shared" si="12"/>
        <v>46.962138669174614</v>
      </c>
    </row>
    <row r="315" spans="1:6" s="569" customFormat="1" ht="12" customHeight="1">
      <c r="A315" s="689"/>
      <c r="B315" s="572"/>
      <c r="C315" s="573" t="s">
        <v>828</v>
      </c>
      <c r="D315" s="574"/>
      <c r="E315" s="574"/>
      <c r="F315" s="575"/>
    </row>
    <row r="316" spans="1:6" s="590" customFormat="1" ht="18.75" customHeight="1">
      <c r="A316" s="636"/>
      <c r="B316" s="578"/>
      <c r="C316" s="579" t="s">
        <v>830</v>
      </c>
      <c r="D316" s="580">
        <f>SUM(D317,D318)</f>
        <v>483542</v>
      </c>
      <c r="E316" s="580">
        <f>SUM(E317,E318)</f>
        <v>256549.61</v>
      </c>
      <c r="F316" s="581">
        <f>E316/D316*100</f>
        <v>53.05632395944922</v>
      </c>
    </row>
    <row r="317" spans="1:6" s="569" customFormat="1" ht="18.75" customHeight="1">
      <c r="A317" s="689"/>
      <c r="B317" s="572"/>
      <c r="C317" s="583" t="s">
        <v>802</v>
      </c>
      <c r="D317" s="574">
        <v>406372</v>
      </c>
      <c r="E317" s="574">
        <v>217043.71</v>
      </c>
      <c r="F317" s="584">
        <f>E317/D317*100</f>
        <v>53.410104534761246</v>
      </c>
    </row>
    <row r="318" spans="1:6" s="569" customFormat="1" ht="18.75" customHeight="1">
      <c r="A318" s="689"/>
      <c r="B318" s="572"/>
      <c r="C318" s="583" t="s">
        <v>803</v>
      </c>
      <c r="D318" s="574">
        <v>77170</v>
      </c>
      <c r="E318" s="574">
        <v>39505.9</v>
      </c>
      <c r="F318" s="584">
        <f>E318/D318*100</f>
        <v>51.19333938058831</v>
      </c>
    </row>
    <row r="319" spans="1:6" s="576" customFormat="1" ht="18.75" customHeight="1">
      <c r="A319" s="691"/>
      <c r="B319" s="564" t="s">
        <v>206</v>
      </c>
      <c r="C319" s="279" t="s">
        <v>938</v>
      </c>
      <c r="D319" s="248">
        <f>SUM(D320,D325)</f>
        <v>648164</v>
      </c>
      <c r="E319" s="248">
        <f>SUM(E320,E325)</f>
        <v>362595.45</v>
      </c>
      <c r="F319" s="565">
        <f aca="true" t="shared" si="13" ref="F319:F329">E319/D319*100</f>
        <v>55.94192982023068</v>
      </c>
    </row>
    <row r="320" spans="1:6" s="576" customFormat="1" ht="18" customHeight="1">
      <c r="A320" s="690"/>
      <c r="B320" s="567"/>
      <c r="C320" s="241" t="s">
        <v>810</v>
      </c>
      <c r="D320" s="238">
        <v>648164</v>
      </c>
      <c r="E320" s="238">
        <v>362595.45</v>
      </c>
      <c r="F320" s="568">
        <f t="shared" si="13"/>
        <v>55.94192982023068</v>
      </c>
    </row>
    <row r="321" spans="1:6" s="123" customFormat="1" ht="12" customHeight="1">
      <c r="A321" s="689"/>
      <c r="B321" s="572"/>
      <c r="C321" s="573" t="s">
        <v>828</v>
      </c>
      <c r="D321" s="574"/>
      <c r="E321" s="574"/>
      <c r="F321" s="575"/>
    </row>
    <row r="322" spans="1:6" s="590" customFormat="1" ht="18.75" customHeight="1">
      <c r="A322" s="636"/>
      <c r="B322" s="578"/>
      <c r="C322" s="579" t="s">
        <v>830</v>
      </c>
      <c r="D322" s="580">
        <f>SUM(D323,D324)</f>
        <v>498357</v>
      </c>
      <c r="E322" s="580">
        <f>SUM(E323,E324)</f>
        <v>266446.69</v>
      </c>
      <c r="F322" s="581">
        <f t="shared" si="13"/>
        <v>53.46502406909104</v>
      </c>
    </row>
    <row r="323" spans="1:6" s="569" customFormat="1" ht="18.75" customHeight="1">
      <c r="A323" s="689"/>
      <c r="B323" s="572"/>
      <c r="C323" s="583" t="s">
        <v>802</v>
      </c>
      <c r="D323" s="574">
        <v>418688</v>
      </c>
      <c r="E323" s="574">
        <v>225091.72</v>
      </c>
      <c r="F323" s="584">
        <f t="shared" si="13"/>
        <v>53.76120643534087</v>
      </c>
    </row>
    <row r="324" spans="1:6" s="569" customFormat="1" ht="18.75" customHeight="1">
      <c r="A324" s="689"/>
      <c r="B324" s="572"/>
      <c r="C324" s="583" t="s">
        <v>803</v>
      </c>
      <c r="D324" s="574">
        <v>79669</v>
      </c>
      <c r="E324" s="574">
        <v>41354.97</v>
      </c>
      <c r="F324" s="584">
        <f t="shared" si="13"/>
        <v>51.90848385193739</v>
      </c>
    </row>
    <row r="325" spans="1:6" s="576" customFormat="1" ht="18" customHeight="1" hidden="1">
      <c r="A325" s="690"/>
      <c r="B325" s="567"/>
      <c r="C325" s="241" t="s">
        <v>832</v>
      </c>
      <c r="D325" s="238">
        <v>0</v>
      </c>
      <c r="E325" s="238">
        <v>0</v>
      </c>
      <c r="F325" s="568" t="e">
        <f>E325/D325*100</f>
        <v>#DIV/0!</v>
      </c>
    </row>
    <row r="326" spans="1:6" s="576" customFormat="1" ht="18.75" customHeight="1">
      <c r="A326" s="691"/>
      <c r="B326" s="564" t="s">
        <v>209</v>
      </c>
      <c r="C326" s="279" t="s">
        <v>210</v>
      </c>
      <c r="D326" s="248">
        <f>D327</f>
        <v>401630</v>
      </c>
      <c r="E326" s="248">
        <f>E327</f>
        <v>173609.5</v>
      </c>
      <c r="F326" s="565">
        <f t="shared" si="13"/>
        <v>43.22622812040933</v>
      </c>
    </row>
    <row r="327" spans="1:6" s="576" customFormat="1" ht="18" customHeight="1">
      <c r="A327" s="690"/>
      <c r="B327" s="567"/>
      <c r="C327" s="241" t="s">
        <v>810</v>
      </c>
      <c r="D327" s="238">
        <v>401630</v>
      </c>
      <c r="E327" s="238">
        <v>173609.5</v>
      </c>
      <c r="F327" s="568">
        <f t="shared" si="13"/>
        <v>43.22622812040933</v>
      </c>
    </row>
    <row r="328" spans="1:6" s="576" customFormat="1" ht="18.75" customHeight="1">
      <c r="A328" s="691"/>
      <c r="B328" s="564" t="s">
        <v>942</v>
      </c>
      <c r="C328" s="279" t="s">
        <v>909</v>
      </c>
      <c r="D328" s="248">
        <f>D329</f>
        <v>6405</v>
      </c>
      <c r="E328" s="248">
        <f>E329</f>
        <v>1115</v>
      </c>
      <c r="F328" s="565">
        <f t="shared" si="13"/>
        <v>17.408274785323965</v>
      </c>
    </row>
    <row r="329" spans="1:6" s="576" customFormat="1" ht="18.75" customHeight="1">
      <c r="A329" s="690"/>
      <c r="B329" s="567"/>
      <c r="C329" s="241" t="s">
        <v>810</v>
      </c>
      <c r="D329" s="238">
        <v>6405</v>
      </c>
      <c r="E329" s="238">
        <v>1115</v>
      </c>
      <c r="F329" s="568">
        <f t="shared" si="13"/>
        <v>17.408274785323965</v>
      </c>
    </row>
    <row r="330" spans="1:6" s="576" customFormat="1" ht="18.75" customHeight="1">
      <c r="A330" s="691"/>
      <c r="B330" s="564" t="s">
        <v>943</v>
      </c>
      <c r="C330" s="279" t="s">
        <v>74</v>
      </c>
      <c r="D330" s="248">
        <f>D331</f>
        <v>638229</v>
      </c>
      <c r="E330" s="248">
        <f>E331</f>
        <v>119704.4</v>
      </c>
      <c r="F330" s="565">
        <f aca="true" t="shared" si="14" ref="F330:F354">E330/D330*100</f>
        <v>18.7557130747741</v>
      </c>
    </row>
    <row r="331" spans="1:6" s="576" customFormat="1" ht="17.25" customHeight="1">
      <c r="A331" s="690"/>
      <c r="B331" s="567"/>
      <c r="C331" s="241" t="s">
        <v>810</v>
      </c>
      <c r="D331" s="238">
        <v>638229</v>
      </c>
      <c r="E331" s="238">
        <v>119704.4</v>
      </c>
      <c r="F331" s="568">
        <f t="shared" si="14"/>
        <v>18.7557130747741</v>
      </c>
    </row>
    <row r="332" spans="1:6" s="123" customFormat="1" ht="12" customHeight="1">
      <c r="A332" s="689"/>
      <c r="B332" s="572"/>
      <c r="C332" s="573" t="s">
        <v>828</v>
      </c>
      <c r="D332" s="574"/>
      <c r="E332" s="574"/>
      <c r="F332" s="575"/>
    </row>
    <row r="333" spans="1:6" s="590" customFormat="1" ht="18.75" customHeight="1">
      <c r="A333" s="636"/>
      <c r="B333" s="578"/>
      <c r="C333" s="579" t="s">
        <v>830</v>
      </c>
      <c r="D333" s="580">
        <f>SUM(D334,D335)</f>
        <v>223766</v>
      </c>
      <c r="E333" s="580">
        <f>SUM(E334,E335)</f>
        <v>0</v>
      </c>
      <c r="F333" s="581">
        <f>E333/D333*100</f>
        <v>0</v>
      </c>
    </row>
    <row r="334" spans="1:6" s="569" customFormat="1" ht="18.75" customHeight="1">
      <c r="A334" s="689"/>
      <c r="B334" s="572"/>
      <c r="C334" s="583" t="s">
        <v>802</v>
      </c>
      <c r="D334" s="574">
        <v>186111</v>
      </c>
      <c r="E334" s="574">
        <v>0</v>
      </c>
      <c r="F334" s="584">
        <f>E334/D334*100</f>
        <v>0</v>
      </c>
    </row>
    <row r="335" spans="1:6" s="569" customFormat="1" ht="18.75" customHeight="1">
      <c r="A335" s="689"/>
      <c r="B335" s="572"/>
      <c r="C335" s="583" t="s">
        <v>803</v>
      </c>
      <c r="D335" s="574">
        <v>37655</v>
      </c>
      <c r="E335" s="574">
        <v>0</v>
      </c>
      <c r="F335" s="584">
        <f>E335/D335*100</f>
        <v>0</v>
      </c>
    </row>
    <row r="336" spans="1:6" s="569" customFormat="1" ht="27" customHeight="1">
      <c r="A336" s="692" t="s">
        <v>212</v>
      </c>
      <c r="B336" s="561"/>
      <c r="C336" s="586" t="s">
        <v>944</v>
      </c>
      <c r="D336" s="244">
        <f>SUM(D337,D339,D341,D346,D348,D351,D353)</f>
        <v>11795911</v>
      </c>
      <c r="E336" s="244">
        <f>SUM(E337,E339,E341,E346,E348,E351,E353)</f>
        <v>6165958.550000001</v>
      </c>
      <c r="F336" s="562">
        <f t="shared" si="14"/>
        <v>52.271999593757535</v>
      </c>
    </row>
    <row r="337" spans="1:6" s="123" customFormat="1" ht="18.75" customHeight="1">
      <c r="A337" s="691"/>
      <c r="B337" s="564" t="s">
        <v>623</v>
      </c>
      <c r="C337" s="279" t="s">
        <v>624</v>
      </c>
      <c r="D337" s="248">
        <f>SUM(D338)</f>
        <v>159800</v>
      </c>
      <c r="E337" s="248">
        <f>SUM(E338)</f>
        <v>62589.95</v>
      </c>
      <c r="F337" s="565">
        <f>E337/D337*100</f>
        <v>39.16767834793492</v>
      </c>
    </row>
    <row r="338" spans="1:6" s="569" customFormat="1" ht="18.75" customHeight="1">
      <c r="A338" s="690"/>
      <c r="B338" s="567"/>
      <c r="C338" s="241" t="s">
        <v>810</v>
      </c>
      <c r="D338" s="238">
        <v>159800</v>
      </c>
      <c r="E338" s="238">
        <v>62589.95</v>
      </c>
      <c r="F338" s="568">
        <f>E338/D338*100</f>
        <v>39.16767834793492</v>
      </c>
    </row>
    <row r="339" spans="1:6" s="576" customFormat="1" ht="18.75" customHeight="1">
      <c r="A339" s="691"/>
      <c r="B339" s="564" t="s">
        <v>213</v>
      </c>
      <c r="C339" s="279" t="s">
        <v>394</v>
      </c>
      <c r="D339" s="248">
        <f>SUM(D340)</f>
        <v>2249088</v>
      </c>
      <c r="E339" s="248">
        <f>SUM(E340)</f>
        <v>1091112.27</v>
      </c>
      <c r="F339" s="565">
        <f t="shared" si="14"/>
        <v>48.513542822690795</v>
      </c>
    </row>
    <row r="340" spans="1:6" s="576" customFormat="1" ht="18.75" customHeight="1">
      <c r="A340" s="690"/>
      <c r="B340" s="567"/>
      <c r="C340" s="241" t="s">
        <v>810</v>
      </c>
      <c r="D340" s="238">
        <v>2249088</v>
      </c>
      <c r="E340" s="238">
        <v>1091112.27</v>
      </c>
      <c r="F340" s="568">
        <f t="shared" si="14"/>
        <v>48.513542822690795</v>
      </c>
    </row>
    <row r="341" spans="1:6" s="123" customFormat="1" ht="18.75" customHeight="1">
      <c r="A341" s="691"/>
      <c r="B341" s="564" t="s">
        <v>945</v>
      </c>
      <c r="C341" s="279" t="s">
        <v>946</v>
      </c>
      <c r="D341" s="248">
        <f>SUM(D342,D345)</f>
        <v>4579000</v>
      </c>
      <c r="E341" s="248">
        <f>SUM(E342,E345)</f>
        <v>3237914.15</v>
      </c>
      <c r="F341" s="565">
        <f t="shared" si="14"/>
        <v>70.71225485913955</v>
      </c>
    </row>
    <row r="342" spans="1:6" s="569" customFormat="1" ht="18.75" customHeight="1" thickBot="1">
      <c r="A342" s="800"/>
      <c r="B342" s="704"/>
      <c r="C342" s="695" t="s">
        <v>810</v>
      </c>
      <c r="D342" s="696">
        <v>1270000</v>
      </c>
      <c r="E342" s="696">
        <v>592506.44</v>
      </c>
      <c r="F342" s="697">
        <f t="shared" si="14"/>
        <v>46.654050393700786</v>
      </c>
    </row>
    <row r="343" spans="1:6" s="676" customFormat="1" ht="22.5" customHeight="1" thickBot="1">
      <c r="A343" s="599"/>
      <c r="B343" s="599"/>
      <c r="C343" s="237"/>
      <c r="D343" s="674"/>
      <c r="E343" s="674"/>
      <c r="F343" s="675"/>
    </row>
    <row r="344" spans="1:6" s="129" customFormat="1" ht="11.25" customHeight="1" thickBot="1">
      <c r="A344" s="1255">
        <v>1</v>
      </c>
      <c r="B344" s="1224">
        <v>2</v>
      </c>
      <c r="C344" s="1224">
        <v>3</v>
      </c>
      <c r="D344" s="1226">
        <v>4</v>
      </c>
      <c r="E344" s="1226">
        <v>5</v>
      </c>
      <c r="F344" s="1256">
        <v>6</v>
      </c>
    </row>
    <row r="345" spans="1:6" s="569" customFormat="1" ht="18.75" customHeight="1">
      <c r="A345" s="690"/>
      <c r="B345" s="567"/>
      <c r="C345" s="241" t="s">
        <v>832</v>
      </c>
      <c r="D345" s="238">
        <v>3309000</v>
      </c>
      <c r="E345" s="238">
        <v>2645407.71</v>
      </c>
      <c r="F345" s="568">
        <f t="shared" si="14"/>
        <v>79.94583590208522</v>
      </c>
    </row>
    <row r="346" spans="1:6" s="123" customFormat="1" ht="18.75" customHeight="1">
      <c r="A346" s="691"/>
      <c r="B346" s="564" t="s">
        <v>949</v>
      </c>
      <c r="C346" s="279" t="s">
        <v>950</v>
      </c>
      <c r="D346" s="248">
        <f>SUM(D347)</f>
        <v>293500</v>
      </c>
      <c r="E346" s="248">
        <f>SUM(E347)</f>
        <v>116666.65</v>
      </c>
      <c r="F346" s="565">
        <f t="shared" si="14"/>
        <v>39.75013628620102</v>
      </c>
    </row>
    <row r="347" spans="1:6" s="569" customFormat="1" ht="18.75" customHeight="1">
      <c r="A347" s="690"/>
      <c r="B347" s="567"/>
      <c r="C347" s="241" t="s">
        <v>810</v>
      </c>
      <c r="D347" s="238">
        <v>293500</v>
      </c>
      <c r="E347" s="238">
        <v>116666.65</v>
      </c>
      <c r="F347" s="568">
        <f t="shared" si="14"/>
        <v>39.75013628620102</v>
      </c>
    </row>
    <row r="348" spans="1:6" s="576" customFormat="1" ht="18.75" customHeight="1">
      <c r="A348" s="691"/>
      <c r="B348" s="564" t="s">
        <v>214</v>
      </c>
      <c r="C348" s="279" t="s">
        <v>215</v>
      </c>
      <c r="D348" s="248">
        <f>SUM(D349,D350)</f>
        <v>1429400</v>
      </c>
      <c r="E348" s="248">
        <f>SUM(E349,E350)</f>
        <v>526234.36</v>
      </c>
      <c r="F348" s="565">
        <f t="shared" si="14"/>
        <v>36.81505246956765</v>
      </c>
    </row>
    <row r="349" spans="1:6" s="576" customFormat="1" ht="18.75" customHeight="1">
      <c r="A349" s="690"/>
      <c r="B349" s="567"/>
      <c r="C349" s="241" t="s">
        <v>810</v>
      </c>
      <c r="D349" s="238">
        <v>867400</v>
      </c>
      <c r="E349" s="238">
        <v>526160.2</v>
      </c>
      <c r="F349" s="568">
        <f t="shared" si="14"/>
        <v>60.65946506801936</v>
      </c>
    </row>
    <row r="350" spans="1:6" s="576" customFormat="1" ht="18.75" customHeight="1">
      <c r="A350" s="690"/>
      <c r="B350" s="567"/>
      <c r="C350" s="241" t="s">
        <v>832</v>
      </c>
      <c r="D350" s="238">
        <v>562000</v>
      </c>
      <c r="E350" s="238">
        <v>74.16</v>
      </c>
      <c r="F350" s="568">
        <f t="shared" si="14"/>
        <v>0.013195729537366549</v>
      </c>
    </row>
    <row r="351" spans="1:6" s="569" customFormat="1" ht="27.75" customHeight="1">
      <c r="A351" s="691"/>
      <c r="B351" s="564" t="s">
        <v>423</v>
      </c>
      <c r="C351" s="570" t="s">
        <v>424</v>
      </c>
      <c r="D351" s="248">
        <f>SUM(D352)</f>
        <v>9000</v>
      </c>
      <c r="E351" s="248">
        <f>SUM(E352)</f>
        <v>0</v>
      </c>
      <c r="F351" s="565">
        <f t="shared" si="14"/>
        <v>0</v>
      </c>
    </row>
    <row r="352" spans="1:6" s="569" customFormat="1" ht="18.75" customHeight="1">
      <c r="A352" s="690"/>
      <c r="B352" s="567"/>
      <c r="C352" s="241" t="s">
        <v>810</v>
      </c>
      <c r="D352" s="238">
        <v>9000</v>
      </c>
      <c r="E352" s="238">
        <v>0</v>
      </c>
      <c r="F352" s="568">
        <f t="shared" si="14"/>
        <v>0</v>
      </c>
    </row>
    <row r="353" spans="1:6" s="123" customFormat="1" ht="18.75" customHeight="1">
      <c r="A353" s="691"/>
      <c r="B353" s="564" t="s">
        <v>216</v>
      </c>
      <c r="C353" s="279" t="s">
        <v>74</v>
      </c>
      <c r="D353" s="248">
        <f>D354+D358</f>
        <v>3076123</v>
      </c>
      <c r="E353" s="248">
        <f>E354+E358</f>
        <v>1131441.17</v>
      </c>
      <c r="F353" s="565">
        <f t="shared" si="14"/>
        <v>36.78140210908341</v>
      </c>
    </row>
    <row r="354" spans="1:6" s="569" customFormat="1" ht="18.75" customHeight="1">
      <c r="A354" s="690"/>
      <c r="B354" s="567"/>
      <c r="C354" s="241" t="s">
        <v>810</v>
      </c>
      <c r="D354" s="238">
        <v>463123</v>
      </c>
      <c r="E354" s="238">
        <v>175554.75</v>
      </c>
      <c r="F354" s="568">
        <f t="shared" si="14"/>
        <v>37.906722404199314</v>
      </c>
    </row>
    <row r="355" spans="1:6" s="123" customFormat="1" ht="12" customHeight="1">
      <c r="A355" s="689"/>
      <c r="B355" s="572"/>
      <c r="C355" s="573" t="s">
        <v>828</v>
      </c>
      <c r="D355" s="574"/>
      <c r="E355" s="574"/>
      <c r="F355" s="575"/>
    </row>
    <row r="356" spans="1:6" s="590" customFormat="1" ht="18.75" customHeight="1">
      <c r="A356" s="636"/>
      <c r="B356" s="578"/>
      <c r="C356" s="579" t="s">
        <v>830</v>
      </c>
      <c r="D356" s="580">
        <f>SUM(D357)</f>
        <v>1093</v>
      </c>
      <c r="E356" s="580">
        <f>SUM(E357)</f>
        <v>1093</v>
      </c>
      <c r="F356" s="581">
        <f>E356/D356*100</f>
        <v>100</v>
      </c>
    </row>
    <row r="357" spans="1:6" s="569" customFormat="1" ht="18.75" customHeight="1">
      <c r="A357" s="689"/>
      <c r="B357" s="572"/>
      <c r="C357" s="583" t="s">
        <v>802</v>
      </c>
      <c r="D357" s="574">
        <v>1093</v>
      </c>
      <c r="E357" s="574">
        <v>1093</v>
      </c>
      <c r="F357" s="584">
        <f>E357/D357*100</f>
        <v>100</v>
      </c>
    </row>
    <row r="358" spans="1:6" s="569" customFormat="1" ht="18.75" customHeight="1">
      <c r="A358" s="690"/>
      <c r="B358" s="567"/>
      <c r="C358" s="241" t="s">
        <v>832</v>
      </c>
      <c r="D358" s="238">
        <v>2613000</v>
      </c>
      <c r="E358" s="238">
        <v>955886.42</v>
      </c>
      <c r="F358" s="568">
        <f aca="true" t="shared" si="15" ref="F358:F399">E358/D358*100</f>
        <v>36.58195254496747</v>
      </c>
    </row>
    <row r="359" spans="1:6" s="576" customFormat="1" ht="31.5" customHeight="1">
      <c r="A359" s="692" t="s">
        <v>239</v>
      </c>
      <c r="B359" s="561"/>
      <c r="C359" s="586" t="s">
        <v>951</v>
      </c>
      <c r="D359" s="244">
        <f>SUM(D360,D367,D371,D378,D380)</f>
        <v>4367909</v>
      </c>
      <c r="E359" s="244">
        <f>SUM(E360,E367,E371,E378,E380)</f>
        <v>2449302.09</v>
      </c>
      <c r="F359" s="562">
        <f t="shared" si="15"/>
        <v>56.07493402449547</v>
      </c>
    </row>
    <row r="360" spans="1:6" s="123" customFormat="1" ht="18.75" customHeight="1">
      <c r="A360" s="691"/>
      <c r="B360" s="564" t="s">
        <v>952</v>
      </c>
      <c r="C360" s="570" t="s">
        <v>953</v>
      </c>
      <c r="D360" s="248">
        <f>D361+D364</f>
        <v>1885036</v>
      </c>
      <c r="E360" s="248">
        <f>E361+E364</f>
        <v>1265035.8399999999</v>
      </c>
      <c r="F360" s="565">
        <f t="shared" si="15"/>
        <v>67.1093729774922</v>
      </c>
    </row>
    <row r="361" spans="1:6" s="569" customFormat="1" ht="18.75" customHeight="1">
      <c r="A361" s="690"/>
      <c r="B361" s="567"/>
      <c r="C361" s="241" t="s">
        <v>810</v>
      </c>
      <c r="D361" s="238">
        <v>1285036</v>
      </c>
      <c r="E361" s="238">
        <v>665035.84</v>
      </c>
      <c r="F361" s="568">
        <f t="shared" si="15"/>
        <v>51.75231199748489</v>
      </c>
    </row>
    <row r="362" spans="1:6" s="569" customFormat="1" ht="12" customHeight="1">
      <c r="A362" s="690"/>
      <c r="B362" s="567"/>
      <c r="C362" s="573" t="s">
        <v>828</v>
      </c>
      <c r="D362" s="238"/>
      <c r="E362" s="238"/>
      <c r="F362" s="575"/>
    </row>
    <row r="363" spans="1:6" s="590" customFormat="1" ht="18.75" customHeight="1">
      <c r="A363" s="636"/>
      <c r="B363" s="578"/>
      <c r="C363" s="579" t="s">
        <v>831</v>
      </c>
      <c r="D363" s="580">
        <v>1277900</v>
      </c>
      <c r="E363" s="580">
        <v>657900</v>
      </c>
      <c r="F363" s="581">
        <f t="shared" si="15"/>
        <v>51.482901635495736</v>
      </c>
    </row>
    <row r="364" spans="1:6" s="569" customFormat="1" ht="18.75" customHeight="1">
      <c r="A364" s="690"/>
      <c r="B364" s="567"/>
      <c r="C364" s="241" t="s">
        <v>832</v>
      </c>
      <c r="D364" s="238">
        <v>600000</v>
      </c>
      <c r="E364" s="238">
        <v>600000</v>
      </c>
      <c r="F364" s="568">
        <f>E364/D364*100</f>
        <v>100</v>
      </c>
    </row>
    <row r="365" spans="1:6" s="576" customFormat="1" ht="12" customHeight="1">
      <c r="A365" s="690"/>
      <c r="B365" s="567"/>
      <c r="C365" s="573" t="s">
        <v>828</v>
      </c>
      <c r="D365" s="238"/>
      <c r="E365" s="238"/>
      <c r="F365" s="568"/>
    </row>
    <row r="366" spans="1:6" s="126" customFormat="1" ht="18.75" customHeight="1">
      <c r="A366" s="693"/>
      <c r="B366" s="594"/>
      <c r="C366" s="579" t="s">
        <v>831</v>
      </c>
      <c r="D366" s="580">
        <v>600000</v>
      </c>
      <c r="E366" s="580">
        <v>600000</v>
      </c>
      <c r="F366" s="581">
        <f>E366/D366*100</f>
        <v>100</v>
      </c>
    </row>
    <row r="367" spans="1:6" s="569" customFormat="1" ht="18.75" customHeight="1">
      <c r="A367" s="691"/>
      <c r="B367" s="564" t="s">
        <v>954</v>
      </c>
      <c r="C367" s="279" t="s">
        <v>955</v>
      </c>
      <c r="D367" s="248">
        <f>SUM(D368)</f>
        <v>1075000</v>
      </c>
      <c r="E367" s="248">
        <f>SUM(E368)</f>
        <v>630000</v>
      </c>
      <c r="F367" s="565">
        <f t="shared" si="15"/>
        <v>58.6046511627907</v>
      </c>
    </row>
    <row r="368" spans="1:6" s="569" customFormat="1" ht="18.75" customHeight="1">
      <c r="A368" s="690"/>
      <c r="B368" s="567"/>
      <c r="C368" s="241" t="s">
        <v>810</v>
      </c>
      <c r="D368" s="238">
        <v>1075000</v>
      </c>
      <c r="E368" s="238">
        <v>630000</v>
      </c>
      <c r="F368" s="568">
        <f t="shared" si="15"/>
        <v>58.6046511627907</v>
      </c>
    </row>
    <row r="369" spans="1:6" s="576" customFormat="1" ht="12" customHeight="1">
      <c r="A369" s="689"/>
      <c r="B369" s="572"/>
      <c r="C369" s="573" t="s">
        <v>828</v>
      </c>
      <c r="D369" s="574"/>
      <c r="E369" s="574"/>
      <c r="F369" s="575"/>
    </row>
    <row r="370" spans="1:6" s="590" customFormat="1" ht="18.75" customHeight="1">
      <c r="A370" s="636"/>
      <c r="B370" s="578"/>
      <c r="C370" s="579" t="s">
        <v>831</v>
      </c>
      <c r="D370" s="580">
        <v>1075000</v>
      </c>
      <c r="E370" s="580">
        <v>630000</v>
      </c>
      <c r="F370" s="581">
        <f t="shared" si="15"/>
        <v>58.6046511627907</v>
      </c>
    </row>
    <row r="371" spans="1:6" s="569" customFormat="1" ht="18.75" customHeight="1">
      <c r="A371" s="691"/>
      <c r="B371" s="564" t="s">
        <v>956</v>
      </c>
      <c r="C371" s="279" t="s">
        <v>957</v>
      </c>
      <c r="D371" s="248">
        <f>SUM(D372,D375)</f>
        <v>406000</v>
      </c>
      <c r="E371" s="248">
        <f>SUM(E372,E375)</f>
        <v>225000</v>
      </c>
      <c r="F371" s="565">
        <f t="shared" si="15"/>
        <v>55.41871921182266</v>
      </c>
    </row>
    <row r="372" spans="1:6" s="576" customFormat="1" ht="17.25" customHeight="1">
      <c r="A372" s="690"/>
      <c r="B372" s="567"/>
      <c r="C372" s="241" t="s">
        <v>810</v>
      </c>
      <c r="D372" s="238">
        <v>381000</v>
      </c>
      <c r="E372" s="238">
        <v>200000</v>
      </c>
      <c r="F372" s="568">
        <f t="shared" si="15"/>
        <v>52.493438320209975</v>
      </c>
    </row>
    <row r="373" spans="1:6" s="576" customFormat="1" ht="12" customHeight="1">
      <c r="A373" s="689"/>
      <c r="B373" s="572"/>
      <c r="C373" s="573" t="s">
        <v>828</v>
      </c>
      <c r="D373" s="574"/>
      <c r="E373" s="574"/>
      <c r="F373" s="575"/>
    </row>
    <row r="374" spans="1:6" s="582" customFormat="1" ht="18.75" customHeight="1">
      <c r="A374" s="636"/>
      <c r="B374" s="578"/>
      <c r="C374" s="579" t="s">
        <v>831</v>
      </c>
      <c r="D374" s="580">
        <v>381000</v>
      </c>
      <c r="E374" s="580">
        <v>200000</v>
      </c>
      <c r="F374" s="581">
        <f t="shared" si="15"/>
        <v>52.493438320209975</v>
      </c>
    </row>
    <row r="375" spans="1:6" s="569" customFormat="1" ht="18.75" customHeight="1">
      <c r="A375" s="690"/>
      <c r="B375" s="567"/>
      <c r="C375" s="241" t="s">
        <v>832</v>
      </c>
      <c r="D375" s="238">
        <v>25000</v>
      </c>
      <c r="E375" s="238">
        <v>25000</v>
      </c>
      <c r="F375" s="568">
        <f>E375/D375*100</f>
        <v>100</v>
      </c>
    </row>
    <row r="376" spans="1:6" s="576" customFormat="1" ht="12" customHeight="1">
      <c r="A376" s="690"/>
      <c r="B376" s="567"/>
      <c r="C376" s="573" t="s">
        <v>828</v>
      </c>
      <c r="D376" s="238"/>
      <c r="E376" s="238"/>
      <c r="F376" s="568"/>
    </row>
    <row r="377" spans="1:6" s="126" customFormat="1" ht="18.75" customHeight="1">
      <c r="A377" s="693"/>
      <c r="B377" s="594"/>
      <c r="C377" s="579" t="s">
        <v>831</v>
      </c>
      <c r="D377" s="580">
        <v>25000</v>
      </c>
      <c r="E377" s="580">
        <v>25000</v>
      </c>
      <c r="F377" s="581">
        <f>E377/D377*100</f>
        <v>100</v>
      </c>
    </row>
    <row r="378" spans="1:6" s="123" customFormat="1" ht="18.75" customHeight="1">
      <c r="A378" s="691"/>
      <c r="B378" s="564" t="s">
        <v>639</v>
      </c>
      <c r="C378" s="570" t="s">
        <v>640</v>
      </c>
      <c r="D378" s="248">
        <f>SUM(D379)</f>
        <v>220000</v>
      </c>
      <c r="E378" s="248">
        <f>SUM(E379)</f>
        <v>0</v>
      </c>
      <c r="F378" s="568">
        <f t="shared" si="15"/>
        <v>0</v>
      </c>
    </row>
    <row r="379" spans="1:6" s="126" customFormat="1" ht="18.75" customHeight="1">
      <c r="A379" s="693"/>
      <c r="B379" s="594"/>
      <c r="C379" s="241" t="s">
        <v>832</v>
      </c>
      <c r="D379" s="238">
        <v>220000</v>
      </c>
      <c r="E379" s="238">
        <v>0</v>
      </c>
      <c r="F379" s="568">
        <f t="shared" si="15"/>
        <v>0</v>
      </c>
    </row>
    <row r="380" spans="1:6" s="576" customFormat="1" ht="18.75" customHeight="1">
      <c r="A380" s="691"/>
      <c r="B380" s="564" t="s">
        <v>958</v>
      </c>
      <c r="C380" s="279" t="s">
        <v>74</v>
      </c>
      <c r="D380" s="248">
        <f>SUM(D381,D388)</f>
        <v>781873</v>
      </c>
      <c r="E380" s="248">
        <f>SUM(E381,E388)</f>
        <v>329266.25</v>
      </c>
      <c r="F380" s="565">
        <f t="shared" si="15"/>
        <v>42.1124978097466</v>
      </c>
    </row>
    <row r="381" spans="1:6" s="576" customFormat="1" ht="17.25" customHeight="1">
      <c r="A381" s="690"/>
      <c r="B381" s="567"/>
      <c r="C381" s="241" t="s">
        <v>810</v>
      </c>
      <c r="D381" s="238">
        <v>664373</v>
      </c>
      <c r="E381" s="238">
        <v>255719.16</v>
      </c>
      <c r="F381" s="568">
        <f t="shared" si="15"/>
        <v>38.49029987672588</v>
      </c>
    </row>
    <row r="382" spans="1:6" s="123" customFormat="1" ht="12" customHeight="1">
      <c r="A382" s="689"/>
      <c r="B382" s="572"/>
      <c r="C382" s="573" t="s">
        <v>828</v>
      </c>
      <c r="D382" s="574"/>
      <c r="E382" s="574"/>
      <c r="F382" s="575"/>
    </row>
    <row r="383" spans="1:6" s="590" customFormat="1" ht="18.75" customHeight="1" thickBot="1">
      <c r="A383" s="802"/>
      <c r="B383" s="794"/>
      <c r="C383" s="702" t="s">
        <v>830</v>
      </c>
      <c r="D383" s="643">
        <f>SUM(D386)</f>
        <v>11000</v>
      </c>
      <c r="E383" s="643">
        <f>SUM(E386)</f>
        <v>4525</v>
      </c>
      <c r="F383" s="644">
        <f>E383/D383*100</f>
        <v>41.13636363636364</v>
      </c>
    </row>
    <row r="384" spans="1:6" s="681" customFormat="1" ht="18.75" customHeight="1" thickBot="1">
      <c r="A384" s="597"/>
      <c r="B384" s="597"/>
      <c r="C384" s="678"/>
      <c r="D384" s="679"/>
      <c r="E384" s="679"/>
      <c r="F384" s="680"/>
    </row>
    <row r="385" spans="1:6" s="129" customFormat="1" ht="11.25" customHeight="1" thickBot="1">
      <c r="A385" s="1223">
        <v>1</v>
      </c>
      <c r="B385" s="1224">
        <v>2</v>
      </c>
      <c r="C385" s="1224">
        <v>3</v>
      </c>
      <c r="D385" s="1226">
        <v>4</v>
      </c>
      <c r="E385" s="1226">
        <v>5</v>
      </c>
      <c r="F385" s="1256">
        <v>6</v>
      </c>
    </row>
    <row r="386" spans="1:6" s="569" customFormat="1" ht="18.75" customHeight="1">
      <c r="A386" s="571"/>
      <c r="B386" s="572"/>
      <c r="C386" s="583" t="s">
        <v>802</v>
      </c>
      <c r="D386" s="574">
        <v>11000</v>
      </c>
      <c r="E386" s="574">
        <v>4525</v>
      </c>
      <c r="F386" s="584">
        <f>E386/D386*100</f>
        <v>41.13636363636364</v>
      </c>
    </row>
    <row r="387" spans="1:6" s="590" customFormat="1" ht="18.75" customHeight="1">
      <c r="A387" s="577"/>
      <c r="B387" s="578"/>
      <c r="C387" s="579" t="s">
        <v>831</v>
      </c>
      <c r="D387" s="580">
        <v>57373</v>
      </c>
      <c r="E387" s="580">
        <v>13880</v>
      </c>
      <c r="F387" s="581">
        <f t="shared" si="15"/>
        <v>24.19256444669095</v>
      </c>
    </row>
    <row r="388" spans="1:6" s="569" customFormat="1" ht="17.25" customHeight="1">
      <c r="A388" s="571"/>
      <c r="B388" s="572"/>
      <c r="C388" s="241" t="s">
        <v>832</v>
      </c>
      <c r="D388" s="238">
        <v>117500</v>
      </c>
      <c r="E388" s="238">
        <v>73547.09</v>
      </c>
      <c r="F388" s="568">
        <f>E388/D388*100</f>
        <v>62.59326808510638</v>
      </c>
    </row>
    <row r="389" spans="1:6" s="569" customFormat="1" ht="10.5" customHeight="1">
      <c r="A389" s="571"/>
      <c r="B389" s="572"/>
      <c r="C389" s="573" t="s">
        <v>828</v>
      </c>
      <c r="D389" s="574"/>
      <c r="E389" s="574"/>
      <c r="F389" s="575"/>
    </row>
    <row r="390" spans="1:6" s="590" customFormat="1" ht="18.75" customHeight="1">
      <c r="A390" s="577"/>
      <c r="B390" s="578"/>
      <c r="C390" s="579" t="s">
        <v>831</v>
      </c>
      <c r="D390" s="580">
        <v>117500</v>
      </c>
      <c r="E390" s="580">
        <v>73547.09</v>
      </c>
      <c r="F390" s="581">
        <f>E390/D390*100</f>
        <v>62.59326808510638</v>
      </c>
    </row>
    <row r="391" spans="1:6" s="576" customFormat="1" ht="18.75" customHeight="1">
      <c r="A391" s="560" t="s">
        <v>240</v>
      </c>
      <c r="B391" s="561"/>
      <c r="C391" s="280" t="s">
        <v>241</v>
      </c>
      <c r="D391" s="244">
        <f>D394+D392</f>
        <v>16267156</v>
      </c>
      <c r="E391" s="244">
        <f>E394+E392</f>
        <v>2738293.59</v>
      </c>
      <c r="F391" s="562">
        <f t="shared" si="15"/>
        <v>16.833265691925494</v>
      </c>
    </row>
    <row r="392" spans="1:6" s="576" customFormat="1" ht="18.75" customHeight="1">
      <c r="A392" s="563"/>
      <c r="B392" s="564" t="s">
        <v>245</v>
      </c>
      <c r="C392" s="279" t="s">
        <v>246</v>
      </c>
      <c r="D392" s="248">
        <f>D393</f>
        <v>13342000</v>
      </c>
      <c r="E392" s="248">
        <f>E393</f>
        <v>1207413.19</v>
      </c>
      <c r="F392" s="565">
        <f t="shared" si="15"/>
        <v>9.049716609204017</v>
      </c>
    </row>
    <row r="393" spans="1:6" s="123" customFormat="1" ht="18.75" customHeight="1">
      <c r="A393" s="566"/>
      <c r="B393" s="567"/>
      <c r="C393" s="241" t="s">
        <v>832</v>
      </c>
      <c r="D393" s="238">
        <v>13342000</v>
      </c>
      <c r="E393" s="238">
        <v>1207413.19</v>
      </c>
      <c r="F393" s="568">
        <f t="shared" si="15"/>
        <v>9.049716609204017</v>
      </c>
    </row>
    <row r="394" spans="1:6" s="576" customFormat="1" ht="18.75" customHeight="1">
      <c r="A394" s="563"/>
      <c r="B394" s="564" t="s">
        <v>247</v>
      </c>
      <c r="C394" s="570" t="s">
        <v>248</v>
      </c>
      <c r="D394" s="248">
        <f>SUM(D395,D400)</f>
        <v>2925156</v>
      </c>
      <c r="E394" s="248">
        <f>SUM(E395,E400)</f>
        <v>1530880.4</v>
      </c>
      <c r="F394" s="565">
        <f t="shared" si="15"/>
        <v>52.335000252977956</v>
      </c>
    </row>
    <row r="395" spans="1:6" s="576" customFormat="1" ht="18.75" customHeight="1">
      <c r="A395" s="566"/>
      <c r="B395" s="567"/>
      <c r="C395" s="241" t="s">
        <v>810</v>
      </c>
      <c r="D395" s="238">
        <v>2330400</v>
      </c>
      <c r="E395" s="238">
        <v>936124.4</v>
      </c>
      <c r="F395" s="568">
        <f t="shared" si="15"/>
        <v>40.170116718159974</v>
      </c>
    </row>
    <row r="396" spans="1:6" s="576" customFormat="1" ht="12" customHeight="1">
      <c r="A396" s="571"/>
      <c r="B396" s="572"/>
      <c r="C396" s="573" t="s">
        <v>828</v>
      </c>
      <c r="D396" s="574"/>
      <c r="E396" s="574"/>
      <c r="F396" s="575"/>
    </row>
    <row r="397" spans="1:6" s="126" customFormat="1" ht="18.75" customHeight="1">
      <c r="A397" s="577"/>
      <c r="B397" s="578"/>
      <c r="C397" s="579" t="s">
        <v>830</v>
      </c>
      <c r="D397" s="580">
        <f>SUM(D398)</f>
        <v>3800</v>
      </c>
      <c r="E397" s="580">
        <f>SUM(E398)</f>
        <v>0</v>
      </c>
      <c r="F397" s="581">
        <f t="shared" si="15"/>
        <v>0</v>
      </c>
    </row>
    <row r="398" spans="1:6" s="126" customFormat="1" ht="18.75" customHeight="1">
      <c r="A398" s="571"/>
      <c r="B398" s="572"/>
      <c r="C398" s="583" t="s">
        <v>803</v>
      </c>
      <c r="D398" s="574">
        <v>3800</v>
      </c>
      <c r="E398" s="574">
        <v>0</v>
      </c>
      <c r="F398" s="584">
        <f t="shared" si="15"/>
        <v>0</v>
      </c>
    </row>
    <row r="399" spans="1:6" s="126" customFormat="1" ht="18.75" customHeight="1">
      <c r="A399" s="577"/>
      <c r="B399" s="578"/>
      <c r="C399" s="579" t="s">
        <v>831</v>
      </c>
      <c r="D399" s="580">
        <v>1445000</v>
      </c>
      <c r="E399" s="580">
        <v>807000</v>
      </c>
      <c r="F399" s="581">
        <f t="shared" si="15"/>
        <v>55.84775086505191</v>
      </c>
    </row>
    <row r="400" spans="1:6" s="123" customFormat="1" ht="18.75" customHeight="1">
      <c r="A400" s="571"/>
      <c r="B400" s="572"/>
      <c r="C400" s="241" t="s">
        <v>832</v>
      </c>
      <c r="D400" s="238">
        <v>594756</v>
      </c>
      <c r="E400" s="238">
        <v>594756</v>
      </c>
      <c r="F400" s="568">
        <f>E400/D400*100</f>
        <v>100</v>
      </c>
    </row>
    <row r="401" spans="1:6" s="123" customFormat="1" ht="13.5" customHeight="1">
      <c r="A401" s="571"/>
      <c r="B401" s="572"/>
      <c r="C401" s="573" t="s">
        <v>828</v>
      </c>
      <c r="D401" s="238"/>
      <c r="E401" s="238"/>
      <c r="F401" s="568"/>
    </row>
    <row r="402" spans="1:6" s="126" customFormat="1" ht="18.75" customHeight="1">
      <c r="A402" s="636"/>
      <c r="B402" s="637"/>
      <c r="C402" s="579" t="s">
        <v>831</v>
      </c>
      <c r="D402" s="580">
        <v>594756</v>
      </c>
      <c r="E402" s="580">
        <v>594756</v>
      </c>
      <c r="F402" s="581">
        <f>E402/D402*100</f>
        <v>100</v>
      </c>
    </row>
    <row r="403" spans="1:6" s="126" customFormat="1" ht="18.75" customHeight="1">
      <c r="A403" s="1552" t="s">
        <v>106</v>
      </c>
      <c r="B403" s="1553"/>
      <c r="C403" s="1554"/>
      <c r="D403" s="614">
        <f>SUM(D404,D407,D417,D421,D438,D457,D473,D530,D547,D578,D599,D641)</f>
        <v>84024670</v>
      </c>
      <c r="E403" s="614">
        <f>SUM(E404,E407,E417,E421,E438,E457,E473,E530,E547,E578,E599,E641)</f>
        <v>34841820.010000005</v>
      </c>
      <c r="F403" s="626">
        <f aca="true" t="shared" si="16" ref="F403:F411">E403/D403*100</f>
        <v>41.4661789329253</v>
      </c>
    </row>
    <row r="404" spans="1:6" s="123" customFormat="1" ht="18.75" customHeight="1" hidden="1">
      <c r="A404" s="560" t="s">
        <v>73</v>
      </c>
      <c r="B404" s="561"/>
      <c r="C404" s="586" t="s">
        <v>807</v>
      </c>
      <c r="D404" s="244">
        <f>SUM(D405)</f>
        <v>0</v>
      </c>
      <c r="E404" s="244">
        <f>SUM(E405)</f>
        <v>0</v>
      </c>
      <c r="F404" s="562" t="e">
        <f t="shared" si="16"/>
        <v>#DIV/0!</v>
      </c>
    </row>
    <row r="405" spans="1:6" s="123" customFormat="1" ht="27.75" customHeight="1" hidden="1">
      <c r="A405" s="563"/>
      <c r="B405" s="564" t="s">
        <v>540</v>
      </c>
      <c r="C405" s="570" t="s">
        <v>542</v>
      </c>
      <c r="D405" s="248">
        <f>D406</f>
        <v>0</v>
      </c>
      <c r="E405" s="248">
        <f>E406</f>
        <v>0</v>
      </c>
      <c r="F405" s="565" t="e">
        <f t="shared" si="16"/>
        <v>#DIV/0!</v>
      </c>
    </row>
    <row r="406" spans="1:6" s="123" customFormat="1" ht="18.75" customHeight="1" hidden="1">
      <c r="A406" s="566"/>
      <c r="B406" s="567"/>
      <c r="C406" s="241" t="s">
        <v>810</v>
      </c>
      <c r="D406" s="238"/>
      <c r="E406" s="238"/>
      <c r="F406" s="568" t="e">
        <f t="shared" si="16"/>
        <v>#DIV/0!</v>
      </c>
    </row>
    <row r="407" spans="1:6" s="126" customFormat="1" ht="18.75" customHeight="1">
      <c r="A407" s="560" t="s">
        <v>78</v>
      </c>
      <c r="B407" s="561"/>
      <c r="C407" s="280" t="s">
        <v>79</v>
      </c>
      <c r="D407" s="244">
        <f>SUM(D408,D410)</f>
        <v>45029274</v>
      </c>
      <c r="E407" s="244">
        <f>SUM(E408,E410)</f>
        <v>14419700.27</v>
      </c>
      <c r="F407" s="562">
        <f t="shared" si="16"/>
        <v>32.022946383723614</v>
      </c>
    </row>
    <row r="408" spans="1:6" s="123" customFormat="1" ht="18.75" customHeight="1">
      <c r="A408" s="563"/>
      <c r="B408" s="564" t="s">
        <v>108</v>
      </c>
      <c r="C408" s="279" t="s">
        <v>219</v>
      </c>
      <c r="D408" s="248">
        <f>SUM(D409)</f>
        <v>650000</v>
      </c>
      <c r="E408" s="248">
        <f>SUM(E409)</f>
        <v>7190.73</v>
      </c>
      <c r="F408" s="565">
        <f t="shared" si="16"/>
        <v>1.1062661538461538</v>
      </c>
    </row>
    <row r="409" spans="1:6" s="569" customFormat="1" ht="18.75" customHeight="1">
      <c r="A409" s="566"/>
      <c r="B409" s="567"/>
      <c r="C409" s="241" t="s">
        <v>832</v>
      </c>
      <c r="D409" s="238">
        <v>650000</v>
      </c>
      <c r="E409" s="238">
        <v>7190.73</v>
      </c>
      <c r="F409" s="568">
        <f t="shared" si="16"/>
        <v>1.1062661538461538</v>
      </c>
    </row>
    <row r="410" spans="1:6" s="123" customFormat="1" ht="30" customHeight="1">
      <c r="A410" s="563"/>
      <c r="B410" s="564" t="s">
        <v>80</v>
      </c>
      <c r="C410" s="570" t="s">
        <v>591</v>
      </c>
      <c r="D410" s="248">
        <f>D411+D416</f>
        <v>44379274</v>
      </c>
      <c r="E410" s="248">
        <f>E411+E416</f>
        <v>14412509.54</v>
      </c>
      <c r="F410" s="565">
        <f t="shared" si="16"/>
        <v>32.47576681853786</v>
      </c>
    </row>
    <row r="411" spans="1:6" s="569" customFormat="1" ht="16.5" customHeight="1">
      <c r="A411" s="566"/>
      <c r="B411" s="567"/>
      <c r="C411" s="241" t="s">
        <v>810</v>
      </c>
      <c r="D411" s="238">
        <v>26996883</v>
      </c>
      <c r="E411" s="238">
        <v>12896071.92</v>
      </c>
      <c r="F411" s="568">
        <f t="shared" si="16"/>
        <v>47.768743969442696</v>
      </c>
    </row>
    <row r="412" spans="1:6" s="576" customFormat="1" ht="11.25" customHeight="1">
      <c r="A412" s="571"/>
      <c r="B412" s="572"/>
      <c r="C412" s="573" t="s">
        <v>828</v>
      </c>
      <c r="D412" s="574"/>
      <c r="E412" s="574"/>
      <c r="F412" s="575"/>
    </row>
    <row r="413" spans="1:6" s="582" customFormat="1" ht="18.75" customHeight="1">
      <c r="A413" s="577"/>
      <c r="B413" s="578"/>
      <c r="C413" s="579" t="s">
        <v>830</v>
      </c>
      <c r="D413" s="580">
        <f>SUM(D414,D415)</f>
        <v>11081481</v>
      </c>
      <c r="E413" s="580">
        <f>SUM(E414,E415)</f>
        <v>5681491.67</v>
      </c>
      <c r="F413" s="581">
        <f aca="true" t="shared" si="17" ref="F413:F440">E413/D413*100</f>
        <v>51.270147645427535</v>
      </c>
    </row>
    <row r="414" spans="1:6" s="576" customFormat="1" ht="15.75" customHeight="1">
      <c r="A414" s="571"/>
      <c r="B414" s="572"/>
      <c r="C414" s="583" t="s">
        <v>802</v>
      </c>
      <c r="D414" s="574">
        <v>9457835</v>
      </c>
      <c r="E414" s="574">
        <v>4837779.29</v>
      </c>
      <c r="F414" s="584">
        <f t="shared" si="17"/>
        <v>51.15102230055821</v>
      </c>
    </row>
    <row r="415" spans="1:6" s="576" customFormat="1" ht="15.75" customHeight="1">
      <c r="A415" s="571"/>
      <c r="B415" s="572"/>
      <c r="C415" s="583" t="s">
        <v>803</v>
      </c>
      <c r="D415" s="574">
        <v>1623646</v>
      </c>
      <c r="E415" s="574">
        <v>843712.38</v>
      </c>
      <c r="F415" s="584">
        <f t="shared" si="17"/>
        <v>51.96405989975648</v>
      </c>
    </row>
    <row r="416" spans="1:6" s="569" customFormat="1" ht="18.75" customHeight="1">
      <c r="A416" s="566"/>
      <c r="B416" s="567"/>
      <c r="C416" s="241" t="s">
        <v>832</v>
      </c>
      <c r="D416" s="238">
        <v>17382391</v>
      </c>
      <c r="E416" s="238">
        <v>1516437.62</v>
      </c>
      <c r="F416" s="568">
        <f t="shared" si="17"/>
        <v>8.723987511269307</v>
      </c>
    </row>
    <row r="417" spans="1:6" s="126" customFormat="1" ht="18" customHeight="1">
      <c r="A417" s="560" t="s">
        <v>85</v>
      </c>
      <c r="B417" s="561"/>
      <c r="C417" s="280" t="s">
        <v>86</v>
      </c>
      <c r="D417" s="244">
        <f>SUM(D418)</f>
        <v>167000</v>
      </c>
      <c r="E417" s="244">
        <f>SUM(E418)</f>
        <v>29346.02</v>
      </c>
      <c r="F417" s="562">
        <f t="shared" si="17"/>
        <v>17.572467065868263</v>
      </c>
    </row>
    <row r="418" spans="1:6" s="123" customFormat="1" ht="17.25" customHeight="1">
      <c r="A418" s="563"/>
      <c r="B418" s="564" t="s">
        <v>87</v>
      </c>
      <c r="C418" s="570" t="s">
        <v>88</v>
      </c>
      <c r="D418" s="248">
        <f>SUM(D419,D420)</f>
        <v>167000</v>
      </c>
      <c r="E418" s="248">
        <f>SUM(E419,E420)</f>
        <v>29346.02</v>
      </c>
      <c r="F418" s="565">
        <f t="shared" si="17"/>
        <v>17.572467065868263</v>
      </c>
    </row>
    <row r="419" spans="1:6" s="569" customFormat="1" ht="18.75" customHeight="1">
      <c r="A419" s="566"/>
      <c r="B419" s="567"/>
      <c r="C419" s="241" t="s">
        <v>810</v>
      </c>
      <c r="D419" s="238">
        <v>157000</v>
      </c>
      <c r="E419" s="238">
        <v>29346.02</v>
      </c>
      <c r="F419" s="568">
        <f t="shared" si="17"/>
        <v>18.691732484076436</v>
      </c>
    </row>
    <row r="420" spans="1:6" s="569" customFormat="1" ht="18.75" customHeight="1">
      <c r="A420" s="566"/>
      <c r="B420" s="567"/>
      <c r="C420" s="241" t="s">
        <v>832</v>
      </c>
      <c r="D420" s="238">
        <v>10000</v>
      </c>
      <c r="E420" s="238">
        <v>0</v>
      </c>
      <c r="F420" s="568"/>
    </row>
    <row r="421" spans="1:6" s="126" customFormat="1" ht="18.75" customHeight="1">
      <c r="A421" s="560" t="s">
        <v>89</v>
      </c>
      <c r="B421" s="561"/>
      <c r="C421" s="586" t="s">
        <v>90</v>
      </c>
      <c r="D421" s="244">
        <f>SUM(D422,D428,D432)</f>
        <v>441000</v>
      </c>
      <c r="E421" s="244">
        <f>SUM(E422,E428,E432)</f>
        <v>141546.99</v>
      </c>
      <c r="F421" s="562">
        <f t="shared" si="17"/>
        <v>32.0968231292517</v>
      </c>
    </row>
    <row r="422" spans="1:6" s="123" customFormat="1" ht="18.75" customHeight="1">
      <c r="A422" s="563"/>
      <c r="B422" s="564" t="s">
        <v>91</v>
      </c>
      <c r="C422" s="247" t="s">
        <v>381</v>
      </c>
      <c r="D422" s="248">
        <f>D423</f>
        <v>51000</v>
      </c>
      <c r="E422" s="248">
        <f>E423</f>
        <v>0</v>
      </c>
      <c r="F422" s="565">
        <f t="shared" si="17"/>
        <v>0</v>
      </c>
    </row>
    <row r="423" spans="1:6" s="569" customFormat="1" ht="18.75" customHeight="1">
      <c r="A423" s="566"/>
      <c r="B423" s="567"/>
      <c r="C423" s="241" t="s">
        <v>810</v>
      </c>
      <c r="D423" s="238">
        <v>51000</v>
      </c>
      <c r="E423" s="238">
        <v>0</v>
      </c>
      <c r="F423" s="568">
        <f t="shared" si="17"/>
        <v>0</v>
      </c>
    </row>
    <row r="424" spans="1:6" s="576" customFormat="1" ht="11.25" customHeight="1" hidden="1">
      <c r="A424" s="571"/>
      <c r="B424" s="572"/>
      <c r="C424" s="573" t="s">
        <v>828</v>
      </c>
      <c r="D424" s="574"/>
      <c r="E424" s="574"/>
      <c r="F424" s="575"/>
    </row>
    <row r="425" spans="1:6" s="582" customFormat="1" ht="18.75" customHeight="1" hidden="1">
      <c r="A425" s="577"/>
      <c r="B425" s="578"/>
      <c r="C425" s="579" t="s">
        <v>830</v>
      </c>
      <c r="D425" s="580">
        <f>SUM(D426,D427)</f>
        <v>0</v>
      </c>
      <c r="E425" s="580">
        <f>SUM(E426,E427)</f>
        <v>0</v>
      </c>
      <c r="F425" s="581" t="e">
        <f>E425/D425*100</f>
        <v>#DIV/0!</v>
      </c>
    </row>
    <row r="426" spans="1:6" s="576" customFormat="1" ht="15.75" customHeight="1" hidden="1">
      <c r="A426" s="571"/>
      <c r="B426" s="572"/>
      <c r="C426" s="583" t="s">
        <v>802</v>
      </c>
      <c r="D426" s="574">
        <v>0</v>
      </c>
      <c r="E426" s="574">
        <v>0</v>
      </c>
      <c r="F426" s="584" t="e">
        <f>E426/D426*100</f>
        <v>#DIV/0!</v>
      </c>
    </row>
    <row r="427" spans="1:6" s="576" customFormat="1" ht="15.75" customHeight="1" hidden="1">
      <c r="A427" s="571"/>
      <c r="B427" s="572"/>
      <c r="C427" s="583" t="s">
        <v>803</v>
      </c>
      <c r="D427" s="574">
        <v>0</v>
      </c>
      <c r="E427" s="574">
        <v>0</v>
      </c>
      <c r="F427" s="584" t="e">
        <f>E427/D427*100</f>
        <v>#DIV/0!</v>
      </c>
    </row>
    <row r="428" spans="1:6" s="123" customFormat="1" ht="18.75" customHeight="1">
      <c r="A428" s="563"/>
      <c r="B428" s="564" t="s">
        <v>92</v>
      </c>
      <c r="C428" s="570" t="s">
        <v>93</v>
      </c>
      <c r="D428" s="248">
        <f>D429</f>
        <v>34000</v>
      </c>
      <c r="E428" s="248">
        <f>E429</f>
        <v>0</v>
      </c>
      <c r="F428" s="565">
        <f t="shared" si="17"/>
        <v>0</v>
      </c>
    </row>
    <row r="429" spans="1:6" s="569" customFormat="1" ht="18.75" customHeight="1" thickBot="1">
      <c r="A429" s="694"/>
      <c r="B429" s="704"/>
      <c r="C429" s="695" t="s">
        <v>810</v>
      </c>
      <c r="D429" s="696">
        <v>34000</v>
      </c>
      <c r="E429" s="696">
        <v>0</v>
      </c>
      <c r="F429" s="697">
        <f t="shared" si="17"/>
        <v>0</v>
      </c>
    </row>
    <row r="430" spans="1:6" s="676" customFormat="1" ht="24.75" customHeight="1" thickBot="1">
      <c r="A430" s="599"/>
      <c r="B430" s="599"/>
      <c r="C430" s="237"/>
      <c r="D430" s="674"/>
      <c r="E430" s="674"/>
      <c r="F430" s="675"/>
    </row>
    <row r="431" spans="1:6" s="129" customFormat="1" ht="11.25" customHeight="1" thickBot="1">
      <c r="A431" s="1255">
        <v>1</v>
      </c>
      <c r="B431" s="1224">
        <v>2</v>
      </c>
      <c r="C431" s="1224">
        <v>3</v>
      </c>
      <c r="D431" s="1226">
        <v>4</v>
      </c>
      <c r="E431" s="1226">
        <v>5</v>
      </c>
      <c r="F431" s="1256">
        <v>6</v>
      </c>
    </row>
    <row r="432" spans="1:6" s="123" customFormat="1" ht="18.75" customHeight="1">
      <c r="A432" s="691"/>
      <c r="B432" s="564" t="s">
        <v>94</v>
      </c>
      <c r="C432" s="247" t="s">
        <v>98</v>
      </c>
      <c r="D432" s="248">
        <f>SUM(D433)</f>
        <v>356000</v>
      </c>
      <c r="E432" s="248">
        <f>SUM(E433)</f>
        <v>141546.99</v>
      </c>
      <c r="F432" s="565">
        <f>E432/D432*100</f>
        <v>39.7603904494382</v>
      </c>
    </row>
    <row r="433" spans="1:6" s="569" customFormat="1" ht="18.75" customHeight="1">
      <c r="A433" s="690"/>
      <c r="B433" s="567"/>
      <c r="C433" s="241" t="s">
        <v>810</v>
      </c>
      <c r="D433" s="238">
        <v>356000</v>
      </c>
      <c r="E433" s="238">
        <v>141546.99</v>
      </c>
      <c r="F433" s="568">
        <f>E433/D433*100</f>
        <v>39.7603904494382</v>
      </c>
    </row>
    <row r="434" spans="1:6" s="576" customFormat="1" ht="12" customHeight="1">
      <c r="A434" s="689"/>
      <c r="B434" s="572"/>
      <c r="C434" s="573" t="s">
        <v>828</v>
      </c>
      <c r="D434" s="574"/>
      <c r="E434" s="574"/>
      <c r="F434" s="575"/>
    </row>
    <row r="435" spans="1:6" s="582" customFormat="1" ht="18.75" customHeight="1">
      <c r="A435" s="636"/>
      <c r="B435" s="578"/>
      <c r="C435" s="579" t="s">
        <v>830</v>
      </c>
      <c r="D435" s="580">
        <f>SUM(D436,D437)</f>
        <v>284733</v>
      </c>
      <c r="E435" s="580">
        <f>SUM(E436,E437)</f>
        <v>126494.88</v>
      </c>
      <c r="F435" s="581">
        <f>E435/D435*100</f>
        <v>44.425788370157306</v>
      </c>
    </row>
    <row r="436" spans="1:6" s="576" customFormat="1" ht="18.75" customHeight="1">
      <c r="A436" s="689"/>
      <c r="B436" s="572"/>
      <c r="C436" s="583" t="s">
        <v>802</v>
      </c>
      <c r="D436" s="574">
        <v>241905</v>
      </c>
      <c r="E436" s="574">
        <v>111933.69</v>
      </c>
      <c r="F436" s="584">
        <f>E436/D436*100</f>
        <v>46.27175544118559</v>
      </c>
    </row>
    <row r="437" spans="1:6" s="576" customFormat="1" ht="18.75" customHeight="1">
      <c r="A437" s="689"/>
      <c r="B437" s="572"/>
      <c r="C437" s="583" t="s">
        <v>803</v>
      </c>
      <c r="D437" s="574">
        <v>42828</v>
      </c>
      <c r="E437" s="574">
        <v>14561.19</v>
      </c>
      <c r="F437" s="584">
        <f>E437/D437*100</f>
        <v>33.999229476043716</v>
      </c>
    </row>
    <row r="438" spans="1:6" s="126" customFormat="1" ht="18.75" customHeight="1">
      <c r="A438" s="692" t="s">
        <v>101</v>
      </c>
      <c r="B438" s="561"/>
      <c r="C438" s="280" t="s">
        <v>102</v>
      </c>
      <c r="D438" s="244">
        <f>SUM(D439,D445,D451)</f>
        <v>1741647</v>
      </c>
      <c r="E438" s="244">
        <f>SUM(E439,E445,E451)</f>
        <v>996125.6499999999</v>
      </c>
      <c r="F438" s="562">
        <f t="shared" si="17"/>
        <v>57.1944630570948</v>
      </c>
    </row>
    <row r="439" spans="1:6" s="123" customFormat="1" ht="18.75" customHeight="1">
      <c r="A439" s="691"/>
      <c r="B439" s="564" t="s">
        <v>103</v>
      </c>
      <c r="C439" s="247" t="s">
        <v>109</v>
      </c>
      <c r="D439" s="248">
        <f>D440</f>
        <v>80000</v>
      </c>
      <c r="E439" s="248">
        <f>E440</f>
        <v>43096</v>
      </c>
      <c r="F439" s="565">
        <f t="shared" si="17"/>
        <v>53.87</v>
      </c>
    </row>
    <row r="440" spans="1:6" s="569" customFormat="1" ht="18.75" customHeight="1">
      <c r="A440" s="690"/>
      <c r="B440" s="567"/>
      <c r="C440" s="241" t="s">
        <v>810</v>
      </c>
      <c r="D440" s="238">
        <v>80000</v>
      </c>
      <c r="E440" s="238">
        <v>43096</v>
      </c>
      <c r="F440" s="568">
        <f t="shared" si="17"/>
        <v>53.87</v>
      </c>
    </row>
    <row r="441" spans="1:6" s="576" customFormat="1" ht="12" customHeight="1">
      <c r="A441" s="689"/>
      <c r="B441" s="572"/>
      <c r="C441" s="573" t="s">
        <v>828</v>
      </c>
      <c r="D441" s="574"/>
      <c r="E441" s="574"/>
      <c r="F441" s="575"/>
    </row>
    <row r="442" spans="1:6" s="582" customFormat="1" ht="18.75" customHeight="1">
      <c r="A442" s="636"/>
      <c r="B442" s="578"/>
      <c r="C442" s="579" t="s">
        <v>830</v>
      </c>
      <c r="D442" s="580">
        <f>SUM(D443,D444)</f>
        <v>77730</v>
      </c>
      <c r="E442" s="580">
        <f>SUM(E443,E444)</f>
        <v>40829.47</v>
      </c>
      <c r="F442" s="581">
        <f>E442/D442*100</f>
        <v>52.52729962691368</v>
      </c>
    </row>
    <row r="443" spans="1:6" s="576" customFormat="1" ht="18.75" customHeight="1">
      <c r="A443" s="689"/>
      <c r="B443" s="572"/>
      <c r="C443" s="583" t="s">
        <v>802</v>
      </c>
      <c r="D443" s="574">
        <v>65096</v>
      </c>
      <c r="E443" s="574">
        <v>31670.84</v>
      </c>
      <c r="F443" s="584">
        <f>E443/D443*100</f>
        <v>48.65251321125722</v>
      </c>
    </row>
    <row r="444" spans="1:6" s="576" customFormat="1" ht="18.75" customHeight="1">
      <c r="A444" s="689"/>
      <c r="B444" s="572"/>
      <c r="C444" s="583" t="s">
        <v>803</v>
      </c>
      <c r="D444" s="574">
        <v>12634</v>
      </c>
      <c r="E444" s="574">
        <v>9158.63</v>
      </c>
      <c r="F444" s="584">
        <f>E444/D444*100</f>
        <v>72.49192654741175</v>
      </c>
    </row>
    <row r="445" spans="1:6" s="123" customFormat="1" ht="18.75" customHeight="1">
      <c r="A445" s="691"/>
      <c r="B445" s="564" t="s">
        <v>110</v>
      </c>
      <c r="C445" s="279" t="s">
        <v>111</v>
      </c>
      <c r="D445" s="248">
        <f>D446</f>
        <v>1641647</v>
      </c>
      <c r="E445" s="248">
        <f>E446</f>
        <v>938500.96</v>
      </c>
      <c r="F445" s="565">
        <f>E445/D445*100</f>
        <v>57.168256025808226</v>
      </c>
    </row>
    <row r="446" spans="1:6" s="569" customFormat="1" ht="18.75" customHeight="1">
      <c r="A446" s="690"/>
      <c r="B446" s="567"/>
      <c r="C446" s="241" t="s">
        <v>810</v>
      </c>
      <c r="D446" s="238">
        <v>1641647</v>
      </c>
      <c r="E446" s="238">
        <v>938500.96</v>
      </c>
      <c r="F446" s="568">
        <f>E446/D446*100</f>
        <v>57.168256025808226</v>
      </c>
    </row>
    <row r="447" spans="1:6" s="576" customFormat="1" ht="12" customHeight="1">
      <c r="A447" s="689"/>
      <c r="B447" s="572"/>
      <c r="C447" s="573" t="s">
        <v>828</v>
      </c>
      <c r="D447" s="574"/>
      <c r="E447" s="574"/>
      <c r="F447" s="575"/>
    </row>
    <row r="448" spans="1:6" s="582" customFormat="1" ht="18.75" customHeight="1">
      <c r="A448" s="636"/>
      <c r="B448" s="578"/>
      <c r="C448" s="579" t="s">
        <v>830</v>
      </c>
      <c r="D448" s="580">
        <f>SUM(D449,D450)</f>
        <v>1329462</v>
      </c>
      <c r="E448" s="580">
        <f>SUM(E449,E450)</f>
        <v>740142.08</v>
      </c>
      <c r="F448" s="581">
        <f>E448/D448*100</f>
        <v>55.672300524573096</v>
      </c>
    </row>
    <row r="449" spans="1:6" s="576" customFormat="1" ht="18.75" customHeight="1">
      <c r="A449" s="689"/>
      <c r="B449" s="572"/>
      <c r="C449" s="583" t="s">
        <v>802</v>
      </c>
      <c r="D449" s="574">
        <v>1110970</v>
      </c>
      <c r="E449" s="574">
        <v>631065.25</v>
      </c>
      <c r="F449" s="584">
        <f>E449/D449*100</f>
        <v>56.80308649198448</v>
      </c>
    </row>
    <row r="450" spans="1:6" s="576" customFormat="1" ht="18.75" customHeight="1">
      <c r="A450" s="689"/>
      <c r="B450" s="572"/>
      <c r="C450" s="583" t="s">
        <v>803</v>
      </c>
      <c r="D450" s="574">
        <v>218492</v>
      </c>
      <c r="E450" s="574">
        <v>109076.83</v>
      </c>
      <c r="F450" s="584">
        <f>E450/D450*100</f>
        <v>49.922573824213245</v>
      </c>
    </row>
    <row r="451" spans="1:6" s="123" customFormat="1" ht="18.75" customHeight="1">
      <c r="A451" s="691"/>
      <c r="B451" s="564" t="s">
        <v>113</v>
      </c>
      <c r="C451" s="247" t="s">
        <v>114</v>
      </c>
      <c r="D451" s="248">
        <f>D452</f>
        <v>20000</v>
      </c>
      <c r="E451" s="248">
        <f>E452</f>
        <v>14528.69</v>
      </c>
      <c r="F451" s="565">
        <f>E451/D451*100</f>
        <v>72.64345</v>
      </c>
    </row>
    <row r="452" spans="1:6" s="569" customFormat="1" ht="18.75" customHeight="1">
      <c r="A452" s="690"/>
      <c r="B452" s="567"/>
      <c r="C452" s="241" t="s">
        <v>810</v>
      </c>
      <c r="D452" s="238">
        <v>20000</v>
      </c>
      <c r="E452" s="238">
        <v>14528.69</v>
      </c>
      <c r="F452" s="568">
        <f>E452/D452*100</f>
        <v>72.64345</v>
      </c>
    </row>
    <row r="453" spans="1:6" s="576" customFormat="1" ht="12" customHeight="1">
      <c r="A453" s="689"/>
      <c r="B453" s="572"/>
      <c r="C453" s="573" t="s">
        <v>828</v>
      </c>
      <c r="D453" s="574"/>
      <c r="E453" s="574"/>
      <c r="F453" s="575"/>
    </row>
    <row r="454" spans="1:6" s="582" customFormat="1" ht="18.75" customHeight="1">
      <c r="A454" s="636"/>
      <c r="B454" s="578"/>
      <c r="C454" s="579" t="s">
        <v>830</v>
      </c>
      <c r="D454" s="580">
        <f>SUM(D455,D456)</f>
        <v>6454</v>
      </c>
      <c r="E454" s="580">
        <f>SUM(E455,E456)</f>
        <v>6452.82</v>
      </c>
      <c r="F454" s="581">
        <f aca="true" t="shared" si="18" ref="F454:F465">E454/D454*100</f>
        <v>99.98171676479703</v>
      </c>
    </row>
    <row r="455" spans="1:6" s="582" customFormat="1" ht="18.75" customHeight="1">
      <c r="A455" s="636"/>
      <c r="B455" s="578"/>
      <c r="C455" s="583" t="s">
        <v>802</v>
      </c>
      <c r="D455" s="574">
        <v>6100</v>
      </c>
      <c r="E455" s="574">
        <v>6100</v>
      </c>
      <c r="F455" s="584">
        <f t="shared" si="18"/>
        <v>100</v>
      </c>
    </row>
    <row r="456" spans="1:6" s="582" customFormat="1" ht="18.75" customHeight="1">
      <c r="A456" s="636"/>
      <c r="B456" s="578"/>
      <c r="C456" s="583" t="s">
        <v>803</v>
      </c>
      <c r="D456" s="574">
        <v>354</v>
      </c>
      <c r="E456" s="574">
        <v>352.82</v>
      </c>
      <c r="F456" s="584">
        <f t="shared" si="18"/>
        <v>99.66666666666667</v>
      </c>
    </row>
    <row r="457" spans="1:6" s="576" customFormat="1" ht="27.75" customHeight="1">
      <c r="A457" s="698" t="s">
        <v>117</v>
      </c>
      <c r="B457" s="561"/>
      <c r="C457" s="586" t="s">
        <v>418</v>
      </c>
      <c r="D457" s="244">
        <f>SUM(D458,D462,D464)</f>
        <v>3705462</v>
      </c>
      <c r="E457" s="244">
        <f>SUM(E458,E462,E464)</f>
        <v>1945414.14</v>
      </c>
      <c r="F457" s="562">
        <f t="shared" si="18"/>
        <v>52.50125733309369</v>
      </c>
    </row>
    <row r="458" spans="1:6" s="576" customFormat="1" ht="18.75" customHeight="1">
      <c r="A458" s="691"/>
      <c r="B458" s="564" t="s">
        <v>843</v>
      </c>
      <c r="C458" s="279" t="s">
        <v>844</v>
      </c>
      <c r="D458" s="248">
        <f>SUM(D459)</f>
        <v>132640</v>
      </c>
      <c r="E458" s="248">
        <f>SUM(E459)</f>
        <v>132640</v>
      </c>
      <c r="F458" s="565">
        <f t="shared" si="18"/>
        <v>100</v>
      </c>
    </row>
    <row r="459" spans="1:8" s="576" customFormat="1" ht="18.75" customHeight="1">
      <c r="A459" s="690"/>
      <c r="B459" s="567"/>
      <c r="C459" s="241" t="s">
        <v>810</v>
      </c>
      <c r="D459" s="238">
        <v>132640</v>
      </c>
      <c r="E459" s="238">
        <v>132640</v>
      </c>
      <c r="F459" s="568">
        <f t="shared" si="18"/>
        <v>100</v>
      </c>
      <c r="H459" s="587"/>
    </row>
    <row r="460" spans="1:6" s="576" customFormat="1" ht="12" customHeight="1">
      <c r="A460" s="689"/>
      <c r="B460" s="572"/>
      <c r="C460" s="573" t="s">
        <v>828</v>
      </c>
      <c r="D460" s="574"/>
      <c r="E460" s="574"/>
      <c r="F460" s="575"/>
    </row>
    <row r="461" spans="1:6" s="582" customFormat="1" ht="18.75" customHeight="1">
      <c r="A461" s="636"/>
      <c r="B461" s="578"/>
      <c r="C461" s="579" t="s">
        <v>831</v>
      </c>
      <c r="D461" s="580">
        <v>132640</v>
      </c>
      <c r="E461" s="580">
        <v>132640</v>
      </c>
      <c r="F461" s="581">
        <f>E461/D461*100</f>
        <v>100</v>
      </c>
    </row>
    <row r="462" spans="1:8" s="588" customFormat="1" ht="18.75" customHeight="1">
      <c r="A462" s="691"/>
      <c r="B462" s="564" t="s">
        <v>61</v>
      </c>
      <c r="C462" s="570" t="s">
        <v>62</v>
      </c>
      <c r="D462" s="248">
        <f>SUM(D463)</f>
        <v>7000</v>
      </c>
      <c r="E462" s="248">
        <f>SUM(E463)</f>
        <v>0</v>
      </c>
      <c r="F462" s="565">
        <f t="shared" si="18"/>
        <v>0</v>
      </c>
      <c r="H462" s="589"/>
    </row>
    <row r="463" spans="1:8" s="576" customFormat="1" ht="18.75" customHeight="1">
      <c r="A463" s="690"/>
      <c r="B463" s="567"/>
      <c r="C463" s="241" t="s">
        <v>810</v>
      </c>
      <c r="D463" s="238">
        <v>7000</v>
      </c>
      <c r="E463" s="238">
        <v>0</v>
      </c>
      <c r="F463" s="568">
        <f>E463/D463*100</f>
        <v>0</v>
      </c>
      <c r="H463" s="587"/>
    </row>
    <row r="464" spans="1:6" s="576" customFormat="1" ht="18.75" customHeight="1">
      <c r="A464" s="691"/>
      <c r="B464" s="564" t="s">
        <v>118</v>
      </c>
      <c r="C464" s="570" t="s">
        <v>385</v>
      </c>
      <c r="D464" s="248">
        <f>SUM(D465,D470)</f>
        <v>3565822</v>
      </c>
      <c r="E464" s="248">
        <f>SUM(E465,E470)</f>
        <v>1812774.14</v>
      </c>
      <c r="F464" s="565">
        <f t="shared" si="18"/>
        <v>50.83748263373774</v>
      </c>
    </row>
    <row r="465" spans="1:6" s="576" customFormat="1" ht="18.75" customHeight="1">
      <c r="A465" s="690"/>
      <c r="B465" s="567"/>
      <c r="C465" s="241" t="s">
        <v>810</v>
      </c>
      <c r="D465" s="238">
        <v>3565822</v>
      </c>
      <c r="E465" s="238">
        <v>1812774.14</v>
      </c>
      <c r="F465" s="568">
        <f t="shared" si="18"/>
        <v>50.83748263373774</v>
      </c>
    </row>
    <row r="466" spans="1:6" s="576" customFormat="1" ht="12" customHeight="1">
      <c r="A466" s="689"/>
      <c r="B466" s="572"/>
      <c r="C466" s="573" t="s">
        <v>828</v>
      </c>
      <c r="D466" s="574"/>
      <c r="E466" s="574"/>
      <c r="F466" s="575"/>
    </row>
    <row r="467" spans="1:6" s="126" customFormat="1" ht="18.75" customHeight="1">
      <c r="A467" s="636"/>
      <c r="B467" s="578"/>
      <c r="C467" s="579" t="s">
        <v>830</v>
      </c>
      <c r="D467" s="580">
        <f>SUM(D468,D469)</f>
        <v>2862184</v>
      </c>
      <c r="E467" s="580">
        <f>SUM(E468,E469)</f>
        <v>1389766</v>
      </c>
      <c r="F467" s="581">
        <f aca="true" t="shared" si="19" ref="F467:F475">E467/D467*100</f>
        <v>48.556137550905184</v>
      </c>
    </row>
    <row r="468" spans="1:6" s="123" customFormat="1" ht="18.75" customHeight="1">
      <c r="A468" s="689"/>
      <c r="B468" s="572"/>
      <c r="C468" s="583" t="s">
        <v>802</v>
      </c>
      <c r="D468" s="574">
        <v>2859971</v>
      </c>
      <c r="E468" s="574">
        <v>1388092.1</v>
      </c>
      <c r="F468" s="584">
        <f t="shared" si="19"/>
        <v>48.53518095113552</v>
      </c>
    </row>
    <row r="469" spans="1:6" s="123" customFormat="1" ht="18.75" customHeight="1" thickBot="1">
      <c r="A469" s="801"/>
      <c r="B469" s="685"/>
      <c r="C469" s="686" t="s">
        <v>803</v>
      </c>
      <c r="D469" s="687">
        <v>2213</v>
      </c>
      <c r="E469" s="687">
        <v>1673.9</v>
      </c>
      <c r="F469" s="688">
        <f t="shared" si="19"/>
        <v>75.6394035246272</v>
      </c>
    </row>
    <row r="470" spans="1:6" s="576" customFormat="1" ht="18.75" customHeight="1" hidden="1">
      <c r="A470" s="566"/>
      <c r="B470" s="567"/>
      <c r="C470" s="241" t="s">
        <v>832</v>
      </c>
      <c r="D470" s="238"/>
      <c r="E470" s="238"/>
      <c r="F470" s="568" t="e">
        <f t="shared" si="19"/>
        <v>#DIV/0!</v>
      </c>
    </row>
    <row r="471" spans="1:6" s="673" customFormat="1" ht="24.75" customHeight="1" thickBot="1">
      <c r="A471" s="599"/>
      <c r="B471" s="599"/>
      <c r="C471" s="237"/>
      <c r="D471" s="674"/>
      <c r="E471" s="674"/>
      <c r="F471" s="675"/>
    </row>
    <row r="472" spans="1:6" s="129" customFormat="1" ht="11.25" customHeight="1" thickBot="1">
      <c r="A472" s="1255">
        <v>1</v>
      </c>
      <c r="B472" s="1224">
        <v>2</v>
      </c>
      <c r="C472" s="1224">
        <v>3</v>
      </c>
      <c r="D472" s="1226">
        <v>4</v>
      </c>
      <c r="E472" s="1226">
        <v>5</v>
      </c>
      <c r="F472" s="1256">
        <v>6</v>
      </c>
    </row>
    <row r="473" spans="1:6" s="123" customFormat="1" ht="18.75" customHeight="1">
      <c r="A473" s="692" t="s">
        <v>124</v>
      </c>
      <c r="B473" s="561"/>
      <c r="C473" s="280" t="s">
        <v>125</v>
      </c>
      <c r="D473" s="244">
        <f>SUM(D474,D480,D486,D494,D500,D507,D515,D521,D523)</f>
        <v>12822468</v>
      </c>
      <c r="E473" s="244">
        <f>SUM(E474,E480,E486,E494,E500,E507,E515,E521,E523)</f>
        <v>6267804.140000001</v>
      </c>
      <c r="F473" s="562">
        <f t="shared" si="19"/>
        <v>48.88141768027809</v>
      </c>
    </row>
    <row r="474" spans="1:6" s="576" customFormat="1" ht="18.75" customHeight="1">
      <c r="A474" s="691"/>
      <c r="B474" s="564" t="s">
        <v>866</v>
      </c>
      <c r="C474" s="279" t="s">
        <v>867</v>
      </c>
      <c r="D474" s="248">
        <f>D475</f>
        <v>740136</v>
      </c>
      <c r="E474" s="248">
        <f>E475</f>
        <v>392371.84</v>
      </c>
      <c r="F474" s="565">
        <f t="shared" si="19"/>
        <v>53.01347860393225</v>
      </c>
    </row>
    <row r="475" spans="1:6" s="569" customFormat="1" ht="18.75" customHeight="1">
      <c r="A475" s="690"/>
      <c r="B475" s="567"/>
      <c r="C475" s="241" t="s">
        <v>810</v>
      </c>
      <c r="D475" s="238">
        <v>740136</v>
      </c>
      <c r="E475" s="238">
        <v>392371.84</v>
      </c>
      <c r="F475" s="568">
        <f t="shared" si="19"/>
        <v>53.01347860393225</v>
      </c>
    </row>
    <row r="476" spans="1:6" s="576" customFormat="1" ht="12" customHeight="1">
      <c r="A476" s="689"/>
      <c r="B476" s="572"/>
      <c r="C476" s="573" t="s">
        <v>828</v>
      </c>
      <c r="D476" s="574"/>
      <c r="E476" s="574"/>
      <c r="F476" s="575"/>
    </row>
    <row r="477" spans="1:6" s="126" customFormat="1" ht="18.75" customHeight="1">
      <c r="A477" s="636"/>
      <c r="B477" s="578"/>
      <c r="C477" s="579" t="s">
        <v>830</v>
      </c>
      <c r="D477" s="580">
        <f>SUM(D478,D479)</f>
        <v>626566</v>
      </c>
      <c r="E477" s="580">
        <f>SUM(E478,E479)</f>
        <v>324118.99</v>
      </c>
      <c r="F477" s="581">
        <f>E477/D477*100</f>
        <v>51.7294251523383</v>
      </c>
    </row>
    <row r="478" spans="1:6" s="123" customFormat="1" ht="18.75" customHeight="1">
      <c r="A478" s="689"/>
      <c r="B478" s="572"/>
      <c r="C478" s="583" t="s">
        <v>802</v>
      </c>
      <c r="D478" s="574">
        <v>531261</v>
      </c>
      <c r="E478" s="574">
        <v>279715.16</v>
      </c>
      <c r="F478" s="584">
        <f>E478/D478*100</f>
        <v>52.6511752227248</v>
      </c>
    </row>
    <row r="479" spans="1:6" s="123" customFormat="1" ht="18.75" customHeight="1">
      <c r="A479" s="689"/>
      <c r="B479" s="572"/>
      <c r="C479" s="583" t="s">
        <v>803</v>
      </c>
      <c r="D479" s="574">
        <v>95305</v>
      </c>
      <c r="E479" s="574">
        <v>44403.83</v>
      </c>
      <c r="F479" s="584">
        <f>E479/D479*100</f>
        <v>46.59129111798961</v>
      </c>
    </row>
    <row r="480" spans="1:6" s="576" customFormat="1" ht="18.75" customHeight="1">
      <c r="A480" s="691"/>
      <c r="B480" s="564" t="s">
        <v>899</v>
      </c>
      <c r="C480" s="279" t="s">
        <v>900</v>
      </c>
      <c r="D480" s="248">
        <f>D481</f>
        <v>574942</v>
      </c>
      <c r="E480" s="248">
        <f>E481</f>
        <v>303313.52</v>
      </c>
      <c r="F480" s="565">
        <f>E480/D480*100</f>
        <v>52.7554988155327</v>
      </c>
    </row>
    <row r="481" spans="1:6" ht="15.75" customHeight="1">
      <c r="A481" s="690"/>
      <c r="B481" s="567"/>
      <c r="C481" s="241" t="s">
        <v>810</v>
      </c>
      <c r="D481" s="238">
        <v>574942</v>
      </c>
      <c r="E481" s="238">
        <v>303313.52</v>
      </c>
      <c r="F481" s="568">
        <f>E481/D481*100</f>
        <v>52.7554988155327</v>
      </c>
    </row>
    <row r="482" spans="1:6" ht="12" customHeight="1">
      <c r="A482" s="689"/>
      <c r="B482" s="572"/>
      <c r="C482" s="573" t="s">
        <v>828</v>
      </c>
      <c r="D482" s="574"/>
      <c r="E482" s="574"/>
      <c r="F482" s="575"/>
    </row>
    <row r="483" spans="1:6" s="126" customFormat="1" ht="17.25" customHeight="1">
      <c r="A483" s="636"/>
      <c r="B483" s="578"/>
      <c r="C483" s="579" t="s">
        <v>830</v>
      </c>
      <c r="D483" s="580">
        <f>SUM(D484,D485)</f>
        <v>514935</v>
      </c>
      <c r="E483" s="580">
        <f>SUM(E484,E485)</f>
        <v>267489.96</v>
      </c>
      <c r="F483" s="581">
        <f>E483/D483*100</f>
        <v>51.94635439424394</v>
      </c>
    </row>
    <row r="484" spans="1:6" s="123" customFormat="1" ht="17.25" customHeight="1">
      <c r="A484" s="689"/>
      <c r="B484" s="572"/>
      <c r="C484" s="583" t="s">
        <v>802</v>
      </c>
      <c r="D484" s="574">
        <v>431500</v>
      </c>
      <c r="E484" s="574">
        <v>230777.53</v>
      </c>
      <c r="F484" s="584">
        <f>E484/D484*100</f>
        <v>53.48262572421785</v>
      </c>
    </row>
    <row r="485" spans="1:6" s="123" customFormat="1" ht="17.25" customHeight="1">
      <c r="A485" s="689"/>
      <c r="B485" s="572"/>
      <c r="C485" s="583" t="s">
        <v>803</v>
      </c>
      <c r="D485" s="574">
        <v>83435</v>
      </c>
      <c r="E485" s="574">
        <v>36712.43</v>
      </c>
      <c r="F485" s="584">
        <f>E485/D485*100</f>
        <v>44.00123449391742</v>
      </c>
    </row>
    <row r="486" spans="1:6" s="576" customFormat="1" ht="18.75" customHeight="1">
      <c r="A486" s="691"/>
      <c r="B486" s="564" t="s">
        <v>130</v>
      </c>
      <c r="C486" s="279" t="s">
        <v>901</v>
      </c>
      <c r="D486" s="248">
        <f>SUM(D487,D493)</f>
        <v>4407406</v>
      </c>
      <c r="E486" s="248">
        <f>SUM(E487,E493)</f>
        <v>2018203.67</v>
      </c>
      <c r="F486" s="565">
        <f>E486/D486*100</f>
        <v>45.791190328279264</v>
      </c>
    </row>
    <row r="487" spans="1:6" s="576" customFormat="1" ht="18.75" customHeight="1">
      <c r="A487" s="690"/>
      <c r="B487" s="567"/>
      <c r="C487" s="241" t="s">
        <v>810</v>
      </c>
      <c r="D487" s="238">
        <v>4257406</v>
      </c>
      <c r="E487" s="238">
        <v>2018203.67</v>
      </c>
      <c r="F487" s="568">
        <f>E487/D487*100</f>
        <v>47.404538585232416</v>
      </c>
    </row>
    <row r="488" spans="1:6" s="576" customFormat="1" ht="12" customHeight="1">
      <c r="A488" s="689"/>
      <c r="B488" s="572"/>
      <c r="C488" s="573" t="s">
        <v>828</v>
      </c>
      <c r="D488" s="574"/>
      <c r="E488" s="574"/>
      <c r="F488" s="575"/>
    </row>
    <row r="489" spans="1:6" s="126" customFormat="1" ht="18.75" customHeight="1">
      <c r="A489" s="636"/>
      <c r="B489" s="578"/>
      <c r="C489" s="579" t="s">
        <v>830</v>
      </c>
      <c r="D489" s="580">
        <f>SUM(D490,D491)</f>
        <v>2657142</v>
      </c>
      <c r="E489" s="580">
        <f>SUM(E490,E491)</f>
        <v>1306511.73</v>
      </c>
      <c r="F489" s="581">
        <f aca="true" t="shared" si="20" ref="F489:F495">E489/D489*100</f>
        <v>49.16981215155231</v>
      </c>
    </row>
    <row r="490" spans="1:6" s="123" customFormat="1" ht="18.75" customHeight="1">
      <c r="A490" s="689"/>
      <c r="B490" s="572"/>
      <c r="C490" s="583" t="s">
        <v>802</v>
      </c>
      <c r="D490" s="574">
        <v>2251793</v>
      </c>
      <c r="E490" s="574">
        <v>1105340.6</v>
      </c>
      <c r="F490" s="584">
        <f t="shared" si="20"/>
        <v>49.08713189889124</v>
      </c>
    </row>
    <row r="491" spans="1:6" s="123" customFormat="1" ht="18.75" customHeight="1">
      <c r="A491" s="689"/>
      <c r="B491" s="572"/>
      <c r="C491" s="583" t="s">
        <v>803</v>
      </c>
      <c r="D491" s="574">
        <v>405349</v>
      </c>
      <c r="E491" s="574">
        <v>201171.13</v>
      </c>
      <c r="F491" s="584">
        <f t="shared" si="20"/>
        <v>49.62911713116352</v>
      </c>
    </row>
    <row r="492" spans="1:6" s="590" customFormat="1" ht="18.75" customHeight="1">
      <c r="A492" s="636"/>
      <c r="B492" s="578"/>
      <c r="C492" s="579" t="s">
        <v>831</v>
      </c>
      <c r="D492" s="580">
        <v>967644</v>
      </c>
      <c r="E492" s="580">
        <v>450284.31</v>
      </c>
      <c r="F492" s="581">
        <f t="shared" si="20"/>
        <v>46.534087949700506</v>
      </c>
    </row>
    <row r="493" spans="1:6" s="576" customFormat="1" ht="18.75" customHeight="1">
      <c r="A493" s="690"/>
      <c r="B493" s="567"/>
      <c r="C493" s="241" t="s">
        <v>832</v>
      </c>
      <c r="D493" s="238">
        <v>150000</v>
      </c>
      <c r="E493" s="238">
        <v>0</v>
      </c>
      <c r="F493" s="568">
        <f>E493/D493*100</f>
        <v>0</v>
      </c>
    </row>
    <row r="494" spans="1:6" s="576" customFormat="1" ht="18.75" customHeight="1">
      <c r="A494" s="691"/>
      <c r="B494" s="564" t="s">
        <v>902</v>
      </c>
      <c r="C494" s="279" t="s">
        <v>903</v>
      </c>
      <c r="D494" s="248">
        <f>D495</f>
        <v>193394</v>
      </c>
      <c r="E494" s="248">
        <f>E495</f>
        <v>101307.79</v>
      </c>
      <c r="F494" s="565">
        <f t="shared" si="20"/>
        <v>52.38414325160036</v>
      </c>
    </row>
    <row r="495" spans="1:6" s="569" customFormat="1" ht="18.75" customHeight="1">
      <c r="A495" s="690"/>
      <c r="B495" s="567"/>
      <c r="C495" s="241" t="s">
        <v>810</v>
      </c>
      <c r="D495" s="238">
        <v>193394</v>
      </c>
      <c r="E495" s="238">
        <v>101307.79</v>
      </c>
      <c r="F495" s="568">
        <f t="shared" si="20"/>
        <v>52.38414325160036</v>
      </c>
    </row>
    <row r="496" spans="1:6" s="576" customFormat="1" ht="12" customHeight="1">
      <c r="A496" s="689"/>
      <c r="B496" s="572"/>
      <c r="C496" s="573" t="s">
        <v>828</v>
      </c>
      <c r="D496" s="574"/>
      <c r="E496" s="574"/>
      <c r="F496" s="575"/>
    </row>
    <row r="497" spans="1:6" s="126" customFormat="1" ht="18.75" customHeight="1">
      <c r="A497" s="636"/>
      <c r="B497" s="578"/>
      <c r="C497" s="579" t="s">
        <v>830</v>
      </c>
      <c r="D497" s="580">
        <f>SUM(D498,D499)</f>
        <v>172064</v>
      </c>
      <c r="E497" s="580">
        <f>SUM(E498,E499)</f>
        <v>89441.79000000001</v>
      </c>
      <c r="F497" s="581">
        <f>E497/D497*100</f>
        <v>51.98169867026223</v>
      </c>
    </row>
    <row r="498" spans="1:6" s="123" customFormat="1" ht="18.75" customHeight="1">
      <c r="A498" s="689"/>
      <c r="B498" s="572"/>
      <c r="C498" s="583" t="s">
        <v>802</v>
      </c>
      <c r="D498" s="574">
        <v>147257</v>
      </c>
      <c r="E498" s="574">
        <v>78775.57</v>
      </c>
      <c r="F498" s="584">
        <f>E498/D498*100</f>
        <v>53.495297337308244</v>
      </c>
    </row>
    <row r="499" spans="1:6" s="123" customFormat="1" ht="18.75" customHeight="1">
      <c r="A499" s="689"/>
      <c r="B499" s="572"/>
      <c r="C499" s="583" t="s">
        <v>803</v>
      </c>
      <c r="D499" s="574">
        <v>24807</v>
      </c>
      <c r="E499" s="574">
        <v>10666.22</v>
      </c>
      <c r="F499" s="584">
        <f>E499/D499*100</f>
        <v>42.99681541500382</v>
      </c>
    </row>
    <row r="500" spans="1:6" s="576" customFormat="1" ht="18.75" customHeight="1">
      <c r="A500" s="691"/>
      <c r="B500" s="564" t="s">
        <v>131</v>
      </c>
      <c r="C500" s="279" t="s">
        <v>132</v>
      </c>
      <c r="D500" s="248">
        <f>SUM(D501)</f>
        <v>6001059</v>
      </c>
      <c r="E500" s="248">
        <f>SUM(E501)</f>
        <v>2989793.3</v>
      </c>
      <c r="F500" s="565">
        <f>E500/D500*100</f>
        <v>49.821094910081705</v>
      </c>
    </row>
    <row r="501" spans="1:6" s="576" customFormat="1" ht="18.75" customHeight="1">
      <c r="A501" s="690"/>
      <c r="B501" s="567"/>
      <c r="C501" s="241" t="s">
        <v>810</v>
      </c>
      <c r="D501" s="238">
        <v>6001059</v>
      </c>
      <c r="E501" s="238">
        <v>2989793.3</v>
      </c>
      <c r="F501" s="568">
        <f>E501/D501*100</f>
        <v>49.821094910081705</v>
      </c>
    </row>
    <row r="502" spans="1:6" s="576" customFormat="1" ht="12" customHeight="1">
      <c r="A502" s="689"/>
      <c r="B502" s="572"/>
      <c r="C502" s="573" t="s">
        <v>828</v>
      </c>
      <c r="D502" s="574"/>
      <c r="E502" s="574"/>
      <c r="F502" s="575"/>
    </row>
    <row r="503" spans="1:6" s="126" customFormat="1" ht="18.75" customHeight="1">
      <c r="A503" s="636"/>
      <c r="B503" s="578"/>
      <c r="C503" s="579" t="s">
        <v>830</v>
      </c>
      <c r="D503" s="580">
        <f>SUM(D504,D505)</f>
        <v>3606006</v>
      </c>
      <c r="E503" s="580">
        <f>SUM(E504,E505)</f>
        <v>1961490.53</v>
      </c>
      <c r="F503" s="581">
        <f aca="true" t="shared" si="21" ref="F503:F508">E503/D503*100</f>
        <v>54.39509889889257</v>
      </c>
    </row>
    <row r="504" spans="1:6" s="123" customFormat="1" ht="18.75" customHeight="1">
      <c r="A504" s="689"/>
      <c r="B504" s="572"/>
      <c r="C504" s="583" t="s">
        <v>802</v>
      </c>
      <c r="D504" s="574">
        <v>3017179</v>
      </c>
      <c r="E504" s="574">
        <v>1692540.55</v>
      </c>
      <c r="F504" s="584">
        <f t="shared" si="21"/>
        <v>56.096789418194945</v>
      </c>
    </row>
    <row r="505" spans="1:6" s="123" customFormat="1" ht="18.75" customHeight="1">
      <c r="A505" s="689"/>
      <c r="B505" s="572"/>
      <c r="C505" s="583" t="s">
        <v>803</v>
      </c>
      <c r="D505" s="574">
        <v>588827</v>
      </c>
      <c r="E505" s="574">
        <v>268949.98</v>
      </c>
      <c r="F505" s="584">
        <f t="shared" si="21"/>
        <v>45.67555156268309</v>
      </c>
    </row>
    <row r="506" spans="1:6" s="590" customFormat="1" ht="16.5" customHeight="1">
      <c r="A506" s="636"/>
      <c r="B506" s="578"/>
      <c r="C506" s="579" t="s">
        <v>831</v>
      </c>
      <c r="D506" s="580">
        <v>965591</v>
      </c>
      <c r="E506" s="580">
        <v>438906.43</v>
      </c>
      <c r="F506" s="581">
        <f t="shared" si="21"/>
        <v>45.45469355037485</v>
      </c>
    </row>
    <row r="507" spans="1:6" s="576" customFormat="1" ht="18.75" customHeight="1">
      <c r="A507" s="691"/>
      <c r="B507" s="564" t="s">
        <v>904</v>
      </c>
      <c r="C507" s="279" t="s">
        <v>905</v>
      </c>
      <c r="D507" s="248">
        <f>SUM(D508)</f>
        <v>577979</v>
      </c>
      <c r="E507" s="248">
        <f>SUM(E508)</f>
        <v>280386.83</v>
      </c>
      <c r="F507" s="565">
        <f t="shared" si="21"/>
        <v>48.511594711918605</v>
      </c>
    </row>
    <row r="508" spans="1:6" s="576" customFormat="1" ht="18.75" customHeight="1">
      <c r="A508" s="690"/>
      <c r="B508" s="567"/>
      <c r="C508" s="241" t="s">
        <v>810</v>
      </c>
      <c r="D508" s="238">
        <v>577979</v>
      </c>
      <c r="E508" s="238">
        <v>280386.83</v>
      </c>
      <c r="F508" s="568">
        <f t="shared" si="21"/>
        <v>48.511594711918605</v>
      </c>
    </row>
    <row r="509" spans="1:6" s="576" customFormat="1" ht="12" customHeight="1">
      <c r="A509" s="689"/>
      <c r="B509" s="572"/>
      <c r="C509" s="573" t="s">
        <v>828</v>
      </c>
      <c r="D509" s="574"/>
      <c r="E509" s="574"/>
      <c r="F509" s="575"/>
    </row>
    <row r="510" spans="1:6" s="126" customFormat="1" ht="18.75" customHeight="1">
      <c r="A510" s="636"/>
      <c r="B510" s="578"/>
      <c r="C510" s="579" t="s">
        <v>830</v>
      </c>
      <c r="D510" s="580">
        <f>SUM(D511,D512)</f>
        <v>519954</v>
      </c>
      <c r="E510" s="580">
        <f>SUM(E511,E512)</f>
        <v>246224.27</v>
      </c>
      <c r="F510" s="581">
        <f>E510/D510*100</f>
        <v>47.35501025090681</v>
      </c>
    </row>
    <row r="511" spans="1:6" s="123" customFormat="1" ht="18.75" customHeight="1">
      <c r="A511" s="689"/>
      <c r="B511" s="572"/>
      <c r="C511" s="583" t="s">
        <v>802</v>
      </c>
      <c r="D511" s="574">
        <v>443422</v>
      </c>
      <c r="E511" s="574">
        <v>212623.81</v>
      </c>
      <c r="F511" s="584">
        <f>E511/D511*100</f>
        <v>47.950667761184604</v>
      </c>
    </row>
    <row r="512" spans="1:6" s="123" customFormat="1" ht="18.75" customHeight="1" thickBot="1">
      <c r="A512" s="801"/>
      <c r="B512" s="685"/>
      <c r="C512" s="686" t="s">
        <v>803</v>
      </c>
      <c r="D512" s="687">
        <v>76532</v>
      </c>
      <c r="E512" s="687">
        <v>33600.46</v>
      </c>
      <c r="F512" s="688">
        <f>E512/D512*100</f>
        <v>43.90380494433701</v>
      </c>
    </row>
    <row r="513" spans="1:6" s="677" customFormat="1" ht="10.5" customHeight="1" thickBot="1">
      <c r="A513" s="596"/>
      <c r="B513" s="596"/>
      <c r="C513" s="670"/>
      <c r="D513" s="671"/>
      <c r="E513" s="671"/>
      <c r="F513" s="672"/>
    </row>
    <row r="514" spans="1:6" s="129" customFormat="1" ht="11.25" customHeight="1" thickBot="1">
      <c r="A514" s="1255">
        <v>1</v>
      </c>
      <c r="B514" s="1224">
        <v>2</v>
      </c>
      <c r="C514" s="1224">
        <v>3</v>
      </c>
      <c r="D514" s="1226">
        <v>4</v>
      </c>
      <c r="E514" s="1226">
        <v>5</v>
      </c>
      <c r="F514" s="1256">
        <v>6</v>
      </c>
    </row>
    <row r="515" spans="1:6" s="576" customFormat="1" ht="28.5" customHeight="1">
      <c r="A515" s="691"/>
      <c r="B515" s="591" t="s">
        <v>906</v>
      </c>
      <c r="C515" s="570" t="s">
        <v>907</v>
      </c>
      <c r="D515" s="248">
        <f>D516</f>
        <v>247299</v>
      </c>
      <c r="E515" s="248">
        <f>E516</f>
        <v>143035.58</v>
      </c>
      <c r="F515" s="565">
        <f>E515/D515*100</f>
        <v>57.83912591640079</v>
      </c>
    </row>
    <row r="516" spans="1:6" s="576" customFormat="1" ht="18.75" customHeight="1">
      <c r="A516" s="690"/>
      <c r="B516" s="567"/>
      <c r="C516" s="241" t="s">
        <v>810</v>
      </c>
      <c r="D516" s="238">
        <v>247299</v>
      </c>
      <c r="E516" s="238">
        <v>143035.58</v>
      </c>
      <c r="F516" s="568">
        <f>E516/D516*100</f>
        <v>57.83912591640079</v>
      </c>
    </row>
    <row r="517" spans="1:6" s="576" customFormat="1" ht="12" customHeight="1">
      <c r="A517" s="689"/>
      <c r="B517" s="572"/>
      <c r="C517" s="573" t="s">
        <v>828</v>
      </c>
      <c r="D517" s="574"/>
      <c r="E517" s="574"/>
      <c r="F517" s="575"/>
    </row>
    <row r="518" spans="1:6" s="582" customFormat="1" ht="18.75" customHeight="1">
      <c r="A518" s="636"/>
      <c r="B518" s="578"/>
      <c r="C518" s="579" t="s">
        <v>830</v>
      </c>
      <c r="D518" s="580">
        <f>SUM(D519,D520)</f>
        <v>177805</v>
      </c>
      <c r="E518" s="580">
        <f>SUM(E519,E520)</f>
        <v>105443.5</v>
      </c>
      <c r="F518" s="581">
        <f aca="true" t="shared" si="22" ref="F518:F532">E518/D518*100</f>
        <v>59.302887995275725</v>
      </c>
    </row>
    <row r="519" spans="1:6" s="576" customFormat="1" ht="18.75" customHeight="1">
      <c r="A519" s="689"/>
      <c r="B519" s="572"/>
      <c r="C519" s="583" t="s">
        <v>802</v>
      </c>
      <c r="D519" s="574">
        <v>149722</v>
      </c>
      <c r="E519" s="574">
        <v>92351.05</v>
      </c>
      <c r="F519" s="584">
        <f t="shared" si="22"/>
        <v>61.681683386543064</v>
      </c>
    </row>
    <row r="520" spans="1:6" s="576" customFormat="1" ht="18.75" customHeight="1">
      <c r="A520" s="689"/>
      <c r="B520" s="572"/>
      <c r="C520" s="583" t="s">
        <v>803</v>
      </c>
      <c r="D520" s="574">
        <v>28083</v>
      </c>
      <c r="E520" s="574">
        <v>13092.45</v>
      </c>
      <c r="F520" s="584">
        <f t="shared" si="22"/>
        <v>46.6205533596838</v>
      </c>
    </row>
    <row r="521" spans="1:6" s="123" customFormat="1" ht="18.75" customHeight="1">
      <c r="A521" s="691"/>
      <c r="B521" s="564" t="s">
        <v>908</v>
      </c>
      <c r="C521" s="279" t="s">
        <v>909</v>
      </c>
      <c r="D521" s="248">
        <f>D522</f>
        <v>46741</v>
      </c>
      <c r="E521" s="248">
        <f>E522</f>
        <v>19566.63</v>
      </c>
      <c r="F521" s="565">
        <f t="shared" si="22"/>
        <v>41.86181296934169</v>
      </c>
    </row>
    <row r="522" spans="1:6" s="569" customFormat="1" ht="18.75" customHeight="1">
      <c r="A522" s="690"/>
      <c r="B522" s="567"/>
      <c r="C522" s="241" t="s">
        <v>810</v>
      </c>
      <c r="D522" s="238">
        <v>46741</v>
      </c>
      <c r="E522" s="238">
        <v>19566.63</v>
      </c>
      <c r="F522" s="568">
        <f t="shared" si="22"/>
        <v>41.86181296934169</v>
      </c>
    </row>
    <row r="523" spans="1:6" s="576" customFormat="1" ht="18.75" customHeight="1">
      <c r="A523" s="691"/>
      <c r="B523" s="564" t="s">
        <v>910</v>
      </c>
      <c r="C523" s="279" t="s">
        <v>74</v>
      </c>
      <c r="D523" s="248">
        <f>SUM(D524,D529)</f>
        <v>33512</v>
      </c>
      <c r="E523" s="248">
        <f>SUM(E524,E529)</f>
        <v>19824.98</v>
      </c>
      <c r="F523" s="565">
        <f t="shared" si="22"/>
        <v>59.15785390307949</v>
      </c>
    </row>
    <row r="524" spans="1:6" s="576" customFormat="1" ht="18.75" customHeight="1">
      <c r="A524" s="690"/>
      <c r="B524" s="567"/>
      <c r="C524" s="241" t="s">
        <v>810</v>
      </c>
      <c r="D524" s="238">
        <v>33512</v>
      </c>
      <c r="E524" s="238">
        <v>19824.98</v>
      </c>
      <c r="F524" s="568">
        <f t="shared" si="22"/>
        <v>59.15785390307949</v>
      </c>
    </row>
    <row r="525" spans="1:6" s="576" customFormat="1" ht="12" customHeight="1" hidden="1">
      <c r="A525" s="689"/>
      <c r="B525" s="572"/>
      <c r="C525" s="573" t="s">
        <v>828</v>
      </c>
      <c r="D525" s="574"/>
      <c r="E525" s="574"/>
      <c r="F525" s="575"/>
    </row>
    <row r="526" spans="1:6" s="582" customFormat="1" ht="18.75" customHeight="1" hidden="1">
      <c r="A526" s="636"/>
      <c r="B526" s="578"/>
      <c r="C526" s="579" t="s">
        <v>830</v>
      </c>
      <c r="D526" s="580">
        <f>SUM(D527,D528)</f>
        <v>0</v>
      </c>
      <c r="E526" s="580">
        <f>SUM(E527,E528)</f>
        <v>0</v>
      </c>
      <c r="F526" s="581" t="e">
        <f>E526/D526*100</f>
        <v>#DIV/0!</v>
      </c>
    </row>
    <row r="527" spans="1:6" s="576" customFormat="1" ht="18.75" customHeight="1" hidden="1">
      <c r="A527" s="689"/>
      <c r="B527" s="572"/>
      <c r="C527" s="583" t="s">
        <v>802</v>
      </c>
      <c r="D527" s="574">
        <v>0</v>
      </c>
      <c r="E527" s="574">
        <v>0</v>
      </c>
      <c r="F527" s="584" t="e">
        <f>E527/D527*100</f>
        <v>#DIV/0!</v>
      </c>
    </row>
    <row r="528" spans="1:6" s="576" customFormat="1" ht="18.75" customHeight="1" hidden="1">
      <c r="A528" s="689"/>
      <c r="B528" s="572"/>
      <c r="C528" s="583" t="s">
        <v>803</v>
      </c>
      <c r="D528" s="574">
        <v>0</v>
      </c>
      <c r="E528" s="574">
        <v>0</v>
      </c>
      <c r="F528" s="584" t="e">
        <f>E528/D528*100</f>
        <v>#DIV/0!</v>
      </c>
    </row>
    <row r="529" spans="1:6" s="576" customFormat="1" ht="18.75" customHeight="1" hidden="1">
      <c r="A529" s="690"/>
      <c r="B529" s="567"/>
      <c r="C529" s="241" t="s">
        <v>832</v>
      </c>
      <c r="D529" s="238">
        <v>0</v>
      </c>
      <c r="E529" s="238">
        <v>0</v>
      </c>
      <c r="F529" s="568" t="e">
        <f>E529/D529*100</f>
        <v>#DIV/0!</v>
      </c>
    </row>
    <row r="530" spans="1:6" s="123" customFormat="1" ht="18.75" customHeight="1">
      <c r="A530" s="692" t="s">
        <v>133</v>
      </c>
      <c r="B530" s="561"/>
      <c r="C530" s="280" t="s">
        <v>134</v>
      </c>
      <c r="D530" s="244">
        <f>SUM(D531,D536,D545)</f>
        <v>11527111</v>
      </c>
      <c r="E530" s="244">
        <f>SUM(E531,E536,E545)</f>
        <v>6868787.84</v>
      </c>
      <c r="F530" s="562">
        <f t="shared" si="22"/>
        <v>59.588112233845926</v>
      </c>
    </row>
    <row r="531" spans="1:6" s="569" customFormat="1" ht="18.75" customHeight="1">
      <c r="A531" s="691"/>
      <c r="B531" s="564" t="s">
        <v>911</v>
      </c>
      <c r="C531" s="279" t="s">
        <v>912</v>
      </c>
      <c r="D531" s="248">
        <f>SUM(D532,D535)</f>
        <v>10487661</v>
      </c>
      <c r="E531" s="248">
        <f>SUM(E532,E535)</f>
        <v>6461218.92</v>
      </c>
      <c r="F531" s="565">
        <f t="shared" si="22"/>
        <v>61.60781627094926</v>
      </c>
    </row>
    <row r="532" spans="1:6" s="576" customFormat="1" ht="18.75" customHeight="1">
      <c r="A532" s="690"/>
      <c r="B532" s="567"/>
      <c r="C532" s="241" t="s">
        <v>810</v>
      </c>
      <c r="D532" s="238">
        <v>2360000</v>
      </c>
      <c r="E532" s="238">
        <v>1163831</v>
      </c>
      <c r="F532" s="568">
        <f t="shared" si="22"/>
        <v>49.31487288135593</v>
      </c>
    </row>
    <row r="533" spans="1:6" s="576" customFormat="1" ht="12" customHeight="1">
      <c r="A533" s="689"/>
      <c r="B533" s="572"/>
      <c r="C533" s="573" t="s">
        <v>828</v>
      </c>
      <c r="D533" s="574"/>
      <c r="E533" s="574"/>
      <c r="F533" s="575"/>
    </row>
    <row r="534" spans="1:6" s="582" customFormat="1" ht="17.25" customHeight="1">
      <c r="A534" s="636"/>
      <c r="B534" s="578"/>
      <c r="C534" s="579" t="s">
        <v>831</v>
      </c>
      <c r="D534" s="580">
        <v>2360000</v>
      </c>
      <c r="E534" s="580">
        <v>1163831</v>
      </c>
      <c r="F534" s="581">
        <f>E534/D534*100</f>
        <v>49.31487288135593</v>
      </c>
    </row>
    <row r="535" spans="1:6" s="576" customFormat="1" ht="18.75" customHeight="1">
      <c r="A535" s="689"/>
      <c r="B535" s="572"/>
      <c r="C535" s="241" t="s">
        <v>832</v>
      </c>
      <c r="D535" s="238">
        <v>8127661</v>
      </c>
      <c r="E535" s="238">
        <v>5297387.92</v>
      </c>
      <c r="F535" s="568">
        <f>E535/D535*100</f>
        <v>65.17727449508536</v>
      </c>
    </row>
    <row r="536" spans="1:6" s="123" customFormat="1" ht="27" customHeight="1">
      <c r="A536" s="691"/>
      <c r="B536" s="564" t="s">
        <v>913</v>
      </c>
      <c r="C536" s="570" t="s">
        <v>914</v>
      </c>
      <c r="D536" s="248">
        <f>D537+D542</f>
        <v>347450</v>
      </c>
      <c r="E536" s="248">
        <f>E537+E542</f>
        <v>94896.34</v>
      </c>
      <c r="F536" s="565">
        <f>E536/D536*100</f>
        <v>27.3122290977119</v>
      </c>
    </row>
    <row r="537" spans="1:6" s="569" customFormat="1" ht="18.75" customHeight="1">
      <c r="A537" s="690"/>
      <c r="B537" s="567"/>
      <c r="C537" s="241" t="s">
        <v>810</v>
      </c>
      <c r="D537" s="238">
        <v>118400</v>
      </c>
      <c r="E537" s="238">
        <v>50990</v>
      </c>
      <c r="F537" s="565">
        <f>E537/D537*100</f>
        <v>43.06587837837838</v>
      </c>
    </row>
    <row r="538" spans="1:6" s="576" customFormat="1" ht="12" customHeight="1">
      <c r="A538" s="689"/>
      <c r="B538" s="572"/>
      <c r="C538" s="573" t="s">
        <v>828</v>
      </c>
      <c r="D538" s="574"/>
      <c r="E538" s="574"/>
      <c r="F538" s="575"/>
    </row>
    <row r="539" spans="1:6" s="582" customFormat="1" ht="18" customHeight="1">
      <c r="A539" s="636"/>
      <c r="B539" s="578"/>
      <c r="C539" s="579" t="s">
        <v>830</v>
      </c>
      <c r="D539" s="580">
        <f>SUM(D540)</f>
        <v>4000</v>
      </c>
      <c r="E539" s="580">
        <f>SUM(E540)</f>
        <v>990</v>
      </c>
      <c r="F539" s="581">
        <f>E539/D539*100</f>
        <v>24.75</v>
      </c>
    </row>
    <row r="540" spans="1:6" s="576" customFormat="1" ht="18" customHeight="1">
      <c r="A540" s="689"/>
      <c r="B540" s="572"/>
      <c r="C540" s="583" t="s">
        <v>802</v>
      </c>
      <c r="D540" s="574">
        <v>4000</v>
      </c>
      <c r="E540" s="574">
        <v>990</v>
      </c>
      <c r="F540" s="584">
        <f>E540/D540*100</f>
        <v>24.75</v>
      </c>
    </row>
    <row r="541" spans="1:6" s="582" customFormat="1" ht="16.5" customHeight="1">
      <c r="A541" s="636"/>
      <c r="B541" s="578"/>
      <c r="C541" s="579" t="s">
        <v>831</v>
      </c>
      <c r="D541" s="580">
        <v>114400</v>
      </c>
      <c r="E541" s="580">
        <v>50000</v>
      </c>
      <c r="F541" s="581">
        <f>E541/D541*100</f>
        <v>43.70629370629371</v>
      </c>
    </row>
    <row r="542" spans="1:6" s="576" customFormat="1" ht="18.75" customHeight="1">
      <c r="A542" s="690"/>
      <c r="B542" s="567"/>
      <c r="C542" s="241" t="s">
        <v>832</v>
      </c>
      <c r="D542" s="238">
        <v>229050</v>
      </c>
      <c r="E542" s="238">
        <v>43906.34</v>
      </c>
      <c r="F542" s="568">
        <f>E542/D542*100</f>
        <v>19.168888888888887</v>
      </c>
    </row>
    <row r="543" spans="1:6" s="123" customFormat="1" ht="12" customHeight="1">
      <c r="A543" s="689"/>
      <c r="B543" s="572"/>
      <c r="C543" s="573" t="s">
        <v>828</v>
      </c>
      <c r="D543" s="574"/>
      <c r="E543" s="574"/>
      <c r="F543" s="575"/>
    </row>
    <row r="544" spans="1:6" s="590" customFormat="1" ht="18.75" customHeight="1">
      <c r="A544" s="636"/>
      <c r="B544" s="578"/>
      <c r="C544" s="579" t="s">
        <v>831</v>
      </c>
      <c r="D544" s="580">
        <v>4050</v>
      </c>
      <c r="E544" s="580">
        <v>3520</v>
      </c>
      <c r="F544" s="581">
        <f aca="true" t="shared" si="23" ref="F544:F549">E544/D544*100</f>
        <v>86.91358024691358</v>
      </c>
    </row>
    <row r="545" spans="1:6" s="576" customFormat="1" ht="40.5" customHeight="1">
      <c r="A545" s="691"/>
      <c r="B545" s="591" t="s">
        <v>324</v>
      </c>
      <c r="C545" s="592" t="s">
        <v>804</v>
      </c>
      <c r="D545" s="248">
        <f>D546</f>
        <v>692000</v>
      </c>
      <c r="E545" s="248">
        <f>E546</f>
        <v>312672.58</v>
      </c>
      <c r="F545" s="565">
        <f t="shared" si="23"/>
        <v>45.183898843930635</v>
      </c>
    </row>
    <row r="546" spans="1:6" s="576" customFormat="1" ht="18.75" customHeight="1">
      <c r="A546" s="690"/>
      <c r="B546" s="567"/>
      <c r="C546" s="241" t="s">
        <v>810</v>
      </c>
      <c r="D546" s="238">
        <v>692000</v>
      </c>
      <c r="E546" s="238">
        <v>312672.58</v>
      </c>
      <c r="F546" s="575">
        <f t="shared" si="23"/>
        <v>45.183898843930635</v>
      </c>
    </row>
    <row r="547" spans="1:6" s="576" customFormat="1" ht="18.75" customHeight="1">
      <c r="A547" s="692" t="s">
        <v>610</v>
      </c>
      <c r="B547" s="561"/>
      <c r="C547" s="280" t="s">
        <v>922</v>
      </c>
      <c r="D547" s="244">
        <f>SUM(D548,D553,D561,D568,D574,D576)</f>
        <v>2908838</v>
      </c>
      <c r="E547" s="244">
        <f>SUM(E548,E553,E561,E568,E574,E576)</f>
        <v>1234638.2499999998</v>
      </c>
      <c r="F547" s="562">
        <f t="shared" si="23"/>
        <v>42.44437985202338</v>
      </c>
    </row>
    <row r="548" spans="1:6" s="123" customFormat="1" ht="18.75" customHeight="1">
      <c r="A548" s="691"/>
      <c r="B548" s="564" t="s">
        <v>611</v>
      </c>
      <c r="C548" s="279" t="s">
        <v>923</v>
      </c>
      <c r="D548" s="248">
        <f>SUM(D549,D552)</f>
        <v>938641</v>
      </c>
      <c r="E548" s="248">
        <f>SUM(E549,E552)</f>
        <v>417833.77</v>
      </c>
      <c r="F548" s="565">
        <f t="shared" si="23"/>
        <v>44.5147580384833</v>
      </c>
    </row>
    <row r="549" spans="1:6" s="569" customFormat="1" ht="18.75" customHeight="1">
      <c r="A549" s="690"/>
      <c r="B549" s="567"/>
      <c r="C549" s="241" t="s">
        <v>810</v>
      </c>
      <c r="D549" s="238">
        <v>908641</v>
      </c>
      <c r="E549" s="238">
        <v>417833.77</v>
      </c>
      <c r="F549" s="568">
        <f t="shared" si="23"/>
        <v>45.98447241539838</v>
      </c>
    </row>
    <row r="550" spans="1:6" s="569" customFormat="1" ht="12" customHeight="1">
      <c r="A550" s="690"/>
      <c r="B550" s="567"/>
      <c r="C550" s="573" t="s">
        <v>828</v>
      </c>
      <c r="D550" s="574"/>
      <c r="E550" s="574"/>
      <c r="F550" s="575"/>
    </row>
    <row r="551" spans="1:6" s="590" customFormat="1" ht="18.75" customHeight="1">
      <c r="A551" s="693"/>
      <c r="B551" s="594"/>
      <c r="C551" s="579" t="s">
        <v>831</v>
      </c>
      <c r="D551" s="580">
        <v>793186</v>
      </c>
      <c r="E551" s="580">
        <v>392841.87</v>
      </c>
      <c r="F551" s="581">
        <f>E551/D551*100</f>
        <v>49.527080659517445</v>
      </c>
    </row>
    <row r="552" spans="1:6" s="569" customFormat="1" ht="18.75" customHeight="1">
      <c r="A552" s="690"/>
      <c r="B552" s="567"/>
      <c r="C552" s="241" t="s">
        <v>832</v>
      </c>
      <c r="D552" s="238">
        <v>30000</v>
      </c>
      <c r="E552" s="238">
        <v>0</v>
      </c>
      <c r="F552" s="568">
        <f>E552/D552*100</f>
        <v>0</v>
      </c>
    </row>
    <row r="553" spans="1:6" s="569" customFormat="1" ht="18.75" customHeight="1">
      <c r="A553" s="691"/>
      <c r="B553" s="564" t="s">
        <v>622</v>
      </c>
      <c r="C553" s="279" t="s">
        <v>387</v>
      </c>
      <c r="D553" s="248">
        <f>SUM(D554)</f>
        <v>326070</v>
      </c>
      <c r="E553" s="248">
        <f>SUM(E554)</f>
        <v>118422.86</v>
      </c>
      <c r="F553" s="565">
        <f>E553/D553*100</f>
        <v>36.318232281411966</v>
      </c>
    </row>
    <row r="554" spans="1:6" s="576" customFormat="1" ht="18.75" customHeight="1">
      <c r="A554" s="690"/>
      <c r="B554" s="567"/>
      <c r="C554" s="241" t="s">
        <v>810</v>
      </c>
      <c r="D554" s="238">
        <v>326070</v>
      </c>
      <c r="E554" s="238">
        <v>118422.86</v>
      </c>
      <c r="F554" s="568">
        <f>E554/D554*100</f>
        <v>36.318232281411966</v>
      </c>
    </row>
    <row r="555" spans="1:6" s="576" customFormat="1" ht="9.75" customHeight="1">
      <c r="A555" s="690"/>
      <c r="B555" s="567"/>
      <c r="C555" s="573" t="s">
        <v>828</v>
      </c>
      <c r="D555" s="574"/>
      <c r="E555" s="574"/>
      <c r="F555" s="575"/>
    </row>
    <row r="556" spans="1:6" s="582" customFormat="1" ht="18" customHeight="1">
      <c r="A556" s="693"/>
      <c r="B556" s="594"/>
      <c r="C556" s="579" t="s">
        <v>830</v>
      </c>
      <c r="D556" s="580">
        <f>SUM(D557,D560)</f>
        <v>226708</v>
      </c>
      <c r="E556" s="580">
        <f>SUM(E557,E560)</f>
        <v>84654.48999999999</v>
      </c>
      <c r="F556" s="581">
        <f>E556/D556*100</f>
        <v>37.34075992024983</v>
      </c>
    </row>
    <row r="557" spans="1:6" s="576" customFormat="1" ht="18" customHeight="1" thickBot="1">
      <c r="A557" s="800"/>
      <c r="B557" s="704"/>
      <c r="C557" s="686" t="s">
        <v>802</v>
      </c>
      <c r="D557" s="687">
        <v>195167</v>
      </c>
      <c r="E557" s="687">
        <v>81019.26</v>
      </c>
      <c r="F557" s="688">
        <f>E557/D557*100</f>
        <v>41.51278648542018</v>
      </c>
    </row>
    <row r="558" spans="1:6" s="673" customFormat="1" ht="8.25" customHeight="1" thickBot="1">
      <c r="A558" s="599"/>
      <c r="B558" s="599"/>
      <c r="C558" s="670"/>
      <c r="D558" s="671"/>
      <c r="E558" s="671"/>
      <c r="F558" s="672"/>
    </row>
    <row r="559" spans="1:6" s="129" customFormat="1" ht="11.25" customHeight="1" thickBot="1">
      <c r="A559" s="1255">
        <v>1</v>
      </c>
      <c r="B559" s="1224">
        <v>2</v>
      </c>
      <c r="C559" s="1224">
        <v>3</v>
      </c>
      <c r="D559" s="1226">
        <v>4</v>
      </c>
      <c r="E559" s="1226">
        <v>5</v>
      </c>
      <c r="F559" s="1256">
        <v>6</v>
      </c>
    </row>
    <row r="560" spans="1:6" s="576" customFormat="1" ht="18" customHeight="1">
      <c r="A560" s="690"/>
      <c r="B560" s="567"/>
      <c r="C560" s="583" t="s">
        <v>803</v>
      </c>
      <c r="D560" s="574">
        <v>31541</v>
      </c>
      <c r="E560" s="574">
        <v>3635.23</v>
      </c>
      <c r="F560" s="584">
        <f>E560/D560*100</f>
        <v>11.52541136932881</v>
      </c>
    </row>
    <row r="561" spans="1:6" s="576" customFormat="1" ht="18.75" customHeight="1">
      <c r="A561" s="691"/>
      <c r="B561" s="564" t="s">
        <v>926</v>
      </c>
      <c r="C561" s="279" t="s">
        <v>927</v>
      </c>
      <c r="D561" s="248">
        <f>D562</f>
        <v>1455427</v>
      </c>
      <c r="E561" s="248">
        <f>E562</f>
        <v>628066.57</v>
      </c>
      <c r="F561" s="565">
        <f>E561/D561*100</f>
        <v>43.15342301606332</v>
      </c>
    </row>
    <row r="562" spans="1:6" s="576" customFormat="1" ht="18.75" customHeight="1">
      <c r="A562" s="690"/>
      <c r="B562" s="567"/>
      <c r="C562" s="241" t="s">
        <v>810</v>
      </c>
      <c r="D562" s="238">
        <v>1455427</v>
      </c>
      <c r="E562" s="238">
        <v>628066.57</v>
      </c>
      <c r="F562" s="568">
        <f>E562/D562*100</f>
        <v>43.15342301606332</v>
      </c>
    </row>
    <row r="563" spans="1:6" s="123" customFormat="1" ht="12" customHeight="1">
      <c r="A563" s="689"/>
      <c r="B563" s="572"/>
      <c r="C563" s="573" t="s">
        <v>828</v>
      </c>
      <c r="D563" s="574"/>
      <c r="E563" s="574"/>
      <c r="F563" s="595"/>
    </row>
    <row r="564" spans="1:6" s="590" customFormat="1" ht="18.75" customHeight="1">
      <c r="A564" s="636"/>
      <c r="B564" s="578"/>
      <c r="C564" s="579" t="s">
        <v>830</v>
      </c>
      <c r="D564" s="580">
        <f>SUM(D565,D566)</f>
        <v>152143</v>
      </c>
      <c r="E564" s="580">
        <f>SUM(E565,E566)</f>
        <v>56561.490000000005</v>
      </c>
      <c r="F564" s="581">
        <f aca="true" t="shared" si="24" ref="F564:F569">E564/D564*100</f>
        <v>37.176531289641986</v>
      </c>
    </row>
    <row r="565" spans="1:6" s="569" customFormat="1" ht="18.75" customHeight="1">
      <c r="A565" s="689"/>
      <c r="B565" s="572"/>
      <c r="C565" s="583" t="s">
        <v>802</v>
      </c>
      <c r="D565" s="574">
        <v>126902</v>
      </c>
      <c r="E565" s="574">
        <v>49136.37</v>
      </c>
      <c r="F565" s="584">
        <f t="shared" si="24"/>
        <v>38.71993349198594</v>
      </c>
    </row>
    <row r="566" spans="1:6" s="569" customFormat="1" ht="18.75" customHeight="1">
      <c r="A566" s="689"/>
      <c r="B566" s="572"/>
      <c r="C566" s="583" t="s">
        <v>803</v>
      </c>
      <c r="D566" s="574">
        <v>25241</v>
      </c>
      <c r="E566" s="574">
        <v>7425.12</v>
      </c>
      <c r="F566" s="584">
        <f t="shared" si="24"/>
        <v>29.416901073650013</v>
      </c>
    </row>
    <row r="567" spans="1:6" s="582" customFormat="1" ht="18.75" customHeight="1">
      <c r="A567" s="636"/>
      <c r="B567" s="578"/>
      <c r="C567" s="579" t="s">
        <v>831</v>
      </c>
      <c r="D567" s="580">
        <v>67569</v>
      </c>
      <c r="E567" s="580">
        <v>25836.87</v>
      </c>
      <c r="F567" s="581">
        <f t="shared" si="24"/>
        <v>38.237756959552456</v>
      </c>
    </row>
    <row r="568" spans="1:6" s="569" customFormat="1" ht="18.75" customHeight="1">
      <c r="A568" s="691"/>
      <c r="B568" s="564" t="s">
        <v>928</v>
      </c>
      <c r="C568" s="247" t="s">
        <v>929</v>
      </c>
      <c r="D568" s="248">
        <f>D569</f>
        <v>161700</v>
      </c>
      <c r="E568" s="248">
        <f>E569</f>
        <v>64798.89</v>
      </c>
      <c r="F568" s="565">
        <f t="shared" si="24"/>
        <v>40.073525046382194</v>
      </c>
    </row>
    <row r="569" spans="1:6" s="569" customFormat="1" ht="18.75" customHeight="1">
      <c r="A569" s="690"/>
      <c r="B569" s="567"/>
      <c r="C569" s="241" t="s">
        <v>810</v>
      </c>
      <c r="D569" s="238">
        <v>161700</v>
      </c>
      <c r="E569" s="238">
        <v>64798.89</v>
      </c>
      <c r="F569" s="568">
        <f t="shared" si="24"/>
        <v>40.073525046382194</v>
      </c>
    </row>
    <row r="570" spans="1:6" s="569" customFormat="1" ht="12" customHeight="1">
      <c r="A570" s="689"/>
      <c r="B570" s="572"/>
      <c r="C570" s="573" t="s">
        <v>828</v>
      </c>
      <c r="D570" s="574"/>
      <c r="E570" s="574"/>
      <c r="F570" s="575"/>
    </row>
    <row r="571" spans="1:6" s="582" customFormat="1" ht="18.75" customHeight="1">
      <c r="A571" s="636"/>
      <c r="B571" s="578"/>
      <c r="C571" s="579" t="s">
        <v>830</v>
      </c>
      <c r="D571" s="580">
        <f>SUM(D572,D573)</f>
        <v>144234</v>
      </c>
      <c r="E571" s="580">
        <f>SUM(E572,E573)</f>
        <v>59851.09</v>
      </c>
      <c r="F571" s="581">
        <f>E571/D571*100</f>
        <v>41.49582622682585</v>
      </c>
    </row>
    <row r="572" spans="1:6" s="576" customFormat="1" ht="18.75" customHeight="1">
      <c r="A572" s="689"/>
      <c r="B572" s="572"/>
      <c r="C572" s="583" t="s">
        <v>802</v>
      </c>
      <c r="D572" s="574">
        <v>121534</v>
      </c>
      <c r="E572" s="574">
        <v>52400.34</v>
      </c>
      <c r="F572" s="584">
        <f>E572/D572*100</f>
        <v>43.115786528872576</v>
      </c>
    </row>
    <row r="573" spans="1:6" s="576" customFormat="1" ht="18.75" customHeight="1">
      <c r="A573" s="689"/>
      <c r="B573" s="572"/>
      <c r="C573" s="583" t="s">
        <v>803</v>
      </c>
      <c r="D573" s="574">
        <v>22700</v>
      </c>
      <c r="E573" s="574">
        <v>7450.75</v>
      </c>
      <c r="F573" s="584">
        <f>E573/D573*100</f>
        <v>32.82268722466961</v>
      </c>
    </row>
    <row r="574" spans="1:6" s="569" customFormat="1" ht="31.5" customHeight="1" hidden="1">
      <c r="A574" s="691"/>
      <c r="B574" s="564" t="s">
        <v>1045</v>
      </c>
      <c r="C574" s="592" t="s">
        <v>1046</v>
      </c>
      <c r="D574" s="248">
        <f>D575</f>
        <v>0</v>
      </c>
      <c r="E574" s="248">
        <f>E575</f>
        <v>0</v>
      </c>
      <c r="F574" s="565" t="e">
        <f>E574/D574*100</f>
        <v>#DIV/0!</v>
      </c>
    </row>
    <row r="575" spans="1:6" s="569" customFormat="1" ht="18.75" customHeight="1" hidden="1">
      <c r="A575" s="690"/>
      <c r="B575" s="567"/>
      <c r="C575" s="241" t="s">
        <v>810</v>
      </c>
      <c r="D575" s="238"/>
      <c r="E575" s="238"/>
      <c r="F575" s="568" t="e">
        <f>E575/D575*100</f>
        <v>#DIV/0!</v>
      </c>
    </row>
    <row r="576" spans="1:6" s="569" customFormat="1" ht="18.75" customHeight="1">
      <c r="A576" s="691"/>
      <c r="B576" s="564" t="s">
        <v>620</v>
      </c>
      <c r="C576" s="279" t="s">
        <v>74</v>
      </c>
      <c r="D576" s="248">
        <f>D577</f>
        <v>27000</v>
      </c>
      <c r="E576" s="248">
        <f>E577</f>
        <v>5516.16</v>
      </c>
      <c r="F576" s="565">
        <f aca="true" t="shared" si="25" ref="F576:F582">E576/D576*100</f>
        <v>20.430222222222223</v>
      </c>
    </row>
    <row r="577" spans="1:6" s="576" customFormat="1" ht="18.75" customHeight="1">
      <c r="A577" s="690"/>
      <c r="B577" s="567"/>
      <c r="C577" s="241" t="s">
        <v>810</v>
      </c>
      <c r="D577" s="238">
        <v>27000</v>
      </c>
      <c r="E577" s="238">
        <v>5516.16</v>
      </c>
      <c r="F577" s="568">
        <f t="shared" si="25"/>
        <v>20.430222222222223</v>
      </c>
    </row>
    <row r="578" spans="1:6" s="569" customFormat="1" ht="27" customHeight="1">
      <c r="A578" s="692" t="s">
        <v>137</v>
      </c>
      <c r="B578" s="561"/>
      <c r="C578" s="586" t="s">
        <v>930</v>
      </c>
      <c r="D578" s="244">
        <f>SUM(D579,D583,D587,D593)</f>
        <v>1006540</v>
      </c>
      <c r="E578" s="244">
        <f>SUM(E579,E583,E587,E593)</f>
        <v>501812.82</v>
      </c>
      <c r="F578" s="562">
        <f t="shared" si="25"/>
        <v>49.8552288036243</v>
      </c>
    </row>
    <row r="579" spans="1:6" s="569" customFormat="1" ht="30.75" customHeight="1">
      <c r="A579" s="691"/>
      <c r="B579" s="564" t="s">
        <v>56</v>
      </c>
      <c r="C579" s="570" t="s">
        <v>59</v>
      </c>
      <c r="D579" s="248">
        <f>SUM(D580)</f>
        <v>33535</v>
      </c>
      <c r="E579" s="248">
        <f>SUM(E580)</f>
        <v>0</v>
      </c>
      <c r="F579" s="562">
        <f t="shared" si="25"/>
        <v>0</v>
      </c>
    </row>
    <row r="580" spans="1:6" s="569" customFormat="1" ht="18" customHeight="1">
      <c r="A580" s="690"/>
      <c r="B580" s="567"/>
      <c r="C580" s="241" t="s">
        <v>810</v>
      </c>
      <c r="D580" s="238">
        <v>33535</v>
      </c>
      <c r="E580" s="238">
        <v>0</v>
      </c>
      <c r="F580" s="568">
        <f t="shared" si="25"/>
        <v>0</v>
      </c>
    </row>
    <row r="581" spans="1:6" s="569" customFormat="1" ht="12" customHeight="1">
      <c r="A581" s="691"/>
      <c r="B581" s="564"/>
      <c r="C581" s="573" t="s">
        <v>828</v>
      </c>
      <c r="D581" s="248"/>
      <c r="E581" s="248"/>
      <c r="F581" s="562"/>
    </row>
    <row r="582" spans="1:6" s="582" customFormat="1" ht="18" customHeight="1">
      <c r="A582" s="636"/>
      <c r="B582" s="578"/>
      <c r="C582" s="579" t="s">
        <v>831</v>
      </c>
      <c r="D582" s="580">
        <v>33535</v>
      </c>
      <c r="E582" s="580">
        <v>0</v>
      </c>
      <c r="F582" s="581">
        <f t="shared" si="25"/>
        <v>0</v>
      </c>
    </row>
    <row r="583" spans="1:6" s="569" customFormat="1" ht="18.75" customHeight="1">
      <c r="A583" s="691"/>
      <c r="B583" s="564" t="s">
        <v>147</v>
      </c>
      <c r="C583" s="600" t="s">
        <v>393</v>
      </c>
      <c r="D583" s="601">
        <f>D584</f>
        <v>31000</v>
      </c>
      <c r="E583" s="601">
        <f>E584</f>
        <v>15498</v>
      </c>
      <c r="F583" s="565">
        <f>E583/D583*100</f>
        <v>49.99354838709677</v>
      </c>
    </row>
    <row r="584" spans="1:6" s="126" customFormat="1" ht="18.75" customHeight="1">
      <c r="A584" s="690"/>
      <c r="B584" s="567"/>
      <c r="C584" s="241" t="s">
        <v>810</v>
      </c>
      <c r="D584" s="238">
        <v>31000</v>
      </c>
      <c r="E584" s="238">
        <v>15498</v>
      </c>
      <c r="F584" s="568">
        <f>E584/D584*100</f>
        <v>49.99354838709677</v>
      </c>
    </row>
    <row r="585" spans="1:6" s="569" customFormat="1" ht="12" customHeight="1">
      <c r="A585" s="689"/>
      <c r="B585" s="572"/>
      <c r="C585" s="573" t="s">
        <v>828</v>
      </c>
      <c r="D585" s="574"/>
      <c r="E585" s="574"/>
      <c r="F585" s="575"/>
    </row>
    <row r="586" spans="1:6" s="590" customFormat="1" ht="18.75" customHeight="1">
      <c r="A586" s="636"/>
      <c r="B586" s="578"/>
      <c r="C586" s="579" t="s">
        <v>831</v>
      </c>
      <c r="D586" s="580">
        <v>31000</v>
      </c>
      <c r="E586" s="580">
        <v>15498</v>
      </c>
      <c r="F586" s="581">
        <f>E586/D586*100</f>
        <v>49.99354838709677</v>
      </c>
    </row>
    <row r="587" spans="1:6" s="569" customFormat="1" ht="18.75" customHeight="1">
      <c r="A587" s="691"/>
      <c r="B587" s="564" t="s">
        <v>932</v>
      </c>
      <c r="C587" s="279" t="s">
        <v>933</v>
      </c>
      <c r="D587" s="248">
        <f>SUM(D588)</f>
        <v>737422</v>
      </c>
      <c r="E587" s="248">
        <f>SUM(E588)</f>
        <v>430989.43</v>
      </c>
      <c r="F587" s="565">
        <f>E587/D587*100</f>
        <v>58.445426092522325</v>
      </c>
    </row>
    <row r="588" spans="1:6" s="569" customFormat="1" ht="18.75" customHeight="1">
      <c r="A588" s="690"/>
      <c r="B588" s="567"/>
      <c r="C588" s="241" t="s">
        <v>810</v>
      </c>
      <c r="D588" s="238">
        <v>737422</v>
      </c>
      <c r="E588" s="238">
        <v>430989.43</v>
      </c>
      <c r="F588" s="568">
        <f>E588/D588*100</f>
        <v>58.445426092522325</v>
      </c>
    </row>
    <row r="589" spans="1:6" s="569" customFormat="1" ht="12" customHeight="1">
      <c r="A589" s="689"/>
      <c r="B589" s="572"/>
      <c r="C589" s="573" t="s">
        <v>828</v>
      </c>
      <c r="D589" s="574"/>
      <c r="E589" s="574"/>
      <c r="F589" s="575"/>
    </row>
    <row r="590" spans="1:6" s="590" customFormat="1" ht="18.75" customHeight="1">
      <c r="A590" s="636"/>
      <c r="B590" s="578"/>
      <c r="C590" s="579" t="s">
        <v>830</v>
      </c>
      <c r="D590" s="580">
        <f>SUM(D591,D592)</f>
        <v>625948</v>
      </c>
      <c r="E590" s="580">
        <f>SUM(E591,E592)</f>
        <v>380268.7</v>
      </c>
      <c r="F590" s="581">
        <f aca="true" t="shared" si="26" ref="F590:F603">E590/D590*100</f>
        <v>60.75084511812483</v>
      </c>
    </row>
    <row r="591" spans="1:6" s="569" customFormat="1" ht="18.75" customHeight="1">
      <c r="A591" s="689"/>
      <c r="B591" s="572"/>
      <c r="C591" s="583" t="s">
        <v>802</v>
      </c>
      <c r="D591" s="574">
        <v>528600</v>
      </c>
      <c r="E591" s="574">
        <v>325423.01</v>
      </c>
      <c r="F591" s="584">
        <f t="shared" si="26"/>
        <v>61.56318766553159</v>
      </c>
    </row>
    <row r="592" spans="1:6" s="569" customFormat="1" ht="18.75" customHeight="1">
      <c r="A592" s="689"/>
      <c r="B592" s="572"/>
      <c r="C592" s="583" t="s">
        <v>803</v>
      </c>
      <c r="D592" s="574">
        <v>97348</v>
      </c>
      <c r="E592" s="574">
        <v>54845.69</v>
      </c>
      <c r="F592" s="584">
        <f t="shared" si="26"/>
        <v>56.33982208160414</v>
      </c>
    </row>
    <row r="593" spans="1:6" s="569" customFormat="1" ht="18" customHeight="1">
      <c r="A593" s="691"/>
      <c r="B593" s="564" t="s">
        <v>934</v>
      </c>
      <c r="C593" s="570" t="s">
        <v>74</v>
      </c>
      <c r="D593" s="248">
        <f>SUM(D594)</f>
        <v>204583</v>
      </c>
      <c r="E593" s="248">
        <f>SUM(E594)</f>
        <v>55325.39</v>
      </c>
      <c r="F593" s="565">
        <f t="shared" si="26"/>
        <v>27.043004550720244</v>
      </c>
    </row>
    <row r="594" spans="1:6" s="569" customFormat="1" ht="18.75" customHeight="1">
      <c r="A594" s="689"/>
      <c r="B594" s="572"/>
      <c r="C594" s="241" t="s">
        <v>810</v>
      </c>
      <c r="D594" s="238">
        <v>204583</v>
      </c>
      <c r="E594" s="238">
        <v>55325.39</v>
      </c>
      <c r="F594" s="568">
        <f t="shared" si="26"/>
        <v>27.043004550720244</v>
      </c>
    </row>
    <row r="595" spans="1:6" s="569" customFormat="1" ht="12" customHeight="1">
      <c r="A595" s="689"/>
      <c r="B595" s="572"/>
      <c r="C595" s="573" t="s">
        <v>828</v>
      </c>
      <c r="D595" s="574"/>
      <c r="E595" s="574"/>
      <c r="F595" s="575"/>
    </row>
    <row r="596" spans="1:6" s="590" customFormat="1" ht="18.75" customHeight="1">
      <c r="A596" s="636"/>
      <c r="B596" s="578"/>
      <c r="C596" s="579" t="s">
        <v>830</v>
      </c>
      <c r="D596" s="580">
        <f>SUM(D597,D598)</f>
        <v>57517</v>
      </c>
      <c r="E596" s="580">
        <f>SUM(E597,E598)</f>
        <v>0</v>
      </c>
      <c r="F596" s="581">
        <f>E596/D596*100</f>
        <v>0</v>
      </c>
    </row>
    <row r="597" spans="1:6" s="569" customFormat="1" ht="18.75" customHeight="1">
      <c r="A597" s="689"/>
      <c r="B597" s="572"/>
      <c r="C597" s="583" t="s">
        <v>802</v>
      </c>
      <c r="D597" s="574">
        <v>48930</v>
      </c>
      <c r="E597" s="574">
        <v>0</v>
      </c>
      <c r="F597" s="584">
        <f>E597/D597*100</f>
        <v>0</v>
      </c>
    </row>
    <row r="598" spans="1:6" s="569" customFormat="1" ht="18.75" customHeight="1">
      <c r="A598" s="689"/>
      <c r="B598" s="572"/>
      <c r="C598" s="583" t="s">
        <v>803</v>
      </c>
      <c r="D598" s="574">
        <v>8587</v>
      </c>
      <c r="E598" s="574">
        <v>0</v>
      </c>
      <c r="F598" s="584">
        <f>E598/D598*100</f>
        <v>0</v>
      </c>
    </row>
    <row r="599" spans="1:6" s="569" customFormat="1" ht="18.75" customHeight="1">
      <c r="A599" s="692" t="s">
        <v>149</v>
      </c>
      <c r="B599" s="561"/>
      <c r="C599" s="586" t="s">
        <v>153</v>
      </c>
      <c r="D599" s="244">
        <f>SUM(D600,D608,D614,D619,D625,D627,D633,D637,D639)</f>
        <v>3990936</v>
      </c>
      <c r="E599" s="244">
        <f>SUM(E600,E608,E614,E619,E625,E627,E633,E637,E639)</f>
        <v>2087905.94</v>
      </c>
      <c r="F599" s="562">
        <f t="shared" si="26"/>
        <v>52.31619700240745</v>
      </c>
    </row>
    <row r="600" spans="1:6" s="576" customFormat="1" ht="18.75" customHeight="1" thickBot="1">
      <c r="A600" s="803"/>
      <c r="B600" s="795" t="s">
        <v>154</v>
      </c>
      <c r="C600" s="705" t="s">
        <v>220</v>
      </c>
      <c r="D600" s="706">
        <f>SUM(D603)</f>
        <v>1879523</v>
      </c>
      <c r="E600" s="706">
        <f>SUM(E603)</f>
        <v>948294.66</v>
      </c>
      <c r="F600" s="707">
        <f t="shared" si="26"/>
        <v>50.45400668148249</v>
      </c>
    </row>
    <row r="601" spans="1:6" s="673" customFormat="1" ht="12" customHeight="1" thickBot="1">
      <c r="A601" s="598"/>
      <c r="B601" s="598"/>
      <c r="C601" s="682"/>
      <c r="D601" s="278"/>
      <c r="E601" s="278"/>
      <c r="F601" s="683"/>
    </row>
    <row r="602" spans="1:6" s="129" customFormat="1" ht="11.25" customHeight="1" thickBot="1">
      <c r="A602" s="1255">
        <v>1</v>
      </c>
      <c r="B602" s="1224">
        <v>2</v>
      </c>
      <c r="C602" s="1224">
        <v>3</v>
      </c>
      <c r="D602" s="1226">
        <v>4</v>
      </c>
      <c r="E602" s="1226">
        <v>5</v>
      </c>
      <c r="F602" s="1256">
        <v>6</v>
      </c>
    </row>
    <row r="603" spans="1:6" s="126" customFormat="1" ht="18.75" customHeight="1">
      <c r="A603" s="690"/>
      <c r="B603" s="567"/>
      <c r="C603" s="241" t="s">
        <v>810</v>
      </c>
      <c r="D603" s="238">
        <v>1879523</v>
      </c>
      <c r="E603" s="238">
        <v>948294.66</v>
      </c>
      <c r="F603" s="568">
        <f t="shared" si="26"/>
        <v>50.45400668148249</v>
      </c>
    </row>
    <row r="604" spans="1:6" s="123" customFormat="1" ht="12" customHeight="1">
      <c r="A604" s="689"/>
      <c r="B604" s="572"/>
      <c r="C604" s="573" t="s">
        <v>828</v>
      </c>
      <c r="D604" s="574"/>
      <c r="E604" s="574"/>
      <c r="F604" s="575"/>
    </row>
    <row r="605" spans="1:6" s="590" customFormat="1" ht="18.75" customHeight="1">
      <c r="A605" s="636"/>
      <c r="B605" s="578"/>
      <c r="C605" s="579" t="s">
        <v>830</v>
      </c>
      <c r="D605" s="580">
        <f>SUM(D606,D607)</f>
        <v>1564942</v>
      </c>
      <c r="E605" s="580">
        <f>SUM(E606,E607)</f>
        <v>784402.71</v>
      </c>
      <c r="F605" s="581">
        <f>E605/D605*100</f>
        <v>50.12343652352611</v>
      </c>
    </row>
    <row r="606" spans="1:6" s="569" customFormat="1" ht="18.75" customHeight="1">
      <c r="A606" s="689"/>
      <c r="B606" s="572"/>
      <c r="C606" s="583" t="s">
        <v>802</v>
      </c>
      <c r="D606" s="574">
        <v>1311812</v>
      </c>
      <c r="E606" s="574">
        <v>675550.4</v>
      </c>
      <c r="F606" s="584">
        <f>E606/D606*100</f>
        <v>51.49750116632566</v>
      </c>
    </row>
    <row r="607" spans="1:6" s="569" customFormat="1" ht="18.75" customHeight="1">
      <c r="A607" s="689"/>
      <c r="B607" s="572"/>
      <c r="C607" s="583" t="s">
        <v>803</v>
      </c>
      <c r="D607" s="574">
        <v>253130</v>
      </c>
      <c r="E607" s="574">
        <v>108852.31</v>
      </c>
      <c r="F607" s="584">
        <f>E607/D607*100</f>
        <v>43.002532295658355</v>
      </c>
    </row>
    <row r="608" spans="1:6" s="576" customFormat="1" ht="27" customHeight="1">
      <c r="A608" s="691"/>
      <c r="B608" s="591" t="s">
        <v>155</v>
      </c>
      <c r="C608" s="570" t="s">
        <v>937</v>
      </c>
      <c r="D608" s="248">
        <f>D609</f>
        <v>837889</v>
      </c>
      <c r="E608" s="248">
        <f>E609</f>
        <v>421104.54</v>
      </c>
      <c r="F608" s="565">
        <f>E608/D608*100</f>
        <v>50.25779548364998</v>
      </c>
    </row>
    <row r="609" spans="1:6" s="576" customFormat="1" ht="18.75" customHeight="1">
      <c r="A609" s="690"/>
      <c r="B609" s="567"/>
      <c r="C609" s="241" t="s">
        <v>810</v>
      </c>
      <c r="D609" s="238">
        <v>837889</v>
      </c>
      <c r="E609" s="238">
        <v>421104.54</v>
      </c>
      <c r="F609" s="568">
        <f>E609/D609*100</f>
        <v>50.25779548364998</v>
      </c>
    </row>
    <row r="610" spans="1:6" s="123" customFormat="1" ht="12" customHeight="1">
      <c r="A610" s="689"/>
      <c r="B610" s="572"/>
      <c r="C610" s="573" t="s">
        <v>828</v>
      </c>
      <c r="D610" s="574"/>
      <c r="E610" s="574"/>
      <c r="F610" s="575"/>
    </row>
    <row r="611" spans="1:6" s="590" customFormat="1" ht="18.75" customHeight="1">
      <c r="A611" s="636"/>
      <c r="B611" s="578"/>
      <c r="C611" s="579" t="s">
        <v>830</v>
      </c>
      <c r="D611" s="580">
        <f>SUM(D612,D613)</f>
        <v>763253</v>
      </c>
      <c r="E611" s="580">
        <f>SUM(E612,E613)</f>
        <v>377657.27999999997</v>
      </c>
      <c r="F611" s="581">
        <f>E611/D611*100</f>
        <v>49.479960118073556</v>
      </c>
    </row>
    <row r="612" spans="1:6" s="569" customFormat="1" ht="18.75" customHeight="1">
      <c r="A612" s="689"/>
      <c r="B612" s="572"/>
      <c r="C612" s="583" t="s">
        <v>802</v>
      </c>
      <c r="D612" s="574">
        <v>652795</v>
      </c>
      <c r="E612" s="574">
        <v>325981.18</v>
      </c>
      <c r="F612" s="584">
        <f>E612/D612*100</f>
        <v>49.93622500172336</v>
      </c>
    </row>
    <row r="613" spans="1:6" s="569" customFormat="1" ht="18.75" customHeight="1">
      <c r="A613" s="689"/>
      <c r="B613" s="572"/>
      <c r="C613" s="583" t="s">
        <v>803</v>
      </c>
      <c r="D613" s="574">
        <v>110458</v>
      </c>
      <c r="E613" s="574">
        <v>51676.1</v>
      </c>
      <c r="F613" s="584">
        <f>E613/D613*100</f>
        <v>46.78348331492513</v>
      </c>
    </row>
    <row r="614" spans="1:6" s="576" customFormat="1" ht="21" customHeight="1" hidden="1">
      <c r="A614" s="691"/>
      <c r="B614" s="591" t="s">
        <v>206</v>
      </c>
      <c r="C614" s="570" t="s">
        <v>938</v>
      </c>
      <c r="D614" s="248">
        <f>D615</f>
        <v>0</v>
      </c>
      <c r="E614" s="248">
        <f>E615</f>
        <v>0</v>
      </c>
      <c r="F614" s="565" t="e">
        <f>E614/D614*100</f>
        <v>#DIV/0!</v>
      </c>
    </row>
    <row r="615" spans="1:6" s="576" customFormat="1" ht="18.75" customHeight="1" hidden="1">
      <c r="A615" s="690"/>
      <c r="B615" s="567"/>
      <c r="C615" s="241" t="s">
        <v>810</v>
      </c>
      <c r="D615" s="238"/>
      <c r="E615" s="238"/>
      <c r="F615" s="568" t="e">
        <f>E615/D615*100</f>
        <v>#DIV/0!</v>
      </c>
    </row>
    <row r="616" spans="1:6" s="123" customFormat="1" ht="12" customHeight="1" hidden="1">
      <c r="A616" s="689"/>
      <c r="B616" s="572"/>
      <c r="C616" s="573" t="s">
        <v>828</v>
      </c>
      <c r="D616" s="574"/>
      <c r="E616" s="574"/>
      <c r="F616" s="575"/>
    </row>
    <row r="617" spans="1:6" s="590" customFormat="1" ht="18.75" customHeight="1" hidden="1">
      <c r="A617" s="636"/>
      <c r="B617" s="578"/>
      <c r="C617" s="579" t="s">
        <v>830</v>
      </c>
      <c r="D617" s="580">
        <f>SUM(D618)</f>
        <v>0</v>
      </c>
      <c r="E617" s="580">
        <f>SUM(E618)</f>
        <v>0</v>
      </c>
      <c r="F617" s="581" t="e">
        <f>E617/D617*100</f>
        <v>#DIV/0!</v>
      </c>
    </row>
    <row r="618" spans="1:6" s="569" customFormat="1" ht="18.75" customHeight="1" hidden="1">
      <c r="A618" s="689"/>
      <c r="B618" s="572"/>
      <c r="C618" s="583" t="s">
        <v>802</v>
      </c>
      <c r="D618" s="574"/>
      <c r="E618" s="574"/>
      <c r="F618" s="584" t="e">
        <f>E618/D618*100</f>
        <v>#DIV/0!</v>
      </c>
    </row>
    <row r="619" spans="1:6" s="576" customFormat="1" ht="18.75" customHeight="1">
      <c r="A619" s="691"/>
      <c r="B619" s="564" t="s">
        <v>208</v>
      </c>
      <c r="C619" s="279" t="s">
        <v>939</v>
      </c>
      <c r="D619" s="248">
        <f>D620</f>
        <v>424438</v>
      </c>
      <c r="E619" s="248">
        <f>E620</f>
        <v>253397.14</v>
      </c>
      <c r="F619" s="565">
        <f>E619/D619*100</f>
        <v>59.701803325809664</v>
      </c>
    </row>
    <row r="620" spans="1:6" s="576" customFormat="1" ht="18" customHeight="1">
      <c r="A620" s="690"/>
      <c r="B620" s="567"/>
      <c r="C620" s="241" t="s">
        <v>810</v>
      </c>
      <c r="D620" s="238">
        <v>424438</v>
      </c>
      <c r="E620" s="238">
        <v>253397.14</v>
      </c>
      <c r="F620" s="568">
        <f>E620/D620*100</f>
        <v>59.701803325809664</v>
      </c>
    </row>
    <row r="621" spans="1:6" s="123" customFormat="1" ht="12" customHeight="1">
      <c r="A621" s="689"/>
      <c r="B621" s="572"/>
      <c r="C621" s="573" t="s">
        <v>828</v>
      </c>
      <c r="D621" s="574"/>
      <c r="E621" s="574"/>
      <c r="F621" s="575"/>
    </row>
    <row r="622" spans="1:6" s="590" customFormat="1" ht="18.75" customHeight="1">
      <c r="A622" s="636"/>
      <c r="B622" s="578"/>
      <c r="C622" s="579" t="s">
        <v>830</v>
      </c>
      <c r="D622" s="580">
        <f>SUM(D623,D624)</f>
        <v>375897</v>
      </c>
      <c r="E622" s="580">
        <f>SUM(E623,E624)</f>
        <v>209777.13999999998</v>
      </c>
      <c r="F622" s="581">
        <f aca="true" t="shared" si="27" ref="F622:F628">E622/D622*100</f>
        <v>55.80708013099333</v>
      </c>
    </row>
    <row r="623" spans="1:6" s="569" customFormat="1" ht="18.75" customHeight="1">
      <c r="A623" s="689"/>
      <c r="B623" s="572"/>
      <c r="C623" s="583" t="s">
        <v>802</v>
      </c>
      <c r="D623" s="574">
        <v>318392</v>
      </c>
      <c r="E623" s="574">
        <v>188221.12</v>
      </c>
      <c r="F623" s="584">
        <f t="shared" si="27"/>
        <v>59.116158697454715</v>
      </c>
    </row>
    <row r="624" spans="1:6" s="569" customFormat="1" ht="18.75" customHeight="1">
      <c r="A624" s="689"/>
      <c r="B624" s="572"/>
      <c r="C624" s="583" t="s">
        <v>803</v>
      </c>
      <c r="D624" s="574">
        <v>57505</v>
      </c>
      <c r="E624" s="574">
        <v>21556.02</v>
      </c>
      <c r="F624" s="584">
        <f t="shared" si="27"/>
        <v>37.4854708286236</v>
      </c>
    </row>
    <row r="625" spans="1:6" s="576" customFormat="1" ht="18.75" customHeight="1">
      <c r="A625" s="691"/>
      <c r="B625" s="564" t="s">
        <v>209</v>
      </c>
      <c r="C625" s="279" t="s">
        <v>210</v>
      </c>
      <c r="D625" s="248">
        <f>D626</f>
        <v>1920</v>
      </c>
      <c r="E625" s="248">
        <f>E626</f>
        <v>1920</v>
      </c>
      <c r="F625" s="565">
        <f t="shared" si="27"/>
        <v>100</v>
      </c>
    </row>
    <row r="626" spans="1:6" s="576" customFormat="1" ht="18" customHeight="1">
      <c r="A626" s="690"/>
      <c r="B626" s="567"/>
      <c r="C626" s="241" t="s">
        <v>810</v>
      </c>
      <c r="D626" s="238">
        <v>1920</v>
      </c>
      <c r="E626" s="238">
        <v>1920</v>
      </c>
      <c r="F626" s="568">
        <f t="shared" si="27"/>
        <v>100</v>
      </c>
    </row>
    <row r="627" spans="1:6" s="569" customFormat="1" ht="18.75" customHeight="1">
      <c r="A627" s="691"/>
      <c r="B627" s="564" t="s">
        <v>211</v>
      </c>
      <c r="C627" s="279" t="s">
        <v>940</v>
      </c>
      <c r="D627" s="248">
        <f>D628</f>
        <v>165918</v>
      </c>
      <c r="E627" s="248">
        <f>E628</f>
        <v>95417.6</v>
      </c>
      <c r="F627" s="565">
        <f t="shared" si="27"/>
        <v>57.508889933581656</v>
      </c>
    </row>
    <row r="628" spans="1:6" s="576" customFormat="1" ht="17.25" customHeight="1">
      <c r="A628" s="690"/>
      <c r="B628" s="567"/>
      <c r="C628" s="241" t="s">
        <v>810</v>
      </c>
      <c r="D628" s="238">
        <v>165918</v>
      </c>
      <c r="E628" s="238">
        <v>95417.6</v>
      </c>
      <c r="F628" s="568">
        <f t="shared" si="27"/>
        <v>57.508889933581656</v>
      </c>
    </row>
    <row r="629" spans="1:6" s="576" customFormat="1" ht="12" customHeight="1">
      <c r="A629" s="689"/>
      <c r="B629" s="572"/>
      <c r="C629" s="573" t="s">
        <v>828</v>
      </c>
      <c r="D629" s="574"/>
      <c r="E629" s="574"/>
      <c r="F629" s="575"/>
    </row>
    <row r="630" spans="1:6" s="582" customFormat="1" ht="18.75" customHeight="1">
      <c r="A630" s="636"/>
      <c r="B630" s="578"/>
      <c r="C630" s="579" t="s">
        <v>830</v>
      </c>
      <c r="D630" s="580">
        <f>SUM(D631,D632)</f>
        <v>160645</v>
      </c>
      <c r="E630" s="580">
        <f>SUM(E631,E632)</f>
        <v>92780.6</v>
      </c>
      <c r="F630" s="581">
        <f>E630/D630*100</f>
        <v>57.75504995486943</v>
      </c>
    </row>
    <row r="631" spans="1:6" s="576" customFormat="1" ht="18.75" customHeight="1">
      <c r="A631" s="689"/>
      <c r="B631" s="572"/>
      <c r="C631" s="583" t="s">
        <v>802</v>
      </c>
      <c r="D631" s="574">
        <v>132424</v>
      </c>
      <c r="E631" s="574">
        <v>79297.92</v>
      </c>
      <c r="F631" s="584">
        <f>E631/D631*100</f>
        <v>59.881834108620794</v>
      </c>
    </row>
    <row r="632" spans="1:6" s="576" customFormat="1" ht="18.75" customHeight="1">
      <c r="A632" s="689"/>
      <c r="B632" s="572"/>
      <c r="C632" s="583" t="s">
        <v>803</v>
      </c>
      <c r="D632" s="574">
        <v>28221</v>
      </c>
      <c r="E632" s="574">
        <v>13482.68</v>
      </c>
      <c r="F632" s="584">
        <f>E632/D632*100</f>
        <v>47.77534460153786</v>
      </c>
    </row>
    <row r="633" spans="1:6" s="123" customFormat="1" ht="18.75" customHeight="1">
      <c r="A633" s="691"/>
      <c r="B633" s="564" t="s">
        <v>941</v>
      </c>
      <c r="C633" s="570" t="s">
        <v>805</v>
      </c>
      <c r="D633" s="248">
        <f>SUM(D634)</f>
        <v>667362</v>
      </c>
      <c r="E633" s="248">
        <f>SUM(E634)</f>
        <v>361792</v>
      </c>
      <c r="F633" s="568">
        <f>E633/D633*100</f>
        <v>54.21225661634915</v>
      </c>
    </row>
    <row r="634" spans="1:6" s="569" customFormat="1" ht="16.5" customHeight="1">
      <c r="A634" s="691"/>
      <c r="B634" s="564"/>
      <c r="C634" s="241" t="s">
        <v>810</v>
      </c>
      <c r="D634" s="238">
        <v>667362</v>
      </c>
      <c r="E634" s="238">
        <v>361792</v>
      </c>
      <c r="F634" s="568">
        <f>E634/D634*100</f>
        <v>54.21225661634915</v>
      </c>
    </row>
    <row r="635" spans="1:6" s="576" customFormat="1" ht="12" customHeight="1">
      <c r="A635" s="689"/>
      <c r="B635" s="572"/>
      <c r="C635" s="573" t="s">
        <v>828</v>
      </c>
      <c r="D635" s="574"/>
      <c r="E635" s="574"/>
      <c r="F635" s="584"/>
    </row>
    <row r="636" spans="1:6" s="582" customFormat="1" ht="18.75" customHeight="1">
      <c r="A636" s="636"/>
      <c r="B636" s="578"/>
      <c r="C636" s="579" t="s">
        <v>831</v>
      </c>
      <c r="D636" s="580">
        <v>667362</v>
      </c>
      <c r="E636" s="580">
        <v>361792</v>
      </c>
      <c r="F636" s="581">
        <f aca="true" t="shared" si="28" ref="F636:F649">E636/D636*100</f>
        <v>54.21225661634915</v>
      </c>
    </row>
    <row r="637" spans="1:6" s="576" customFormat="1" ht="18.75" customHeight="1">
      <c r="A637" s="691"/>
      <c r="B637" s="564" t="s">
        <v>942</v>
      </c>
      <c r="C637" s="279" t="s">
        <v>909</v>
      </c>
      <c r="D637" s="248">
        <f>D638</f>
        <v>12730</v>
      </c>
      <c r="E637" s="248">
        <f>E638</f>
        <v>5070</v>
      </c>
      <c r="F637" s="565">
        <f t="shared" si="28"/>
        <v>39.827179890023565</v>
      </c>
    </row>
    <row r="638" spans="1:6" s="576" customFormat="1" ht="18.75" customHeight="1">
      <c r="A638" s="690"/>
      <c r="B638" s="567"/>
      <c r="C638" s="241" t="s">
        <v>810</v>
      </c>
      <c r="D638" s="238">
        <v>12730</v>
      </c>
      <c r="E638" s="238">
        <v>5070</v>
      </c>
      <c r="F638" s="568">
        <f t="shared" si="28"/>
        <v>39.827179890023565</v>
      </c>
    </row>
    <row r="639" spans="1:6" s="576" customFormat="1" ht="18.75" customHeight="1">
      <c r="A639" s="691"/>
      <c r="B639" s="564" t="s">
        <v>943</v>
      </c>
      <c r="C639" s="279" t="s">
        <v>74</v>
      </c>
      <c r="D639" s="248">
        <f>D640</f>
        <v>1156</v>
      </c>
      <c r="E639" s="248">
        <f>E640</f>
        <v>910</v>
      </c>
      <c r="F639" s="565">
        <f t="shared" si="28"/>
        <v>78.719723183391</v>
      </c>
    </row>
    <row r="640" spans="1:6" s="576" customFormat="1" ht="17.25" customHeight="1">
      <c r="A640" s="690"/>
      <c r="B640" s="567"/>
      <c r="C640" s="241" t="s">
        <v>810</v>
      </c>
      <c r="D640" s="238">
        <v>1156</v>
      </c>
      <c r="E640" s="238">
        <v>910</v>
      </c>
      <c r="F640" s="568">
        <f t="shared" si="28"/>
        <v>78.719723183391</v>
      </c>
    </row>
    <row r="641" spans="1:6" s="569" customFormat="1" ht="27" customHeight="1">
      <c r="A641" s="692" t="s">
        <v>212</v>
      </c>
      <c r="B641" s="561"/>
      <c r="C641" s="586" t="s">
        <v>944</v>
      </c>
      <c r="D641" s="244">
        <f>SUM(D642,D644)</f>
        <v>684394</v>
      </c>
      <c r="E641" s="244">
        <f>SUM(E642,E644)</f>
        <v>348737.95</v>
      </c>
      <c r="F641" s="562">
        <f t="shared" si="28"/>
        <v>50.95572871766848</v>
      </c>
    </row>
    <row r="642" spans="1:6" s="569" customFormat="1" ht="18.75" customHeight="1">
      <c r="A642" s="691"/>
      <c r="B642" s="564" t="s">
        <v>947</v>
      </c>
      <c r="C642" s="570" t="s">
        <v>948</v>
      </c>
      <c r="D642" s="248">
        <f>SUM(D643)</f>
        <v>3294</v>
      </c>
      <c r="E642" s="248">
        <f>SUM(E643)</f>
        <v>1000</v>
      </c>
      <c r="F642" s="568">
        <f t="shared" si="28"/>
        <v>30.35822707953855</v>
      </c>
    </row>
    <row r="643" spans="1:6" s="569" customFormat="1" ht="18.75" customHeight="1">
      <c r="A643" s="690"/>
      <c r="B643" s="567"/>
      <c r="C643" s="241" t="s">
        <v>810</v>
      </c>
      <c r="D643" s="238">
        <v>3294</v>
      </c>
      <c r="E643" s="238">
        <v>1000</v>
      </c>
      <c r="F643" s="568">
        <f t="shared" si="28"/>
        <v>30.35822707953855</v>
      </c>
    </row>
    <row r="644" spans="1:6" s="576" customFormat="1" ht="18.75" customHeight="1">
      <c r="A644" s="691"/>
      <c r="B644" s="564" t="s">
        <v>214</v>
      </c>
      <c r="C644" s="279" t="s">
        <v>215</v>
      </c>
      <c r="D644" s="248">
        <f>SUM(D645)</f>
        <v>681100</v>
      </c>
      <c r="E644" s="248">
        <f>SUM(E645)</f>
        <v>347737.95</v>
      </c>
      <c r="F644" s="565">
        <f t="shared" si="28"/>
        <v>51.05534429599178</v>
      </c>
    </row>
    <row r="645" spans="1:6" s="576" customFormat="1" ht="18.75" customHeight="1" thickBot="1">
      <c r="A645" s="800"/>
      <c r="B645" s="704"/>
      <c r="C645" s="695" t="s">
        <v>810</v>
      </c>
      <c r="D645" s="696">
        <v>681100</v>
      </c>
      <c r="E645" s="696">
        <v>347737.95</v>
      </c>
      <c r="F645" s="697">
        <f t="shared" si="28"/>
        <v>51.05534429599178</v>
      </c>
    </row>
    <row r="646" spans="1:6" s="673" customFormat="1" ht="18.75" customHeight="1" thickBot="1">
      <c r="A646" s="599"/>
      <c r="B646" s="599"/>
      <c r="C646" s="237"/>
      <c r="D646" s="674"/>
      <c r="E646" s="674"/>
      <c r="F646" s="675"/>
    </row>
    <row r="647" spans="1:6" s="129" customFormat="1" ht="11.25" customHeight="1" thickBot="1">
      <c r="A647" s="1255">
        <v>1</v>
      </c>
      <c r="B647" s="1224">
        <v>2</v>
      </c>
      <c r="C647" s="1224">
        <v>3</v>
      </c>
      <c r="D647" s="1226">
        <v>4</v>
      </c>
      <c r="E647" s="1226">
        <v>5</v>
      </c>
      <c r="F647" s="1256">
        <v>6</v>
      </c>
    </row>
    <row r="648" spans="1:6" s="123" customFormat="1" ht="18.75" customHeight="1">
      <c r="A648" s="559"/>
      <c r="B648" s="796"/>
      <c r="C648" s="649" t="s">
        <v>105</v>
      </c>
      <c r="D648" s="403">
        <f>SUM(D649,D656)</f>
        <v>148325792.66</v>
      </c>
      <c r="E648" s="403">
        <f>SUM(E649,E656)</f>
        <v>61043631.110000014</v>
      </c>
      <c r="F648" s="558">
        <f t="shared" si="28"/>
        <v>41.15510189783874</v>
      </c>
    </row>
    <row r="649" spans="1:6" s="123" customFormat="1" ht="18.75" customHeight="1">
      <c r="A649" s="617"/>
      <c r="B649" s="655"/>
      <c r="C649" s="618" t="s">
        <v>810</v>
      </c>
      <c r="D649" s="238">
        <f>SUM(D10,D16,D18,D24,D27,D30,D37,D40,D52,D57,D61,D68,D74,D80,D82,D88,D94,D96,D103,D110,D116,D123,D131,D133,D140,D144)+D150+D155+D158+D168+D174+D181+D189+D193+D195+D201+D212+D219+D226+D232+D240+D247+D254+D256+D260+D268+D270+D275+D277+D284+D290+D297+D306+D314+D320+D327+D329+D331+D338+D340+D342+D347+D349+D352+D354+D361+D368+D372+D381+D395</f>
        <v>88741479.66</v>
      </c>
      <c r="E649" s="238">
        <f>SUM(E10,E16,E18,E24,E27,E30,E37,E40,E52,E57,E61,E68,E74,E80,E82,E88,E94,E96,E103,E110,E116,E123,E131,E133,E140,E144)+E150+E155+E158+E168+E174+E181+E189+E193+E195+E201+E212+E219+E226+E232+E240+E247+E254+E256+E260+E268+E270+E275+E277+E284+E290+E297+E306+E314+E320+E327+E329+E331+E338+E340+E342+E347+E349+E352+E354+E361+E368+E372+E381+E395</f>
        <v>39679034.17000001</v>
      </c>
      <c r="F649" s="568">
        <f t="shared" si="28"/>
        <v>44.713063521167804</v>
      </c>
    </row>
    <row r="650" spans="1:6" s="569" customFormat="1" ht="12" customHeight="1">
      <c r="A650" s="617"/>
      <c r="B650" s="655"/>
      <c r="C650" s="619" t="s">
        <v>828</v>
      </c>
      <c r="D650" s="620"/>
      <c r="E650" s="620"/>
      <c r="F650" s="575"/>
    </row>
    <row r="651" spans="1:6" s="648" customFormat="1" ht="18" customHeight="1">
      <c r="A651" s="645"/>
      <c r="B651" s="797"/>
      <c r="C651" s="646" t="s">
        <v>830</v>
      </c>
      <c r="D651" s="638">
        <f>SUM(D652,D653)</f>
        <v>31646551</v>
      </c>
      <c r="E651" s="638">
        <f>SUM(E652,E653)</f>
        <v>15674857.080000002</v>
      </c>
      <c r="F651" s="647">
        <f aca="true" t="shared" si="29" ref="F651:F656">E651/D651*100</f>
        <v>49.53101233685782</v>
      </c>
    </row>
    <row r="652" spans="1:6" s="576" customFormat="1" ht="18.75" customHeight="1">
      <c r="A652" s="602"/>
      <c r="B652" s="658"/>
      <c r="C652" s="639" t="s">
        <v>802</v>
      </c>
      <c r="D652" s="640">
        <f>SUM(D13,D21,D33,D43,D55,D77,D91,D99,D106,D113,D119,D126,D136,D147,D161,D171,D184,D198,D204,D215,D222,D229,D235,D243,D250,D265,D280,D287,D293,D300)+D309+D317++D323+D334+D357+D386</f>
        <v>26630977</v>
      </c>
      <c r="E652" s="640">
        <f>SUM(E13,E21,E33,E43,E55,E77,E91,E99,E106,E113,E119,E126,E136,E147,E161,E171,E184,E198,E204,E215,E222,E229,E235,E243,E250,E265,E280,E287,E293,E300)+E309+E317++E323+E334+E357+E386</f>
        <v>13484944.600000001</v>
      </c>
      <c r="F652" s="584">
        <f t="shared" si="29"/>
        <v>50.636311991107206</v>
      </c>
    </row>
    <row r="653" spans="1:6" s="576" customFormat="1" ht="18.75" customHeight="1">
      <c r="A653" s="602"/>
      <c r="B653" s="658"/>
      <c r="C653" s="639" t="s">
        <v>803</v>
      </c>
      <c r="D653" s="640">
        <f>SUM(D14,D34,D46,D78,D92,D100,D114,D120,D127,D137,D162,D172,D185,D199,D205,D216,D223,D236,D251,D266,D273,D281,D288,D301,D310,D318,D324,D335,D398)</f>
        <v>5015574</v>
      </c>
      <c r="E653" s="640">
        <f>SUM(E14,E34,E46,E78,E92,E100,E114,E120,E127,E137,E162,E172,E185,E199,E205,E216,E223,E236,E251,E266,E273,E281,E288,E301,E310,E318,E324,E335,E398)</f>
        <v>2189912.48</v>
      </c>
      <c r="F653" s="584">
        <f t="shared" si="29"/>
        <v>43.66225042238436</v>
      </c>
    </row>
    <row r="654" spans="1:7" s="582" customFormat="1" ht="17.25" customHeight="1">
      <c r="A654" s="602"/>
      <c r="B654" s="658"/>
      <c r="C654" s="603" t="s">
        <v>831</v>
      </c>
      <c r="D654" s="638">
        <f>SUM(D63,D107,D163,D176,D186,D191,D206,D217,D224,D230,D237,D244,D252,D258,D311,D363,D370,D374,D387,D399)</f>
        <v>11495071</v>
      </c>
      <c r="E654" s="638">
        <f>SUM(E63,E107,E163,E176,E186,E191,E206,E217,E224,E230,E237,E244,E252,E258,E311,E363,E370,E374,E387,E399)</f>
        <v>6045245.5</v>
      </c>
      <c r="F654" s="581">
        <f t="shared" si="29"/>
        <v>52.58989265921019</v>
      </c>
      <c r="G654" s="582" t="s">
        <v>293</v>
      </c>
    </row>
    <row r="655" spans="1:6" s="582" customFormat="1" ht="18" customHeight="1">
      <c r="A655" s="602"/>
      <c r="B655" s="658"/>
      <c r="C655" s="603" t="s">
        <v>865</v>
      </c>
      <c r="D655" s="638">
        <f>SUM(D152)</f>
        <v>2481161</v>
      </c>
      <c r="E655" s="638">
        <f>SUM(E152)</f>
        <v>697390.73</v>
      </c>
      <c r="F655" s="581">
        <f t="shared" si="29"/>
        <v>28.107435591644396</v>
      </c>
    </row>
    <row r="656" spans="1:6" s="576" customFormat="1" ht="18.75" customHeight="1">
      <c r="A656" s="617"/>
      <c r="B656" s="655"/>
      <c r="C656" s="618" t="s">
        <v>832</v>
      </c>
      <c r="D656" s="238">
        <f>SUM(D38,D47,D49,D58,D64,D69,D71,D83,D101,D138,D141,D164,D177,D187,D207,D238,D282,D294,D302,D325,D345,D350,D358,D364,D375,D379,D388,D393,D400)</f>
        <v>59584313</v>
      </c>
      <c r="E656" s="238">
        <f>SUM(E38,E47,E49,E58,E64,E69,E71,E83,E101,E138,E141,E164,E177,E187,E207,E238,E282,E294,E302,E325,E345,E350,E358,E364,E375,E379,E388,E393,E400)</f>
        <v>21364596.940000005</v>
      </c>
      <c r="F656" s="568">
        <f t="shared" si="29"/>
        <v>35.85607664889919</v>
      </c>
    </row>
    <row r="657" spans="1:6" ht="12" customHeight="1">
      <c r="A657" s="617"/>
      <c r="B657" s="655"/>
      <c r="C657" s="619" t="s">
        <v>828</v>
      </c>
      <c r="D657" s="620"/>
      <c r="E657" s="620"/>
      <c r="F657" s="575"/>
    </row>
    <row r="658" spans="1:10" s="554" customFormat="1" ht="18.75" customHeight="1" thickBot="1">
      <c r="A658" s="641"/>
      <c r="B658" s="664"/>
      <c r="C658" s="642" t="s">
        <v>831</v>
      </c>
      <c r="D658" s="643">
        <f>SUM(D66,D179,D366,D377,D390,D402)</f>
        <v>2120256</v>
      </c>
      <c r="E658" s="643">
        <f>SUM(E66,E179,E366,E377,E390,E402)</f>
        <v>1476303.0899999999</v>
      </c>
      <c r="F658" s="644">
        <f>E658/D658*100</f>
        <v>69.62853023408493</v>
      </c>
      <c r="G658" s="605"/>
      <c r="H658" s="605"/>
      <c r="I658" s="605"/>
      <c r="J658" s="605"/>
    </row>
    <row r="659" spans="1:10" ht="18.75" customHeight="1">
      <c r="A659" s="612"/>
      <c r="B659" s="798"/>
      <c r="C659" s="613" t="s">
        <v>32</v>
      </c>
      <c r="D659" s="614">
        <f>SUM(D660,D666)</f>
        <v>84024670</v>
      </c>
      <c r="E659" s="614">
        <f>SUM(E660,E666)</f>
        <v>34841820.00999999</v>
      </c>
      <c r="F659" s="615">
        <f>E659/D659*100</f>
        <v>41.46617893292529</v>
      </c>
      <c r="G659" s="616"/>
      <c r="H659" s="616"/>
      <c r="I659" s="616"/>
      <c r="J659" s="616"/>
    </row>
    <row r="660" spans="1:10" ht="18.75" customHeight="1">
      <c r="A660" s="617"/>
      <c r="B660" s="655"/>
      <c r="C660" s="618" t="s">
        <v>810</v>
      </c>
      <c r="D660" s="238">
        <f>SUM(D406,D411,D419,D423,D429,D433,D440,D446,D452,D459,D463,D465,D475,D481,D487,D495,D501,D508,D516,D522,D524,D532,D537,D546,D549,D554,D562,D569,D575,D577)+D580+D584+D588+D594+D603+D609+D615+D620+D626+D628+D634+D638+D640+D643+D645</f>
        <v>57445568</v>
      </c>
      <c r="E660" s="238">
        <f>SUM(E406,E411,E419,E423,E429,E433,E440,E446,E452,E459,E463,E465,E475,E481,E487,E495,E501,E508,E516,E522,E524,E532,E537,E546,E549,E554,E562,E569,E575,E577)+E580+E584+E588+E594+E603+E609+E615+E620+E626+E628+E634+E638+E640+E643+E645</f>
        <v>27976897.399999995</v>
      </c>
      <c r="F660" s="568">
        <f>E660/D660*100</f>
        <v>48.70157676915997</v>
      </c>
      <c r="G660" s="616"/>
      <c r="H660" s="616"/>
      <c r="I660" s="616"/>
      <c r="J660" s="616"/>
    </row>
    <row r="661" spans="1:10" ht="12.75" customHeight="1">
      <c r="A661" s="617"/>
      <c r="B661" s="655"/>
      <c r="C661" s="619" t="s">
        <v>828</v>
      </c>
      <c r="D661" s="620"/>
      <c r="E661" s="620"/>
      <c r="F661" s="575"/>
      <c r="G661" s="616"/>
      <c r="H661" s="616"/>
      <c r="I661" s="616"/>
      <c r="J661" s="616"/>
    </row>
    <row r="662" spans="1:10" s="554" customFormat="1" ht="18.75" customHeight="1">
      <c r="A662" s="602"/>
      <c r="B662" s="658"/>
      <c r="C662" s="603" t="s">
        <v>830</v>
      </c>
      <c r="D662" s="604">
        <f>SUM(D663,D664)</f>
        <v>27991803</v>
      </c>
      <c r="E662" s="604">
        <f>SUM(E663,E664)</f>
        <v>14332841.190000001</v>
      </c>
      <c r="F662" s="581">
        <f>E662/D662*100</f>
        <v>51.20370842135464</v>
      </c>
      <c r="G662" s="605"/>
      <c r="H662" s="605"/>
      <c r="I662" s="605"/>
      <c r="J662" s="605"/>
    </row>
    <row r="663" spans="1:10" s="611" customFormat="1" ht="18.75" customHeight="1">
      <c r="A663" s="606"/>
      <c r="B663" s="799"/>
      <c r="C663" s="607" t="s">
        <v>802</v>
      </c>
      <c r="D663" s="608">
        <f>SUM(D414,D426,D436,D443,D449,D455,D468,D478,D484,D490,D498,D504,D511,D519,D527,D540,D557,D565,D572,D591,D597,D606,D612,D618,D623,D631)</f>
        <v>24154567</v>
      </c>
      <c r="E663" s="608">
        <f>SUM(E414,E426,E436,E443,E449,E455,E468,E478,E484,E490,E498,E504,E511,E519,E527,E540,E557,E565,E572,E591,E597,E606,E612,E618,E623,E631)</f>
        <v>12476785.040000001</v>
      </c>
      <c r="F663" s="609">
        <f>E663/D663*100</f>
        <v>51.6539379074773</v>
      </c>
      <c r="G663" s="610"/>
      <c r="H663" s="610"/>
      <c r="I663" s="610"/>
      <c r="J663" s="610"/>
    </row>
    <row r="664" spans="1:10" s="611" customFormat="1" ht="18.75" customHeight="1">
      <c r="A664" s="606"/>
      <c r="B664" s="799"/>
      <c r="C664" s="607" t="s">
        <v>803</v>
      </c>
      <c r="D664" s="608">
        <f>SUM(D415,D427,D437,D444,D450,D456,D469,D479,D485,D491,D499,D505,D512,D520,D528,D560,D566,D573,D592,D598,D607,D613,D624,D632)</f>
        <v>3837236</v>
      </c>
      <c r="E664" s="608">
        <f>SUM(E415,E427,E437,E444,E450,E456,E469,E479,E485,E491,E499,E505,E512,E520,E528,E560,E566,E573,E592,E598,E607,E613,E624,E632)</f>
        <v>1856056.1499999997</v>
      </c>
      <c r="F664" s="609">
        <f>E664/D664*100</f>
        <v>48.36961161627796</v>
      </c>
      <c r="G664" s="610"/>
      <c r="H664" s="610"/>
      <c r="I664" s="610"/>
      <c r="J664" s="610"/>
    </row>
    <row r="665" spans="1:10" s="624" customFormat="1" ht="18.75" customHeight="1">
      <c r="A665" s="606"/>
      <c r="B665" s="799"/>
      <c r="C665" s="621" t="s">
        <v>831</v>
      </c>
      <c r="D665" s="604">
        <f>SUM(D461,D492,D506,D534,D541,D551,D567,D582,D586,D636)</f>
        <v>6132927</v>
      </c>
      <c r="E665" s="604">
        <f>SUM(E461,E492,E506,E534,E541,E551,E567,E582,E586,E636)</f>
        <v>3031630.4800000004</v>
      </c>
      <c r="F665" s="622">
        <f>E665/D665*100</f>
        <v>49.432032698253224</v>
      </c>
      <c r="G665" s="623"/>
      <c r="H665" s="623"/>
      <c r="I665" s="623"/>
      <c r="J665" s="623"/>
    </row>
    <row r="666" spans="1:10" ht="18.75" customHeight="1">
      <c r="A666" s="617"/>
      <c r="B666" s="655"/>
      <c r="C666" s="618" t="s">
        <v>832</v>
      </c>
      <c r="D666" s="625">
        <f>SUM(D409,D416,D420,D470,D493,D529,D535,D542,D552)</f>
        <v>26579102</v>
      </c>
      <c r="E666" s="625">
        <f>SUM(E409,E416,E420,E470,E493,E529,E535,E542,E552)</f>
        <v>6864922.609999999</v>
      </c>
      <c r="F666" s="568">
        <f>E666/D666*100</f>
        <v>25.828271436709937</v>
      </c>
      <c r="G666" s="616"/>
      <c r="H666" s="616"/>
      <c r="I666" s="616"/>
      <c r="J666" s="616"/>
    </row>
    <row r="667" spans="1:10" ht="12" customHeight="1">
      <c r="A667" s="617"/>
      <c r="B667" s="655"/>
      <c r="C667" s="619" t="s">
        <v>828</v>
      </c>
      <c r="D667" s="620"/>
      <c r="E667" s="620"/>
      <c r="F667" s="575"/>
      <c r="G667" s="616"/>
      <c r="H667" s="616"/>
      <c r="I667" s="616"/>
      <c r="J667" s="616"/>
    </row>
    <row r="668" spans="1:10" s="554" customFormat="1" ht="18.75" customHeight="1" thickBot="1">
      <c r="A668" s="602"/>
      <c r="B668" s="658"/>
      <c r="C668" s="603" t="s">
        <v>831</v>
      </c>
      <c r="D668" s="580">
        <f>SUM(D544)</f>
        <v>4050</v>
      </c>
      <c r="E668" s="580">
        <f>SUM(E544)</f>
        <v>3520</v>
      </c>
      <c r="F668" s="581">
        <f>E668/D668*100</f>
        <v>86.91358024691358</v>
      </c>
      <c r="G668" s="605"/>
      <c r="H668" s="605"/>
      <c r="I668" s="605"/>
      <c r="J668" s="605"/>
    </row>
    <row r="669" spans="1:10" ht="18.75" customHeight="1">
      <c r="A669" s="650"/>
      <c r="B669" s="651"/>
      <c r="C669" s="652" t="s">
        <v>221</v>
      </c>
      <c r="D669" s="653">
        <f>SUM(D648,D659)</f>
        <v>232350462.66</v>
      </c>
      <c r="E669" s="653">
        <f>SUM(E648,E659)</f>
        <v>95885451.12</v>
      </c>
      <c r="F669" s="654">
        <f>E669/D669*100</f>
        <v>41.26759638103662</v>
      </c>
      <c r="G669" s="616"/>
      <c r="H669" s="616"/>
      <c r="I669" s="616"/>
      <c r="J669" s="616"/>
    </row>
    <row r="670" spans="1:10" ht="18.75" customHeight="1">
      <c r="A670" s="617"/>
      <c r="B670" s="655"/>
      <c r="C670" s="618" t="s">
        <v>810</v>
      </c>
      <c r="D670" s="238">
        <f>SUM(D649,D660)</f>
        <v>146187047.66</v>
      </c>
      <c r="E670" s="238">
        <f>SUM(E649,E660)</f>
        <v>67655931.57000001</v>
      </c>
      <c r="F670" s="568">
        <f>E670/D670*100</f>
        <v>46.28038711565838</v>
      </c>
      <c r="G670" s="616"/>
      <c r="H670" s="616"/>
      <c r="I670" s="616"/>
      <c r="J670" s="616"/>
    </row>
    <row r="671" spans="1:10" ht="12" customHeight="1">
      <c r="A671" s="617"/>
      <c r="B671" s="655"/>
      <c r="C671" s="619" t="s">
        <v>828</v>
      </c>
      <c r="D671" s="620"/>
      <c r="E671" s="620"/>
      <c r="F671" s="575"/>
      <c r="G671" s="656" t="s">
        <v>445</v>
      </c>
      <c r="H671" s="657" t="s">
        <v>194</v>
      </c>
      <c r="I671" s="616"/>
      <c r="J671" s="616"/>
    </row>
    <row r="672" spans="1:10" s="554" customFormat="1" ht="18.75" customHeight="1">
      <c r="A672" s="602"/>
      <c r="B672" s="658"/>
      <c r="C672" s="603" t="s">
        <v>830</v>
      </c>
      <c r="D672" s="580">
        <f aca="true" t="shared" si="30" ref="D672:E675">SUM(D651,D662)</f>
        <v>59638354</v>
      </c>
      <c r="E672" s="580">
        <f t="shared" si="30"/>
        <v>30007698.270000003</v>
      </c>
      <c r="F672" s="581">
        <f aca="true" t="shared" si="31" ref="F672:F677">E672/D672*100</f>
        <v>50.31610743314613</v>
      </c>
      <c r="G672" s="659">
        <v>30007698.27</v>
      </c>
      <c r="H672" s="660">
        <f>G672-E672</f>
        <v>0</v>
      </c>
      <c r="I672" s="605"/>
      <c r="J672" s="605"/>
    </row>
    <row r="673" spans="1:10" ht="18.75" customHeight="1">
      <c r="A673" s="602"/>
      <c r="B673" s="658"/>
      <c r="C673" s="639" t="s">
        <v>802</v>
      </c>
      <c r="D673" s="574">
        <f t="shared" si="30"/>
        <v>50785544</v>
      </c>
      <c r="E673" s="574">
        <f t="shared" si="30"/>
        <v>25961729.64</v>
      </c>
      <c r="F673" s="584">
        <f t="shared" si="31"/>
        <v>51.12031415869052</v>
      </c>
      <c r="G673" s="661">
        <v>25961729.64</v>
      </c>
      <c r="H673" s="662">
        <f aca="true" t="shared" si="32" ref="H673:H679">G673-E673</f>
        <v>0</v>
      </c>
      <c r="I673" s="616"/>
      <c r="J673" s="616"/>
    </row>
    <row r="674" spans="1:10" ht="18.75" customHeight="1">
      <c r="A674" s="602"/>
      <c r="B674" s="658"/>
      <c r="C674" s="639" t="s">
        <v>803</v>
      </c>
      <c r="D674" s="574">
        <f t="shared" si="30"/>
        <v>8852810</v>
      </c>
      <c r="E674" s="574">
        <f t="shared" si="30"/>
        <v>4045968.63</v>
      </c>
      <c r="F674" s="584">
        <f t="shared" si="31"/>
        <v>45.7026484246245</v>
      </c>
      <c r="G674" s="663">
        <v>4045968.63</v>
      </c>
      <c r="H674" s="660">
        <f t="shared" si="32"/>
        <v>0</v>
      </c>
      <c r="I674" s="616"/>
      <c r="J674" s="616"/>
    </row>
    <row r="675" spans="1:10" s="554" customFormat="1" ht="18.75" customHeight="1">
      <c r="A675" s="602"/>
      <c r="B675" s="658"/>
      <c r="C675" s="603" t="s">
        <v>307</v>
      </c>
      <c r="D675" s="580">
        <f t="shared" si="30"/>
        <v>17627998</v>
      </c>
      <c r="E675" s="580">
        <f t="shared" si="30"/>
        <v>9076875.98</v>
      </c>
      <c r="F675" s="581">
        <f t="shared" si="31"/>
        <v>51.49124693569854</v>
      </c>
      <c r="G675" s="659">
        <v>9083716.82</v>
      </c>
      <c r="H675" s="660">
        <f t="shared" si="32"/>
        <v>6840.839999999851</v>
      </c>
      <c r="I675" s="605"/>
      <c r="J675" s="605"/>
    </row>
    <row r="676" spans="1:10" s="554" customFormat="1" ht="18.75" customHeight="1">
      <c r="A676" s="602"/>
      <c r="B676" s="658"/>
      <c r="C676" s="603" t="s">
        <v>865</v>
      </c>
      <c r="D676" s="580">
        <f>SUM(D655)</f>
        <v>2481161</v>
      </c>
      <c r="E676" s="580">
        <f>SUM(E655)</f>
        <v>697390.73</v>
      </c>
      <c r="F676" s="581">
        <f t="shared" si="31"/>
        <v>28.107435591644396</v>
      </c>
      <c r="G676" s="659">
        <v>697390.73</v>
      </c>
      <c r="H676" s="660">
        <f t="shared" si="32"/>
        <v>0</v>
      </c>
      <c r="I676" s="605"/>
      <c r="J676" s="605"/>
    </row>
    <row r="677" spans="1:10" ht="18.75" customHeight="1">
      <c r="A677" s="617"/>
      <c r="B677" s="655"/>
      <c r="C677" s="618" t="s">
        <v>832</v>
      </c>
      <c r="D677" s="238">
        <f>SUM(D656,D666)</f>
        <v>86163415</v>
      </c>
      <c r="E677" s="238">
        <f>SUM(E656,E666)</f>
        <v>28229519.550000004</v>
      </c>
      <c r="F677" s="568">
        <f t="shared" si="31"/>
        <v>32.76276775937909</v>
      </c>
      <c r="G677" s="663">
        <v>28229519.55</v>
      </c>
      <c r="H677" s="660">
        <f t="shared" si="32"/>
        <v>0</v>
      </c>
      <c r="I677" s="616"/>
      <c r="J677" s="616"/>
    </row>
    <row r="678" spans="1:10" ht="12" customHeight="1">
      <c r="A678" s="617"/>
      <c r="B678" s="655"/>
      <c r="C678" s="619" t="s">
        <v>828</v>
      </c>
      <c r="D678" s="620"/>
      <c r="E678" s="620"/>
      <c r="F678" s="575"/>
      <c r="G678" s="663"/>
      <c r="H678" s="660">
        <f t="shared" si="32"/>
        <v>0</v>
      </c>
      <c r="I678" s="616"/>
      <c r="J678" s="616"/>
    </row>
    <row r="679" spans="1:10" s="554" customFormat="1" ht="18.75" customHeight="1" thickBot="1">
      <c r="A679" s="641"/>
      <c r="B679" s="664"/>
      <c r="C679" s="642" t="s">
        <v>831</v>
      </c>
      <c r="D679" s="643">
        <f>SUM(D658,D668)</f>
        <v>2124306</v>
      </c>
      <c r="E679" s="643">
        <f>SUM(E658,E668)</f>
        <v>1479823.0899999999</v>
      </c>
      <c r="F679" s="644">
        <f>E679/D679*100</f>
        <v>69.66148426827397</v>
      </c>
      <c r="G679" s="659">
        <v>1479823.09</v>
      </c>
      <c r="H679" s="660">
        <f t="shared" si="32"/>
        <v>0</v>
      </c>
      <c r="I679" s="605"/>
      <c r="J679" s="605"/>
    </row>
    <row r="680" spans="1:10" s="123" customFormat="1" ht="18.75" customHeight="1">
      <c r="A680" s="665"/>
      <c r="B680" s="665"/>
      <c r="C680" s="666" t="s">
        <v>9</v>
      </c>
      <c r="D680" s="667">
        <v>232350462.66</v>
      </c>
      <c r="E680" s="667">
        <v>95885451.12</v>
      </c>
      <c r="F680" s="668"/>
      <c r="G680" s="669"/>
      <c r="H680" s="669"/>
      <c r="I680" s="669"/>
      <c r="J680" s="669"/>
    </row>
    <row r="681" spans="1:10" s="123" customFormat="1" ht="18.75" customHeight="1">
      <c r="A681" s="665"/>
      <c r="B681" s="665"/>
      <c r="C681" s="666" t="s">
        <v>38</v>
      </c>
      <c r="D681" s="667">
        <f>D669-D680</f>
        <v>0</v>
      </c>
      <c r="E681" s="667">
        <f>E669-E680</f>
        <v>0</v>
      </c>
      <c r="F681" s="668"/>
      <c r="G681" s="669"/>
      <c r="H681" s="669"/>
      <c r="I681" s="669"/>
      <c r="J681" s="669"/>
    </row>
    <row r="682" spans="3:10" ht="18.75" customHeight="1" hidden="1">
      <c r="C682" s="552" t="s">
        <v>800</v>
      </c>
      <c r="D682" s="1257">
        <f>SUM(D649,D656)</f>
        <v>148325792.66</v>
      </c>
      <c r="E682" s="1257">
        <f>SUM(E649,E656)</f>
        <v>61043631.110000014</v>
      </c>
      <c r="F682" s="672">
        <f>E682/D682*100</f>
        <v>41.15510189783874</v>
      </c>
      <c r="I682" s="616"/>
      <c r="J682" s="616"/>
    </row>
    <row r="683" spans="3:10" ht="13.5" customHeight="1" hidden="1">
      <c r="C683" s="552" t="s">
        <v>551</v>
      </c>
      <c r="D683" s="1257"/>
      <c r="E683" s="1257"/>
      <c r="F683" s="672" t="e">
        <f>E683/D683*100</f>
        <v>#DIV/0!</v>
      </c>
      <c r="G683" s="616"/>
      <c r="H683" s="616"/>
      <c r="I683" s="616"/>
      <c r="J683" s="616"/>
    </row>
    <row r="684" spans="3:10" ht="14.25" customHeight="1" hidden="1">
      <c r="C684" s="552" t="s">
        <v>552</v>
      </c>
      <c r="D684" s="1257"/>
      <c r="E684" s="1257"/>
      <c r="F684" s="672" t="e">
        <f>E684/D684*100</f>
        <v>#DIV/0!</v>
      </c>
      <c r="G684" s="616"/>
      <c r="H684" s="616"/>
      <c r="I684" s="616"/>
      <c r="J684" s="616"/>
    </row>
    <row r="685" spans="3:10" ht="15" customHeight="1" hidden="1">
      <c r="C685" s="1258" t="s">
        <v>553</v>
      </c>
      <c r="D685" s="1259"/>
      <c r="E685" s="1259"/>
      <c r="F685" s="1260" t="e">
        <f>E685/D685*100</f>
        <v>#DIV/0!</v>
      </c>
      <c r="G685" s="616"/>
      <c r="H685" s="616"/>
      <c r="I685" s="616"/>
      <c r="J685" s="616"/>
    </row>
    <row r="686" spans="3:10" ht="15" customHeight="1" hidden="1">
      <c r="C686" s="551" t="s">
        <v>554</v>
      </c>
      <c r="D686" s="1257">
        <f>SUM(D683:D685)</f>
        <v>0</v>
      </c>
      <c r="E686" s="1257">
        <f>SUM(E683:E685)</f>
        <v>0</v>
      </c>
      <c r="F686" s="672" t="e">
        <f>E686/D686*100</f>
        <v>#DIV/0!</v>
      </c>
      <c r="G686" s="616"/>
      <c r="H686" s="616"/>
      <c r="I686" s="616"/>
      <c r="J686" s="616"/>
    </row>
    <row r="687" spans="3:10" ht="14.25" customHeight="1" hidden="1">
      <c r="C687" s="552" t="s">
        <v>555</v>
      </c>
      <c r="D687" s="1257">
        <f>SUM(D7-D686)</f>
        <v>148325792.66</v>
      </c>
      <c r="E687" s="1257">
        <f>SUM(E7-E686)</f>
        <v>61043631.110000014</v>
      </c>
      <c r="F687" s="672"/>
      <c r="I687" s="616"/>
      <c r="J687" s="616"/>
    </row>
    <row r="688" spans="1:10" s="123" customFormat="1" ht="11.25" customHeight="1" hidden="1">
      <c r="A688" s="551"/>
      <c r="B688" s="551"/>
      <c r="C688" s="552" t="s">
        <v>568</v>
      </c>
      <c r="D688" s="1257"/>
      <c r="E688" s="1257"/>
      <c r="F688" s="672"/>
      <c r="I688" s="669"/>
      <c r="J688" s="669"/>
    </row>
    <row r="689" spans="1:6" s="123" customFormat="1" ht="12" customHeight="1" hidden="1">
      <c r="A689" s="1261"/>
      <c r="B689" s="1261"/>
      <c r="C689" s="1262" t="s">
        <v>546</v>
      </c>
      <c r="D689" s="1263"/>
      <c r="E689" s="1263"/>
      <c r="F689" s="672" t="e">
        <f aca="true" t="shared" si="33" ref="F689:F698">E689/D689*100</f>
        <v>#DIV/0!</v>
      </c>
    </row>
    <row r="690" spans="1:6" s="123" customFormat="1" ht="12" customHeight="1" hidden="1">
      <c r="A690" s="1261"/>
      <c r="B690" s="1261"/>
      <c r="C690" s="1262" t="s">
        <v>547</v>
      </c>
      <c r="D690" s="1263"/>
      <c r="E690" s="1263"/>
      <c r="F690" s="672" t="e">
        <f t="shared" si="33"/>
        <v>#DIV/0!</v>
      </c>
    </row>
    <row r="691" spans="1:6" s="123" customFormat="1" ht="12" customHeight="1" hidden="1">
      <c r="A691" s="1261"/>
      <c r="B691" s="1261"/>
      <c r="C691" s="1264" t="s">
        <v>548</v>
      </c>
      <c r="D691" s="1265"/>
      <c r="E691" s="1265"/>
      <c r="F691" s="1260" t="e">
        <f t="shared" si="33"/>
        <v>#DIV/0!</v>
      </c>
    </row>
    <row r="692" spans="1:6" s="590" customFormat="1" ht="18" customHeight="1" hidden="1">
      <c r="A692" s="1266"/>
      <c r="B692" s="1266"/>
      <c r="C692" s="1267" t="s">
        <v>556</v>
      </c>
      <c r="D692" s="659">
        <f>SUM(D689:D691)</f>
        <v>0</v>
      </c>
      <c r="E692" s="659">
        <f>SUM(E689:E691)</f>
        <v>0</v>
      </c>
      <c r="F692" s="672" t="e">
        <f t="shared" si="33"/>
        <v>#DIV/0!</v>
      </c>
    </row>
    <row r="693" spans="1:6" s="123" customFormat="1" ht="12" customHeight="1" hidden="1">
      <c r="A693" s="1261"/>
      <c r="B693" s="1261"/>
      <c r="C693" s="1262" t="s">
        <v>549</v>
      </c>
      <c r="D693" s="1263"/>
      <c r="E693" s="1263"/>
      <c r="F693" s="672" t="e">
        <f t="shared" si="33"/>
        <v>#DIV/0!</v>
      </c>
    </row>
    <row r="694" spans="1:6" s="123" customFormat="1" ht="12" customHeight="1" hidden="1">
      <c r="A694" s="1261"/>
      <c r="B694" s="1261"/>
      <c r="C694" s="1264" t="s">
        <v>550</v>
      </c>
      <c r="D694" s="1265"/>
      <c r="E694" s="1265"/>
      <c r="F694" s="1260" t="e">
        <f t="shared" si="33"/>
        <v>#DIV/0!</v>
      </c>
    </row>
    <row r="695" spans="1:6" s="126" customFormat="1" ht="14.25" customHeight="1" hidden="1">
      <c r="A695" s="1266"/>
      <c r="B695" s="1266"/>
      <c r="C695" s="1267" t="s">
        <v>558</v>
      </c>
      <c r="D695" s="1268">
        <f>SUM(D693:D694)</f>
        <v>0</v>
      </c>
      <c r="E695" s="1268">
        <f>SUM(E693:E694)</f>
        <v>0</v>
      </c>
      <c r="F695" s="672" t="e">
        <f t="shared" si="33"/>
        <v>#DIV/0!</v>
      </c>
    </row>
    <row r="696" spans="1:6" s="123" customFormat="1" ht="12" customHeight="1" hidden="1">
      <c r="A696" s="1261"/>
      <c r="B696" s="1261"/>
      <c r="C696" s="1269" t="s">
        <v>1252</v>
      </c>
      <c r="D696" s="663"/>
      <c r="E696" s="663"/>
      <c r="F696" s="672" t="e">
        <f t="shared" si="33"/>
        <v>#DIV/0!</v>
      </c>
    </row>
    <row r="697" spans="1:6" s="123" customFormat="1" ht="12" customHeight="1" hidden="1">
      <c r="A697" s="1261"/>
      <c r="B697" s="1261"/>
      <c r="C697" s="1270" t="s">
        <v>2</v>
      </c>
      <c r="D697" s="1265"/>
      <c r="E697" s="1265"/>
      <c r="F697" s="1260" t="e">
        <f t="shared" si="33"/>
        <v>#DIV/0!</v>
      </c>
    </row>
    <row r="698" spans="1:6" s="126" customFormat="1" ht="15" customHeight="1" hidden="1">
      <c r="A698" s="1266"/>
      <c r="B698" s="1266"/>
      <c r="C698" s="1266" t="s">
        <v>557</v>
      </c>
      <c r="D698" s="659">
        <f>SUM(D696:D697)</f>
        <v>0</v>
      </c>
      <c r="E698" s="659">
        <f>SUM(E696:E697)</f>
        <v>0</v>
      </c>
      <c r="F698" s="672" t="e">
        <f t="shared" si="33"/>
        <v>#DIV/0!</v>
      </c>
    </row>
    <row r="699" ht="18.75" customHeight="1" hidden="1"/>
  </sheetData>
  <sheetProtection password="CF53" sheet="1" objects="1" scenarios="1" selectLockedCells="1" selectUnlockedCells="1"/>
  <mergeCells count="4">
    <mergeCell ref="A403:C403"/>
    <mergeCell ref="A3:E3"/>
    <mergeCell ref="E1:F1"/>
    <mergeCell ref="A7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jwildhirt</cp:lastModifiedBy>
  <cp:lastPrinted>2008-08-29T12:10:02Z</cp:lastPrinted>
  <dcterms:created xsi:type="dcterms:W3CDTF">2002-07-29T09:23:44Z</dcterms:created>
  <dcterms:modified xsi:type="dcterms:W3CDTF">2008-09-22T06:00:38Z</dcterms:modified>
  <cp:category/>
  <cp:version/>
  <cp:contentType/>
  <cp:contentStatus/>
</cp:coreProperties>
</file>