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'Arkusz1'!$A$1:$R$78</definedName>
    <definedName name="_xlnm.Print_Titles" localSheetId="0">'Arkusz1'!$B:$B,'Arkusz1'!$3:$4</definedName>
  </definedNames>
  <calcPr fullCalcOnLoad="1"/>
</workbook>
</file>

<file path=xl/sharedStrings.xml><?xml version="1.0" encoding="utf-8"?>
<sst xmlns="http://schemas.openxmlformats.org/spreadsheetml/2006/main" count="99" uniqueCount="94">
  <si>
    <t>Lp.</t>
  </si>
  <si>
    <t>Wyszczególnienie</t>
  </si>
  <si>
    <t>Wykonanie</t>
  </si>
  <si>
    <t>Przewidywane wykonanie</t>
  </si>
  <si>
    <t>2006 r.</t>
  </si>
  <si>
    <t>2007 r.</t>
  </si>
  <si>
    <t>2008 r.</t>
  </si>
  <si>
    <t>2009 r.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</si>
  <si>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</si>
  <si>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</si>
  <si>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</si>
  <si>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</si>
  <si>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</si>
  <si>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</si>
  <si>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</si>
  <si>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</si>
  <si>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A. DOCHODY</t>
  </si>
  <si>
    <t>A1. Dochody bieżące</t>
  </si>
  <si>
    <t>A2. Dochody majątkowe</t>
  </si>
  <si>
    <t>B. WYDATKI:</t>
  </si>
  <si>
    <t>B1. Wydatki bieżące,</t>
  </si>
  <si>
    <t>B2. Wydatki majątkowe</t>
  </si>
  <si>
    <t>C. NADWYŻKA/DEFICYT (A-B)</t>
  </si>
  <si>
    <t>D. FINANSOWANIE (D1-D2)</t>
  </si>
  <si>
    <t>D1. Przychody ogółem:</t>
  </si>
  <si>
    <t>D11. kredyty</t>
  </si>
  <si>
    <t xml:space="preserve">   D111. zaciągnięte w związku z umową zawartą
              z podmiotem dysponującym środkami, 
              o którym mowa w art. 5 ust. 3 ufp</t>
  </si>
  <si>
    <t>D12.  pożyczki</t>
  </si>
  <si>
    <t xml:space="preserve">   D121. zaciągnięte w związku z umową zawartą
              z podmiotem dysponującym środkami, 
              o którym mowa w art. 5 ust. 3 ufp</t>
  </si>
  <si>
    <t xml:space="preserve">   D1211. pożyczki na prefinansowanie
               programów i projektów zaciągnięte w 
               związku z umową zawartą z podmiotem
               dysponującym środkami, o którym
               mowa w art. 5 ust. 3 ufp</t>
  </si>
  <si>
    <t>prefinansowanie</t>
  </si>
  <si>
    <t>2) pożyczki,</t>
  </si>
  <si>
    <t>D13. spłata pożyczek udzielonych,</t>
  </si>
  <si>
    <t>D14. nadwyżka z lat ubiegłych,</t>
  </si>
  <si>
    <t>D141. środki na pokrycie deficytu</t>
  </si>
  <si>
    <t>D15. obligacje jednostek samorządowych 
oraz związków komunalnych</t>
  </si>
  <si>
    <t xml:space="preserve">   D151. wyemitowane  w związku z umową 
              zawartą z podmiotem dysponującym 
              środkami, o którym mowa w art.
              5 ust. 3 ufp</t>
  </si>
  <si>
    <t>D16. prywatyzacja majątku j.s.t.</t>
  </si>
  <si>
    <t>D17. inne źródła</t>
  </si>
  <si>
    <t>D171. środki na pokrycie deficytu</t>
  </si>
  <si>
    <t>D2. Rozchody ogółem:</t>
  </si>
  <si>
    <t>D21. spłaty kredytów</t>
  </si>
  <si>
    <t xml:space="preserve">   D211. zaciągnięte w związku z umową zawartą 
              z podmiotem dysponującym środkami, 
              o którym mowa w art. 5 ust. 3 ufp</t>
  </si>
  <si>
    <t>D22. spłaty pożyczek</t>
  </si>
  <si>
    <t xml:space="preserve">   D221. zaciągnięte w związku z umową zawartą 
              z podmiotem dysponującym środkami, 
              o którym mowa w art. 5 ust. 3 ufp</t>
  </si>
  <si>
    <t>spłaty pożyczki prefinansowanie</t>
  </si>
  <si>
    <t xml:space="preserve">spłaty pożyczek  </t>
  </si>
  <si>
    <t>odsetki od pożyczek</t>
  </si>
  <si>
    <t>spłata kredytu termomoder</t>
  </si>
  <si>
    <t>odsetki kredyt</t>
  </si>
  <si>
    <t xml:space="preserve">    D2211.zaciągniętych na prefinansowanie 
               programów i projektów w związku z 
               umową zawartą z podmiotem 
               dysponującym środkami, o których 
               mowa w art. 5 ust. 3 ufp</t>
  </si>
  <si>
    <t>D23. pożyczki</t>
  </si>
  <si>
    <t>D24. lokaty w bankach</t>
  </si>
  <si>
    <t>D25. wykup obligacji samorządowych</t>
  </si>
  <si>
    <t>odsetki od obligacji</t>
  </si>
  <si>
    <t xml:space="preserve">   D251. wyemitowanych w związku z umową 
              zawartą z podmiotem dysponującym 
              środkami, o których mowa w art.
              5 ust. 3 ufp</t>
  </si>
  <si>
    <t>D26. inne cele</t>
  </si>
  <si>
    <t>E. UMORZENIE POŻYCZKI</t>
  </si>
  <si>
    <t>F. DŁUG NA KONIEC ROKU</t>
  </si>
  <si>
    <t>1) wyemitowane papiery wartościowe,</t>
  </si>
  <si>
    <t>2) zaciągnięte kredyty,</t>
  </si>
  <si>
    <t>3) zaciągnięte pożyczki,</t>
  </si>
  <si>
    <t>4) przyjęte depozyty,</t>
  </si>
  <si>
    <t>5) wymagalne zobowiązania:</t>
  </si>
  <si>
    <t>a) wynikające z ustaw i orzeczeń sądów lub ostatecznych decyzji administracyjnych</t>
  </si>
  <si>
    <t>b) uznane za bezsporne przez właściwą jednostkę sektora finansów publicznych, będącą dłużnikiem</t>
  </si>
  <si>
    <t>6) zobowiązania związane z umową zawartą z podmiotem dysponującym środkami, o których mowa w art. 5 ust. 3 ufp</t>
  </si>
  <si>
    <t>a) kredyty,</t>
  </si>
  <si>
    <t>b) pożyczki,</t>
  </si>
  <si>
    <t>c) emitowane papiery wartościowe.</t>
  </si>
  <si>
    <t>G. Wskaźnik łącznego długu do dochodu
      (poz.35/ poz.1) %</t>
  </si>
  <si>
    <r>
      <t>G1. Wskaźnik długu do dochodu</t>
    </r>
    <r>
      <rPr>
        <i/>
        <sz val="9"/>
        <rFont val="Times New Roman"/>
        <family val="1"/>
      </rPr>
      <t xml:space="preserve"> (bez.poz.43)</t>
    </r>
    <r>
      <rPr>
        <b/>
        <sz val="9"/>
        <rFont val="Times New Roman"/>
        <family val="1"/>
      </rPr>
      <t xml:space="preserve">
       ( (poz.35 (-) poz.43)/ poz.1) %</t>
    </r>
  </si>
  <si>
    <t>H. OBCIĄŻENIE ROCZNE BUDŻETU 
    z tytułu spłaty zadłużenia - z tego:</t>
  </si>
  <si>
    <t>1) spłaty rat kredytów z odsetkami,</t>
  </si>
  <si>
    <t>2) spłaty rat pożyczek z odsetkami</t>
  </si>
  <si>
    <t>3) potencjalne spłaty udzielonych poręczeń z należnymi odsetkami</t>
  </si>
  <si>
    <t>5) odsetki od kredytów i pożyczek oraz odsetki i dyskonto od papierów wartościowych wyemitowanych przez jst</t>
  </si>
  <si>
    <t>6) Spłaty zobowiązań związanych z przyrzeczonymi środkami z funduszy strukturalnych oraz Funduszu Spójności Unii Europejskiej</t>
  </si>
  <si>
    <t>a) spłaty rat kredytów z odsetkami,</t>
  </si>
  <si>
    <t>b) spłaty rat pożyczek z odsetkami,</t>
  </si>
  <si>
    <t xml:space="preserve">  </t>
  </si>
  <si>
    <t>d) potencjalne spłaty poręczeń udzielonych samorządowym osobom prawnym realizującym zadania jst</t>
  </si>
  <si>
    <t>I1. Wskaźnik rocznej spłaty łącznego 
      zadłużenia do dochodu ( poz. 46/poz.1)%</t>
  </si>
  <si>
    <r>
      <t>I1. Wskaźnik rocznej spłaty zadłużenia  
      do dochodu</t>
    </r>
    <r>
      <rPr>
        <b/>
        <i/>
        <sz val="9"/>
        <rFont val="Times New Roman"/>
        <family val="1"/>
      </rPr>
      <t xml:space="preserve"> (bez poz. 52)</t>
    </r>
    <r>
      <rPr>
        <b/>
        <sz val="9"/>
        <rFont val="Times New Roman"/>
        <family val="1"/>
      </rPr>
      <t xml:space="preserve"> 
       ((poz. 46 (-) poz. 52)/poz.1)%</t>
    </r>
  </si>
  <si>
    <t>nadwyżka operacyjna</t>
  </si>
  <si>
    <t>2018 r.</t>
  </si>
  <si>
    <t>2019 r.</t>
  </si>
  <si>
    <t>2020 r.</t>
  </si>
  <si>
    <t>2021 r.</t>
  </si>
  <si>
    <t>4) wykup papierów wartościowych wyemitowanych przez j.s.t. z należnymi odsetkami</t>
  </si>
  <si>
    <t>c) wykup papierów wartościowych z odsetkami i dyskontem,</t>
  </si>
  <si>
    <t>WOLNE ŚRODKI/BRAK ŚRODKÓW</t>
  </si>
  <si>
    <t>odsetki od pożyczki</t>
  </si>
  <si>
    <t>w tym ze źródeł zewnętrznych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</si>
</sst>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9">
    <font>
      <sz val="10"/>
      <name val="Arial"/>
      <family val="0"/>
    </font>
    <font>
      <sz val="9"/>
      <name val="Times New Roman"/>
      <family val="1"/>
    </font>
    <font>
      <sz val="10"/>
      <name val="Arial CE"/>
      <family val="0"/>
    </font>
    <font>
      <b/>
      <sz val="9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17" applyFont="1" applyAlignment="1" applyProtection="1">
      <alignment horizontal="center" vertical="top"/>
      <protection hidden="1"/>
    </xf>
    <xf numFmtId="49" fontId="1" fillId="0" borderId="0" xfId="17" applyNumberFormat="1" applyFont="1" applyAlignment="1" applyProtection="1">
      <alignment vertical="top"/>
      <protection hidden="1"/>
    </xf>
    <xf numFmtId="0" fontId="1" fillId="0" borderId="0" xfId="17" applyFont="1" applyAlignment="1" applyProtection="1">
      <alignment vertical="top"/>
      <protection hidden="1"/>
    </xf>
    <xf numFmtId="0" fontId="3" fillId="0" borderId="1" xfId="17" applyFont="1" applyBorder="1" applyAlignment="1" applyProtection="1">
      <alignment vertical="center" wrapText="1"/>
      <protection hidden="1"/>
    </xf>
    <xf numFmtId="0" fontId="3" fillId="0" borderId="0" xfId="17" applyFont="1" applyAlignment="1" applyProtection="1">
      <alignment horizontal="center" vertical="center"/>
      <protection hidden="1"/>
    </xf>
    <xf numFmtId="0" fontId="1" fillId="2" borderId="2" xfId="17" applyFont="1" applyFill="1" applyBorder="1" applyAlignment="1" applyProtection="1">
      <alignment horizontal="center" vertical="top"/>
      <protection hidden="1"/>
    </xf>
    <xf numFmtId="49" fontId="3" fillId="2" borderId="3" xfId="17" applyNumberFormat="1" applyFont="1" applyFill="1" applyBorder="1" applyAlignment="1" applyProtection="1">
      <alignment vertical="top"/>
      <protection hidden="1"/>
    </xf>
    <xf numFmtId="3" fontId="3" fillId="2" borderId="3" xfId="17" applyNumberFormat="1" applyFont="1" applyFill="1" applyBorder="1" applyAlignment="1" applyProtection="1">
      <alignment vertical="top"/>
      <protection hidden="1"/>
    </xf>
    <xf numFmtId="0" fontId="1" fillId="0" borderId="4" xfId="17" applyFont="1" applyBorder="1" applyAlignment="1" applyProtection="1">
      <alignment horizontal="center" vertical="top"/>
      <protection hidden="1"/>
    </xf>
    <xf numFmtId="49" fontId="1" fillId="0" borderId="1" xfId="17" applyNumberFormat="1" applyFont="1" applyBorder="1" applyAlignment="1" applyProtection="1">
      <alignment vertical="top"/>
      <protection hidden="1"/>
    </xf>
    <xf numFmtId="3" fontId="1" fillId="0" borderId="1" xfId="17" applyNumberFormat="1" applyFont="1" applyFill="1" applyBorder="1" applyAlignment="1" applyProtection="1">
      <alignment vertical="top"/>
      <protection hidden="1"/>
    </xf>
    <xf numFmtId="3" fontId="1" fillId="0" borderId="1" xfId="17" applyNumberFormat="1" applyFont="1" applyBorder="1" applyAlignment="1" applyProtection="1">
      <alignment vertical="top"/>
      <protection hidden="1"/>
    </xf>
    <xf numFmtId="0" fontId="1" fillId="0" borderId="0" xfId="17" applyFont="1" applyAlignment="1" applyProtection="1">
      <alignment vertical="top"/>
      <protection hidden="1"/>
    </xf>
    <xf numFmtId="0" fontId="1" fillId="0" borderId="5" xfId="17" applyFont="1" applyBorder="1" applyAlignment="1" applyProtection="1">
      <alignment horizontal="center" vertical="top"/>
      <protection hidden="1"/>
    </xf>
    <xf numFmtId="0" fontId="1" fillId="2" borderId="6" xfId="17" applyFont="1" applyFill="1" applyBorder="1" applyAlignment="1" applyProtection="1">
      <alignment horizontal="center" vertical="top"/>
      <protection hidden="1"/>
    </xf>
    <xf numFmtId="49" fontId="3" fillId="2" borderId="7" xfId="17" applyNumberFormat="1" applyFont="1" applyFill="1" applyBorder="1" applyAlignment="1" applyProtection="1">
      <alignment vertical="top"/>
      <protection hidden="1"/>
    </xf>
    <xf numFmtId="3" fontId="3" fillId="2" borderId="7" xfId="17" applyNumberFormat="1" applyFont="1" applyFill="1" applyBorder="1" applyAlignment="1" applyProtection="1">
      <alignment vertical="top"/>
      <protection hidden="1"/>
    </xf>
    <xf numFmtId="3" fontId="3" fillId="2" borderId="8" xfId="17" applyNumberFormat="1" applyFont="1" applyFill="1" applyBorder="1" applyAlignment="1" applyProtection="1">
      <alignment vertical="top"/>
      <protection hidden="1"/>
    </xf>
    <xf numFmtId="0" fontId="1" fillId="0" borderId="9" xfId="17" applyFont="1" applyBorder="1" applyAlignment="1" applyProtection="1">
      <alignment horizontal="center" vertical="top"/>
      <protection hidden="1"/>
    </xf>
    <xf numFmtId="49" fontId="1" fillId="0" borderId="10" xfId="17" applyNumberFormat="1" applyFont="1" applyBorder="1" applyAlignment="1" applyProtection="1">
      <alignment vertical="top"/>
      <protection hidden="1"/>
    </xf>
    <xf numFmtId="3" fontId="1" fillId="0" borderId="10" xfId="17" applyNumberFormat="1" applyFont="1" applyFill="1" applyBorder="1" applyAlignment="1" applyProtection="1">
      <alignment vertical="top"/>
      <protection hidden="1"/>
    </xf>
    <xf numFmtId="3" fontId="1" fillId="0" borderId="10" xfId="17" applyNumberFormat="1" applyFont="1" applyBorder="1" applyAlignment="1" applyProtection="1">
      <alignment vertical="top"/>
      <protection hidden="1"/>
    </xf>
    <xf numFmtId="3" fontId="1" fillId="0" borderId="11" xfId="17" applyNumberFormat="1" applyFont="1" applyBorder="1" applyAlignment="1" applyProtection="1">
      <alignment vertical="top"/>
      <protection hidden="1"/>
    </xf>
    <xf numFmtId="0" fontId="1" fillId="0" borderId="6" xfId="17" applyFont="1" applyBorder="1" applyAlignment="1" applyProtection="1">
      <alignment horizontal="center" vertical="top"/>
      <protection hidden="1"/>
    </xf>
    <xf numFmtId="49" fontId="3" fillId="0" borderId="7" xfId="17" applyNumberFormat="1" applyFont="1" applyBorder="1" applyAlignment="1" applyProtection="1">
      <alignment vertical="top"/>
      <protection hidden="1"/>
    </xf>
    <xf numFmtId="3" fontId="3" fillId="0" borderId="7" xfId="17" applyNumberFormat="1" applyFont="1" applyBorder="1" applyAlignment="1" applyProtection="1">
      <alignment vertical="top"/>
      <protection hidden="1"/>
    </xf>
    <xf numFmtId="0" fontId="3" fillId="0" borderId="0" xfId="17" applyFont="1" applyAlignment="1" applyProtection="1">
      <alignment vertical="top"/>
      <protection hidden="1"/>
    </xf>
    <xf numFmtId="0" fontId="1" fillId="0" borderId="12" xfId="17" applyFont="1" applyBorder="1" applyAlignment="1" applyProtection="1">
      <alignment horizontal="center" vertical="top"/>
      <protection hidden="1"/>
    </xf>
    <xf numFmtId="49" fontId="1" fillId="0" borderId="13" xfId="17" applyNumberFormat="1" applyFont="1" applyBorder="1" applyAlignment="1" applyProtection="1">
      <alignment vertical="top" wrapText="1"/>
      <protection hidden="1"/>
    </xf>
    <xf numFmtId="3" fontId="1" fillId="0" borderId="13" xfId="17" applyNumberFormat="1" applyFont="1" applyBorder="1" applyAlignment="1" applyProtection="1">
      <alignment vertical="top"/>
      <protection hidden="1"/>
    </xf>
    <xf numFmtId="3" fontId="1" fillId="0" borderId="14" xfId="17" applyNumberFormat="1" applyFont="1" applyBorder="1" applyAlignment="1" applyProtection="1">
      <alignment vertical="top"/>
      <protection hidden="1"/>
    </xf>
    <xf numFmtId="0" fontId="1" fillId="0" borderId="12" xfId="17" applyFont="1" applyBorder="1" applyAlignment="1" applyProtection="1">
      <alignment horizontal="center" vertical="top"/>
      <protection hidden="1"/>
    </xf>
    <xf numFmtId="49" fontId="3" fillId="0" borderId="13" xfId="17" applyNumberFormat="1" applyFont="1" applyBorder="1" applyAlignment="1" applyProtection="1">
      <alignment vertical="top"/>
      <protection hidden="1"/>
    </xf>
    <xf numFmtId="3" fontId="3" fillId="0" borderId="13" xfId="17" applyNumberFormat="1" applyFont="1" applyBorder="1" applyAlignment="1" applyProtection="1">
      <alignment vertical="top"/>
      <protection hidden="1"/>
    </xf>
    <xf numFmtId="3" fontId="3" fillId="0" borderId="14" xfId="17" applyNumberFormat="1" applyFont="1" applyBorder="1" applyAlignment="1" applyProtection="1">
      <alignment vertical="top"/>
      <protection hidden="1"/>
    </xf>
    <xf numFmtId="0" fontId="3" fillId="0" borderId="0" xfId="17" applyFont="1" applyAlignment="1" applyProtection="1">
      <alignment vertical="top"/>
      <protection hidden="1"/>
    </xf>
    <xf numFmtId="3" fontId="1" fillId="0" borderId="13" xfId="17" applyNumberFormat="1" applyFont="1" applyBorder="1" applyAlignment="1" applyProtection="1">
      <alignment vertical="top"/>
      <protection hidden="1"/>
    </xf>
    <xf numFmtId="3" fontId="1" fillId="0" borderId="14" xfId="17" applyNumberFormat="1" applyFont="1" applyBorder="1" applyAlignment="1" applyProtection="1">
      <alignment vertical="top"/>
      <protection hidden="1"/>
    </xf>
    <xf numFmtId="49" fontId="1" fillId="0" borderId="13" xfId="17" applyNumberFormat="1" applyFont="1" applyBorder="1" applyAlignment="1" applyProtection="1">
      <alignment vertical="top"/>
      <protection hidden="1"/>
    </xf>
    <xf numFmtId="49" fontId="3" fillId="0" borderId="13" xfId="17" applyNumberFormat="1" applyFont="1" applyBorder="1" applyAlignment="1" applyProtection="1">
      <alignment vertical="top" wrapText="1"/>
      <protection hidden="1"/>
    </xf>
    <xf numFmtId="0" fontId="1" fillId="0" borderId="15" xfId="17" applyFont="1" applyBorder="1" applyAlignment="1" applyProtection="1">
      <alignment horizontal="center" vertical="top"/>
      <protection hidden="1"/>
    </xf>
    <xf numFmtId="49" fontId="1" fillId="0" borderId="16" xfId="17" applyNumberFormat="1" applyFont="1" applyBorder="1" applyAlignment="1" applyProtection="1">
      <alignment vertical="top"/>
      <protection hidden="1"/>
    </xf>
    <xf numFmtId="3" fontId="1" fillId="0" borderId="16" xfId="17" applyNumberFormat="1" applyFont="1" applyBorder="1" applyAlignment="1" applyProtection="1">
      <alignment vertical="top"/>
      <protection hidden="1"/>
    </xf>
    <xf numFmtId="3" fontId="1" fillId="0" borderId="17" xfId="17" applyNumberFormat="1" applyFont="1" applyBorder="1" applyAlignment="1" applyProtection="1">
      <alignment vertical="top"/>
      <protection hidden="1"/>
    </xf>
    <xf numFmtId="49" fontId="1" fillId="0" borderId="13" xfId="17" applyNumberFormat="1" applyFont="1" applyBorder="1" applyAlignment="1" applyProtection="1">
      <alignment vertical="top" wrapText="1"/>
      <protection hidden="1"/>
    </xf>
    <xf numFmtId="0" fontId="1" fillId="0" borderId="2" xfId="17" applyFont="1" applyBorder="1" applyAlignment="1" applyProtection="1">
      <alignment horizontal="center" vertical="top"/>
      <protection hidden="1"/>
    </xf>
    <xf numFmtId="0" fontId="5" fillId="0" borderId="0" xfId="0" applyFont="1" applyAlignment="1">
      <alignment vertical="top"/>
    </xf>
    <xf numFmtId="0" fontId="3" fillId="0" borderId="13" xfId="17" applyFont="1" applyBorder="1" applyAlignment="1" applyProtection="1">
      <alignment vertical="top"/>
      <protection hidden="1"/>
    </xf>
    <xf numFmtId="0" fontId="3" fillId="0" borderId="14" xfId="17" applyFont="1" applyBorder="1" applyAlignment="1" applyProtection="1">
      <alignment vertical="top"/>
      <protection hidden="1"/>
    </xf>
    <xf numFmtId="0" fontId="1" fillId="0" borderId="15" xfId="17" applyFont="1" applyBorder="1" applyAlignment="1" applyProtection="1">
      <alignment horizontal="center" vertical="top"/>
      <protection hidden="1"/>
    </xf>
    <xf numFmtId="0" fontId="1" fillId="0" borderId="13" xfId="17" applyFont="1" applyBorder="1" applyAlignment="1" applyProtection="1">
      <alignment vertical="top"/>
      <protection hidden="1"/>
    </xf>
    <xf numFmtId="0" fontId="1" fillId="0" borderId="14" xfId="17" applyFont="1" applyBorder="1" applyAlignment="1" applyProtection="1">
      <alignment vertical="top"/>
      <protection hidden="1"/>
    </xf>
    <xf numFmtId="49" fontId="3" fillId="0" borderId="1" xfId="17" applyNumberFormat="1" applyFont="1" applyBorder="1" applyAlignment="1" applyProtection="1">
      <alignment vertical="top" wrapText="1"/>
      <protection hidden="1"/>
    </xf>
    <xf numFmtId="164" fontId="3" fillId="0" borderId="1" xfId="17" applyNumberFormat="1" applyFont="1" applyBorder="1" applyAlignment="1" applyProtection="1">
      <alignment vertical="top"/>
      <protection hidden="1"/>
    </xf>
    <xf numFmtId="165" fontId="3" fillId="0" borderId="1" xfId="17" applyNumberFormat="1" applyFont="1" applyBorder="1" applyAlignment="1" applyProtection="1">
      <alignment vertical="top"/>
      <protection hidden="1"/>
    </xf>
    <xf numFmtId="10" fontId="1" fillId="0" borderId="0" xfId="17" applyNumberFormat="1" applyFont="1" applyAlignment="1" applyProtection="1">
      <alignment vertical="top"/>
      <protection hidden="1"/>
    </xf>
    <xf numFmtId="3" fontId="1" fillId="0" borderId="18" xfId="17" applyNumberFormat="1" applyFont="1" applyBorder="1" applyAlignment="1" applyProtection="1">
      <alignment vertical="top"/>
      <protection hidden="1"/>
    </xf>
    <xf numFmtId="3" fontId="3" fillId="2" borderId="19" xfId="17" applyNumberFormat="1" applyFont="1" applyFill="1" applyBorder="1" applyAlignment="1" applyProtection="1">
      <alignment vertical="top"/>
      <protection hidden="1"/>
    </xf>
    <xf numFmtId="3" fontId="3" fillId="2" borderId="20" xfId="17" applyNumberFormat="1" applyFont="1" applyFill="1" applyBorder="1" applyAlignment="1" applyProtection="1">
      <alignment vertical="top"/>
      <protection hidden="1"/>
    </xf>
    <xf numFmtId="0" fontId="6" fillId="0" borderId="21" xfId="17" applyFont="1" applyBorder="1" applyAlignment="1" applyProtection="1">
      <alignment horizontal="center" vertical="top"/>
      <protection hidden="1"/>
    </xf>
    <xf numFmtId="49" fontId="7" fillId="0" borderId="19" xfId="17" applyNumberFormat="1" applyFont="1" applyBorder="1" applyAlignment="1" applyProtection="1">
      <alignment vertical="top"/>
      <protection hidden="1"/>
    </xf>
    <xf numFmtId="3" fontId="7" fillId="0" borderId="19" xfId="17" applyNumberFormat="1" applyFont="1" applyBorder="1" applyAlignment="1" applyProtection="1">
      <alignment vertical="top"/>
      <protection hidden="1"/>
    </xf>
    <xf numFmtId="0" fontId="7" fillId="0" borderId="0" xfId="17" applyFont="1" applyAlignment="1" applyProtection="1">
      <alignment vertical="top"/>
      <protection hidden="1"/>
    </xf>
    <xf numFmtId="0" fontId="3" fillId="3" borderId="0" xfId="17" applyFont="1" applyFill="1" applyAlignment="1" applyProtection="1">
      <alignment vertical="top"/>
      <protection hidden="1"/>
    </xf>
    <xf numFmtId="0" fontId="1" fillId="2" borderId="21" xfId="17" applyFont="1" applyFill="1" applyBorder="1" applyAlignment="1" applyProtection="1">
      <alignment horizontal="center" vertical="top"/>
      <protection hidden="1"/>
    </xf>
    <xf numFmtId="49" fontId="3" fillId="2" borderId="19" xfId="17" applyNumberFormat="1" applyFont="1" applyFill="1" applyBorder="1" applyAlignment="1" applyProtection="1">
      <alignment vertical="top"/>
      <protection hidden="1"/>
    </xf>
    <xf numFmtId="0" fontId="3" fillId="0" borderId="22" xfId="17" applyFont="1" applyBorder="1" applyAlignment="1" applyProtection="1">
      <alignment horizontal="center" vertical="center"/>
      <protection hidden="1"/>
    </xf>
    <xf numFmtId="0" fontId="3" fillId="0" borderId="23" xfId="17" applyFont="1" applyBorder="1" applyAlignment="1" applyProtection="1">
      <alignment horizontal="center" vertical="center"/>
      <protection hidden="1"/>
    </xf>
    <xf numFmtId="3" fontId="1" fillId="0" borderId="13" xfId="17" applyNumberFormat="1" applyFont="1" applyFill="1" applyBorder="1" applyAlignment="1" applyProtection="1">
      <alignment vertical="top"/>
      <protection hidden="1"/>
    </xf>
    <xf numFmtId="0" fontId="1" fillId="0" borderId="4" xfId="17" applyFont="1" applyBorder="1" applyAlignment="1" applyProtection="1">
      <alignment horizontal="center" vertical="top"/>
      <protection hidden="1"/>
    </xf>
    <xf numFmtId="3" fontId="3" fillId="0" borderId="8" xfId="17" applyNumberFormat="1" applyFont="1" applyBorder="1" applyAlignment="1" applyProtection="1">
      <alignment vertical="top"/>
      <protection hidden="1"/>
    </xf>
    <xf numFmtId="49" fontId="3" fillId="0" borderId="3" xfId="17" applyNumberFormat="1" applyFont="1" applyBorder="1" applyAlignment="1" applyProtection="1">
      <alignment vertical="top"/>
      <protection hidden="1"/>
    </xf>
    <xf numFmtId="3" fontId="3" fillId="0" borderId="3" xfId="17" applyNumberFormat="1" applyFont="1" applyBorder="1" applyAlignment="1" applyProtection="1">
      <alignment vertical="top"/>
      <protection hidden="1"/>
    </xf>
    <xf numFmtId="3" fontId="3" fillId="0" borderId="24" xfId="17" applyNumberFormat="1" applyFont="1" applyBorder="1" applyAlignment="1" applyProtection="1">
      <alignment vertical="top"/>
      <protection hidden="1"/>
    </xf>
    <xf numFmtId="0" fontId="1" fillId="4" borderId="2" xfId="17" applyFont="1" applyFill="1" applyBorder="1" applyAlignment="1" applyProtection="1">
      <alignment horizontal="center" vertical="top"/>
      <protection hidden="1"/>
    </xf>
    <xf numFmtId="49" fontId="3" fillId="4" borderId="3" xfId="17" applyNumberFormat="1" applyFont="1" applyFill="1" applyBorder="1" applyAlignment="1" applyProtection="1">
      <alignment vertical="top"/>
      <protection hidden="1"/>
    </xf>
    <xf numFmtId="3" fontId="3" fillId="4" borderId="3" xfId="17" applyNumberFormat="1" applyFont="1" applyFill="1" applyBorder="1" applyAlignment="1" applyProtection="1">
      <alignment vertical="top"/>
      <protection hidden="1"/>
    </xf>
    <xf numFmtId="3" fontId="3" fillId="4" borderId="24" xfId="17" applyNumberFormat="1" applyFont="1" applyFill="1" applyBorder="1" applyAlignment="1" applyProtection="1">
      <alignment vertical="top"/>
      <protection hidden="1"/>
    </xf>
    <xf numFmtId="3" fontId="3" fillId="2" borderId="24" xfId="17" applyNumberFormat="1" applyFont="1" applyFill="1" applyBorder="1" applyAlignment="1" applyProtection="1">
      <alignment vertical="top"/>
      <protection hidden="1"/>
    </xf>
    <xf numFmtId="49" fontId="3" fillId="0" borderId="1" xfId="17" applyNumberFormat="1" applyFont="1" applyBorder="1" applyAlignment="1" applyProtection="1">
      <alignment vertical="top"/>
      <protection hidden="1"/>
    </xf>
    <xf numFmtId="3" fontId="3" fillId="0" borderId="1" xfId="17" applyNumberFormat="1" applyFont="1" applyBorder="1" applyAlignment="1" applyProtection="1">
      <alignment vertical="top"/>
      <protection hidden="1"/>
    </xf>
    <xf numFmtId="3" fontId="3" fillId="0" borderId="18" xfId="17" applyNumberFormat="1" applyFont="1" applyBorder="1" applyAlignment="1" applyProtection="1">
      <alignment vertical="top"/>
      <protection hidden="1"/>
    </xf>
    <xf numFmtId="0" fontId="1" fillId="2" borderId="2" xfId="17" applyFont="1" applyFill="1" applyBorder="1" applyAlignment="1" applyProtection="1">
      <alignment horizontal="center" vertical="top"/>
      <protection hidden="1"/>
    </xf>
    <xf numFmtId="49" fontId="3" fillId="2" borderId="3" xfId="17" applyNumberFormat="1" applyFont="1" applyFill="1" applyBorder="1" applyAlignment="1" applyProtection="1">
      <alignment vertical="top"/>
      <protection hidden="1"/>
    </xf>
    <xf numFmtId="3" fontId="3" fillId="2" borderId="3" xfId="17" applyNumberFormat="1" applyFont="1" applyFill="1" applyBorder="1" applyAlignment="1" applyProtection="1">
      <alignment vertical="top"/>
      <protection hidden="1"/>
    </xf>
    <xf numFmtId="3" fontId="3" fillId="2" borderId="24" xfId="17" applyNumberFormat="1" applyFont="1" applyFill="1" applyBorder="1" applyAlignment="1" applyProtection="1">
      <alignment vertical="top"/>
      <protection hidden="1"/>
    </xf>
    <xf numFmtId="49" fontId="3" fillId="3" borderId="13" xfId="17" applyNumberFormat="1" applyFont="1" applyFill="1" applyBorder="1" applyAlignment="1" applyProtection="1">
      <alignment vertical="top"/>
      <protection hidden="1"/>
    </xf>
    <xf numFmtId="3" fontId="3" fillId="3" borderId="13" xfId="17" applyNumberFormat="1" applyFont="1" applyFill="1" applyBorder="1" applyAlignment="1" applyProtection="1">
      <alignment vertical="top"/>
      <protection hidden="1"/>
    </xf>
    <xf numFmtId="49" fontId="3" fillId="0" borderId="1" xfId="17" applyNumberFormat="1" applyFont="1" applyBorder="1" applyAlignment="1" applyProtection="1">
      <alignment vertical="top"/>
      <protection hidden="1"/>
    </xf>
    <xf numFmtId="3" fontId="3" fillId="0" borderId="1" xfId="17" applyNumberFormat="1" applyFont="1" applyBorder="1" applyAlignment="1" applyProtection="1">
      <alignment vertical="top"/>
      <protection hidden="1"/>
    </xf>
    <xf numFmtId="3" fontId="3" fillId="0" borderId="18" xfId="17" applyNumberFormat="1" applyFont="1" applyBorder="1" applyAlignment="1" applyProtection="1">
      <alignment vertical="top"/>
      <protection hidden="1"/>
    </xf>
    <xf numFmtId="0" fontId="1" fillId="3" borderId="12" xfId="17" applyFont="1" applyFill="1" applyBorder="1" applyAlignment="1" applyProtection="1">
      <alignment horizontal="center" vertical="top"/>
      <protection hidden="1"/>
    </xf>
    <xf numFmtId="3" fontId="3" fillId="3" borderId="14" xfId="17" applyNumberFormat="1" applyFont="1" applyFill="1" applyBorder="1" applyAlignment="1" applyProtection="1">
      <alignment vertical="top"/>
      <protection hidden="1"/>
    </xf>
    <xf numFmtId="49" fontId="3" fillId="0" borderId="16" xfId="17" applyNumberFormat="1" applyFont="1" applyBorder="1" applyAlignment="1" applyProtection="1">
      <alignment vertical="top"/>
      <protection hidden="1"/>
    </xf>
    <xf numFmtId="3" fontId="3" fillId="0" borderId="16" xfId="17" applyNumberFormat="1" applyFont="1" applyBorder="1" applyAlignment="1" applyProtection="1">
      <alignment vertical="top"/>
      <protection hidden="1"/>
    </xf>
    <xf numFmtId="3" fontId="3" fillId="0" borderId="17" xfId="17" applyNumberFormat="1" applyFont="1" applyBorder="1" applyAlignment="1" applyProtection="1">
      <alignment vertical="top"/>
      <protection hidden="1"/>
    </xf>
    <xf numFmtId="0" fontId="1" fillId="0" borderId="2" xfId="17" applyFont="1" applyBorder="1" applyAlignment="1" applyProtection="1">
      <alignment horizontal="center" vertical="top"/>
      <protection hidden="1"/>
    </xf>
    <xf numFmtId="49" fontId="3" fillId="0" borderId="3" xfId="17" applyNumberFormat="1" applyFont="1" applyBorder="1" applyAlignment="1" applyProtection="1">
      <alignment vertical="top"/>
      <protection hidden="1"/>
    </xf>
    <xf numFmtId="3" fontId="3" fillId="0" borderId="3" xfId="17" applyNumberFormat="1" applyFont="1" applyBorder="1" applyAlignment="1" applyProtection="1">
      <alignment vertical="top"/>
      <protection hidden="1"/>
    </xf>
    <xf numFmtId="3" fontId="3" fillId="0" borderId="24" xfId="17" applyNumberFormat="1" applyFont="1" applyBorder="1" applyAlignment="1" applyProtection="1">
      <alignment vertical="top"/>
      <protection hidden="1"/>
    </xf>
    <xf numFmtId="49" fontId="1" fillId="0" borderId="16" xfId="17" applyNumberFormat="1" applyFont="1" applyBorder="1" applyAlignment="1" applyProtection="1">
      <alignment vertical="top" wrapText="1"/>
      <protection hidden="1"/>
    </xf>
    <xf numFmtId="0" fontId="4" fillId="0" borderId="2" xfId="0" applyFont="1" applyBorder="1" applyAlignment="1">
      <alignment vertical="top"/>
    </xf>
    <xf numFmtId="49" fontId="3" fillId="0" borderId="3" xfId="17" applyNumberFormat="1" applyFont="1" applyBorder="1" applyAlignment="1" applyProtection="1">
      <alignment vertical="top" wrapText="1"/>
      <protection hidden="1"/>
    </xf>
    <xf numFmtId="164" fontId="3" fillId="0" borderId="3" xfId="0" applyNumberFormat="1" applyFont="1" applyBorder="1" applyAlignment="1">
      <alignment vertical="top"/>
    </xf>
    <xf numFmtId="49" fontId="3" fillId="2" borderId="3" xfId="17" applyNumberFormat="1" applyFont="1" applyFill="1" applyBorder="1" applyAlignment="1" applyProtection="1">
      <alignment vertical="top" wrapText="1"/>
      <protection hidden="1"/>
    </xf>
    <xf numFmtId="165" fontId="3" fillId="2" borderId="3" xfId="17" applyNumberFormat="1" applyFont="1" applyFill="1" applyBorder="1" applyAlignment="1" applyProtection="1">
      <alignment vertical="top"/>
      <protection hidden="1"/>
    </xf>
    <xf numFmtId="49" fontId="3" fillId="0" borderId="1" xfId="17" applyNumberFormat="1" applyFont="1" applyBorder="1" applyAlignment="1" applyProtection="1">
      <alignment vertical="top" wrapText="1"/>
      <protection hidden="1"/>
    </xf>
    <xf numFmtId="0" fontId="1" fillId="0" borderId="16" xfId="17" applyFont="1" applyBorder="1" applyAlignment="1" applyProtection="1">
      <alignment vertical="top"/>
      <protection hidden="1"/>
    </xf>
    <xf numFmtId="0" fontId="1" fillId="0" borderId="17" xfId="17" applyFont="1" applyBorder="1" applyAlignment="1" applyProtection="1">
      <alignment vertical="top"/>
      <protection hidden="1"/>
    </xf>
    <xf numFmtId="49" fontId="3" fillId="0" borderId="22" xfId="17" applyNumberFormat="1" applyFont="1" applyBorder="1" applyAlignment="1" applyProtection="1">
      <alignment vertical="top" wrapText="1"/>
      <protection hidden="1"/>
    </xf>
    <xf numFmtId="164" fontId="3" fillId="0" borderId="22" xfId="17" applyNumberFormat="1" applyFont="1" applyBorder="1" applyAlignment="1" applyProtection="1">
      <alignment vertical="top"/>
      <protection hidden="1"/>
    </xf>
    <xf numFmtId="3" fontId="3" fillId="0" borderId="3" xfId="17" applyNumberFormat="1" applyFont="1" applyFill="1" applyBorder="1" applyAlignment="1" applyProtection="1">
      <alignment vertical="top"/>
      <protection hidden="1"/>
    </xf>
    <xf numFmtId="49" fontId="6" fillId="0" borderId="19" xfId="17" applyNumberFormat="1" applyFont="1" applyBorder="1" applyAlignment="1" applyProtection="1">
      <alignment vertical="top"/>
      <protection hidden="1"/>
    </xf>
    <xf numFmtId="3" fontId="6" fillId="0" borderId="19" xfId="17" applyNumberFormat="1" applyFont="1" applyFill="1" applyBorder="1" applyAlignment="1" applyProtection="1">
      <alignment vertical="top"/>
      <protection hidden="1"/>
    </xf>
    <xf numFmtId="3" fontId="6" fillId="0" borderId="19" xfId="17" applyNumberFormat="1" applyFont="1" applyBorder="1" applyAlignment="1" applyProtection="1">
      <alignment vertical="top"/>
      <protection hidden="1"/>
    </xf>
    <xf numFmtId="3" fontId="6" fillId="0" borderId="25" xfId="17" applyNumberFormat="1" applyFont="1" applyBorder="1" applyAlignment="1" applyProtection="1">
      <alignment vertical="top"/>
      <protection hidden="1"/>
    </xf>
    <xf numFmtId="0" fontId="6" fillId="0" borderId="0" xfId="17" applyFont="1" applyAlignment="1" applyProtection="1">
      <alignment vertical="top"/>
      <protection hidden="1"/>
    </xf>
    <xf numFmtId="49" fontId="1" fillId="0" borderId="13" xfId="17" applyNumberFormat="1" applyFont="1" applyBorder="1" applyAlignment="1" applyProtection="1">
      <alignment vertical="top"/>
      <protection hidden="1"/>
    </xf>
    <xf numFmtId="3" fontId="1" fillId="0" borderId="13" xfId="17" applyNumberFormat="1" applyFont="1" applyFill="1" applyBorder="1" applyAlignment="1" applyProtection="1">
      <alignment vertical="top"/>
      <protection hidden="1"/>
    </xf>
    <xf numFmtId="0" fontId="3" fillId="0" borderId="1" xfId="17" applyFont="1" applyBorder="1" applyAlignment="1" applyProtection="1">
      <alignment horizontal="center" vertical="center" wrapText="1"/>
      <protection hidden="1"/>
    </xf>
    <xf numFmtId="3" fontId="3" fillId="2" borderId="25" xfId="17" applyNumberFormat="1" applyFont="1" applyFill="1" applyBorder="1" applyAlignment="1" applyProtection="1">
      <alignment vertical="top"/>
      <protection hidden="1"/>
    </xf>
    <xf numFmtId="3" fontId="7" fillId="0" borderId="25" xfId="17" applyNumberFormat="1" applyFont="1" applyBorder="1" applyAlignment="1" applyProtection="1">
      <alignment vertical="top"/>
      <protection hidden="1"/>
    </xf>
    <xf numFmtId="164" fontId="3" fillId="0" borderId="24" xfId="0" applyNumberFormat="1" applyFont="1" applyBorder="1" applyAlignment="1">
      <alignment vertical="top"/>
    </xf>
    <xf numFmtId="165" fontId="3" fillId="2" borderId="24" xfId="17" applyNumberFormat="1" applyFont="1" applyFill="1" applyBorder="1" applyAlignment="1" applyProtection="1">
      <alignment vertical="top"/>
      <protection hidden="1"/>
    </xf>
    <xf numFmtId="165" fontId="3" fillId="0" borderId="18" xfId="17" applyNumberFormat="1" applyFont="1" applyBorder="1" applyAlignment="1" applyProtection="1">
      <alignment vertical="top"/>
      <protection hidden="1"/>
    </xf>
    <xf numFmtId="164" fontId="3" fillId="0" borderId="23" xfId="17" applyNumberFormat="1" applyFont="1" applyBorder="1" applyAlignment="1" applyProtection="1">
      <alignment vertical="top"/>
      <protection hidden="1"/>
    </xf>
    <xf numFmtId="0" fontId="3" fillId="0" borderId="5" xfId="17" applyFont="1" applyBorder="1" applyAlignment="1" applyProtection="1">
      <alignment horizontal="center" vertical="center"/>
      <protection hidden="1"/>
    </xf>
    <xf numFmtId="3" fontId="3" fillId="2" borderId="21" xfId="17" applyNumberFormat="1" applyFont="1" applyFill="1" applyBorder="1" applyAlignment="1" applyProtection="1">
      <alignment vertical="top"/>
      <protection hidden="1"/>
    </xf>
    <xf numFmtId="3" fontId="1" fillId="0" borderId="4" xfId="17" applyNumberFormat="1" applyFont="1" applyBorder="1" applyAlignment="1" applyProtection="1">
      <alignment vertical="top"/>
      <protection hidden="1"/>
    </xf>
    <xf numFmtId="3" fontId="1" fillId="0" borderId="12" xfId="17" applyNumberFormat="1" applyFont="1" applyBorder="1" applyAlignment="1" applyProtection="1">
      <alignment vertical="top"/>
      <protection hidden="1"/>
    </xf>
    <xf numFmtId="3" fontId="6" fillId="0" borderId="21" xfId="17" applyNumberFormat="1" applyFont="1" applyBorder="1" applyAlignment="1" applyProtection="1">
      <alignment vertical="top"/>
      <protection hidden="1"/>
    </xf>
    <xf numFmtId="3" fontId="3" fillId="2" borderId="6" xfId="17" applyNumberFormat="1" applyFont="1" applyFill="1" applyBorder="1" applyAlignment="1" applyProtection="1">
      <alignment vertical="top"/>
      <protection hidden="1"/>
    </xf>
    <xf numFmtId="3" fontId="1" fillId="0" borderId="9" xfId="17" applyNumberFormat="1" applyFont="1" applyBorder="1" applyAlignment="1" applyProtection="1">
      <alignment vertical="top"/>
      <protection hidden="1"/>
    </xf>
    <xf numFmtId="3" fontId="1" fillId="0" borderId="12" xfId="17" applyNumberFormat="1" applyFont="1" applyBorder="1" applyAlignment="1" applyProtection="1">
      <alignment vertical="top"/>
      <protection hidden="1"/>
    </xf>
    <xf numFmtId="3" fontId="3" fillId="0" borderId="2" xfId="17" applyNumberFormat="1" applyFont="1" applyBorder="1" applyAlignment="1" applyProtection="1">
      <alignment vertical="top"/>
      <protection hidden="1"/>
    </xf>
    <xf numFmtId="3" fontId="3" fillId="0" borderId="6" xfId="17" applyNumberFormat="1" applyFont="1" applyBorder="1" applyAlignment="1" applyProtection="1">
      <alignment vertical="top"/>
      <protection hidden="1"/>
    </xf>
    <xf numFmtId="3" fontId="7" fillId="0" borderId="21" xfId="17" applyNumberFormat="1" applyFont="1" applyBorder="1" applyAlignment="1" applyProtection="1">
      <alignment vertical="top"/>
      <protection hidden="1"/>
    </xf>
    <xf numFmtId="3" fontId="3" fillId="4" borderId="2" xfId="17" applyNumberFormat="1" applyFont="1" applyFill="1" applyBorder="1" applyAlignment="1" applyProtection="1">
      <alignment vertical="top"/>
      <protection hidden="1"/>
    </xf>
    <xf numFmtId="3" fontId="3" fillId="2" borderId="2" xfId="17" applyNumberFormat="1" applyFont="1" applyFill="1" applyBorder="1" applyAlignment="1" applyProtection="1">
      <alignment vertical="top"/>
      <protection hidden="1"/>
    </xf>
    <xf numFmtId="3" fontId="3" fillId="0" borderId="4" xfId="17" applyNumberFormat="1" applyFont="1" applyBorder="1" applyAlignment="1" applyProtection="1">
      <alignment vertical="top"/>
      <protection hidden="1"/>
    </xf>
    <xf numFmtId="3" fontId="3" fillId="0" borderId="12" xfId="17" applyNumberFormat="1" applyFont="1" applyBorder="1" applyAlignment="1" applyProtection="1">
      <alignment vertical="top"/>
      <protection hidden="1"/>
    </xf>
    <xf numFmtId="3" fontId="1" fillId="0" borderId="15" xfId="17" applyNumberFormat="1" applyFont="1" applyBorder="1" applyAlignment="1" applyProtection="1">
      <alignment vertical="top"/>
      <protection hidden="1"/>
    </xf>
    <xf numFmtId="3" fontId="3" fillId="2" borderId="2" xfId="17" applyNumberFormat="1" applyFont="1" applyFill="1" applyBorder="1" applyAlignment="1" applyProtection="1">
      <alignment vertical="top"/>
      <protection hidden="1"/>
    </xf>
    <xf numFmtId="3" fontId="3" fillId="0" borderId="4" xfId="17" applyNumberFormat="1" applyFont="1" applyBorder="1" applyAlignment="1" applyProtection="1">
      <alignment vertical="top"/>
      <protection hidden="1"/>
    </xf>
    <xf numFmtId="3" fontId="3" fillId="3" borderId="12" xfId="17" applyNumberFormat="1" applyFont="1" applyFill="1" applyBorder="1" applyAlignment="1" applyProtection="1">
      <alignment vertical="top"/>
      <protection hidden="1"/>
    </xf>
    <xf numFmtId="3" fontId="3" fillId="0" borderId="15" xfId="17" applyNumberFormat="1" applyFont="1" applyBorder="1" applyAlignment="1" applyProtection="1">
      <alignment vertical="top"/>
      <protection hidden="1"/>
    </xf>
    <xf numFmtId="3" fontId="3" fillId="0" borderId="2" xfId="17" applyNumberFormat="1" applyFont="1" applyBorder="1" applyAlignment="1" applyProtection="1">
      <alignment vertical="top"/>
      <protection hidden="1"/>
    </xf>
    <xf numFmtId="164" fontId="3" fillId="0" borderId="2" xfId="0" applyNumberFormat="1" applyFont="1" applyBorder="1" applyAlignment="1">
      <alignment vertical="top"/>
    </xf>
    <xf numFmtId="165" fontId="3" fillId="2" borderId="2" xfId="17" applyNumberFormat="1" applyFont="1" applyFill="1" applyBorder="1" applyAlignment="1" applyProtection="1">
      <alignment vertical="top"/>
      <protection hidden="1"/>
    </xf>
    <xf numFmtId="0" fontId="3" fillId="0" borderId="12" xfId="17" applyFont="1" applyBorder="1" applyAlignment="1" applyProtection="1">
      <alignment vertical="top"/>
      <protection hidden="1"/>
    </xf>
    <xf numFmtId="0" fontId="1" fillId="0" borderId="12" xfId="17" applyFont="1" applyBorder="1" applyAlignment="1" applyProtection="1">
      <alignment vertical="top"/>
      <protection hidden="1"/>
    </xf>
    <xf numFmtId="0" fontId="1" fillId="0" borderId="15" xfId="17" applyFont="1" applyBorder="1" applyAlignment="1" applyProtection="1">
      <alignment vertical="top"/>
      <protection hidden="1"/>
    </xf>
    <xf numFmtId="165" fontId="3" fillId="0" borderId="4" xfId="17" applyNumberFormat="1" applyFont="1" applyBorder="1" applyAlignment="1" applyProtection="1">
      <alignment vertical="top"/>
      <protection hidden="1"/>
    </xf>
    <xf numFmtId="164" fontId="3" fillId="0" borderId="5" xfId="17" applyNumberFormat="1" applyFont="1" applyBorder="1" applyAlignment="1" applyProtection="1">
      <alignment vertical="top"/>
      <protection hidden="1"/>
    </xf>
    <xf numFmtId="3" fontId="3" fillId="4" borderId="26" xfId="17" applyNumberFormat="1" applyFont="1" applyFill="1" applyBorder="1" applyAlignment="1" applyProtection="1">
      <alignment vertical="top"/>
      <protection hidden="1"/>
    </xf>
    <xf numFmtId="0" fontId="1" fillId="0" borderId="12" xfId="17" applyFont="1" applyBorder="1" applyAlignment="1" applyProtection="1">
      <alignment horizontal="center" vertical="top"/>
      <protection hidden="1"/>
    </xf>
    <xf numFmtId="0" fontId="1" fillId="0" borderId="15" xfId="17" applyFont="1" applyBorder="1" applyAlignment="1" applyProtection="1">
      <alignment horizontal="center" vertical="top"/>
      <protection hidden="1"/>
    </xf>
    <xf numFmtId="0" fontId="3" fillId="0" borderId="4" xfId="17" applyFont="1" applyBorder="1" applyAlignment="1" applyProtection="1">
      <alignment horizontal="center" vertical="center"/>
      <protection hidden="1"/>
    </xf>
    <xf numFmtId="0" fontId="3" fillId="0" borderId="5" xfId="17" applyFont="1" applyBorder="1" applyAlignment="1" applyProtection="1">
      <alignment horizontal="center" vertical="center"/>
      <protection hidden="1"/>
    </xf>
    <xf numFmtId="49" fontId="3" fillId="0" borderId="1" xfId="17" applyNumberFormat="1" applyFont="1" applyBorder="1" applyAlignment="1" applyProtection="1">
      <alignment horizontal="center" vertical="center"/>
      <protection hidden="1"/>
    </xf>
    <xf numFmtId="49" fontId="3" fillId="0" borderId="22" xfId="17" applyNumberFormat="1" applyFont="1" applyBorder="1" applyAlignment="1" applyProtection="1">
      <alignment horizontal="center" vertical="center"/>
      <protection hidden="1"/>
    </xf>
    <xf numFmtId="0" fontId="3" fillId="0" borderId="1" xfId="17" applyFont="1" applyBorder="1" applyAlignment="1" applyProtection="1">
      <alignment horizontal="center" vertical="center" wrapText="1"/>
      <protection hidden="1"/>
    </xf>
    <xf numFmtId="0" fontId="3" fillId="0" borderId="18" xfId="17" applyFont="1" applyBorder="1" applyAlignment="1" applyProtection="1">
      <alignment horizontal="center" vertical="center" wrapText="1"/>
      <protection hidden="1"/>
    </xf>
    <xf numFmtId="0" fontId="3" fillId="0" borderId="27" xfId="17" applyFont="1" applyBorder="1" applyAlignment="1" applyProtection="1">
      <alignment horizontal="center" vertical="center" wrapText="1"/>
      <protection hidden="1"/>
    </xf>
    <xf numFmtId="0" fontId="3" fillId="0" borderId="28" xfId="17" applyFont="1" applyBorder="1" applyAlignment="1" applyProtection="1">
      <alignment horizontal="center" vertical="center" wrapText="1"/>
      <protection hidden="1"/>
    </xf>
    <xf numFmtId="0" fontId="3" fillId="0" borderId="29" xfId="17" applyFont="1" applyBorder="1" applyAlignment="1" applyProtection="1">
      <alignment horizontal="center" vertical="center" wrapText="1"/>
      <protection hidden="1"/>
    </xf>
  </cellXfs>
  <cellStyles count="7">
    <cellStyle name="Normal" xfId="0"/>
    <cellStyle name="Comma" xfId="15"/>
    <cellStyle name="Comma [0]" xfId="16"/>
    <cellStyle name="Normalny_Załączniki budżet 2005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82"/>
  <sheetViews>
    <sheetView tabSelected="1" view="pageBreakPreview" zoomScale="90" zoomScaleSheetLayoutView="90" workbookViewId="0" topLeftCell="A1">
      <selection activeCell="G12" sqref="G12"/>
    </sheetView>
  </sheetViews>
  <sheetFormatPr defaultColWidth="9.140625" defaultRowHeight="12.75"/>
  <cols>
    <col min="1" max="1" width="3.28125" style="1" customWidth="1"/>
    <col min="2" max="2" width="37.8515625" style="2" customWidth="1"/>
    <col min="3" max="3" width="10.57421875" style="3" hidden="1" customWidth="1"/>
    <col min="4" max="4" width="10.57421875" style="3" bestFit="1" customWidth="1"/>
    <col min="5" max="5" width="11.28125" style="3" customWidth="1"/>
    <col min="6" max="8" width="10.57421875" style="3" bestFit="1" customWidth="1"/>
    <col min="9" max="9" width="11.28125" style="3" bestFit="1" customWidth="1"/>
    <col min="10" max="10" width="12.00390625" style="3" bestFit="1" customWidth="1"/>
    <col min="11" max="18" width="10.57421875" style="3" bestFit="1" customWidth="1"/>
    <col min="19" max="16384" width="9.140625" style="3" customWidth="1"/>
  </cols>
  <sheetData>
    <row r="2" ht="12.75" thickBot="1"/>
    <row r="3" spans="1:18" s="5" customFormat="1" ht="25.5" customHeight="1">
      <c r="A3" s="158" t="s">
        <v>0</v>
      </c>
      <c r="B3" s="160" t="s">
        <v>1</v>
      </c>
      <c r="C3" s="4" t="s">
        <v>2</v>
      </c>
      <c r="D3" s="120" t="s">
        <v>2</v>
      </c>
      <c r="E3" s="162" t="s">
        <v>3</v>
      </c>
      <c r="F3" s="162"/>
      <c r="G3" s="162"/>
      <c r="H3" s="163"/>
      <c r="I3" s="164" t="s">
        <v>3</v>
      </c>
      <c r="J3" s="165"/>
      <c r="K3" s="165"/>
      <c r="L3" s="165"/>
      <c r="M3" s="166"/>
      <c r="N3" s="164" t="s">
        <v>3</v>
      </c>
      <c r="O3" s="165"/>
      <c r="P3" s="165"/>
      <c r="Q3" s="165"/>
      <c r="R3" s="166"/>
    </row>
    <row r="4" spans="1:18" s="5" customFormat="1" ht="16.5" customHeight="1" thickBot="1">
      <c r="A4" s="159"/>
      <c r="B4" s="161"/>
      <c r="C4" s="67" t="s">
        <v>4</v>
      </c>
      <c r="D4" s="67" t="s">
        <v>5</v>
      </c>
      <c r="E4" s="67" t="s">
        <v>6</v>
      </c>
      <c r="F4" s="67" t="s">
        <v>7</v>
      </c>
      <c r="G4" s="67" t="s">
        <v>8</v>
      </c>
      <c r="H4" s="68" t="s">
        <v>9</v>
      </c>
      <c r="I4" s="127" t="s">
        <v>10</v>
      </c>
      <c r="J4" s="67" t="s">
        <v>11</v>
      </c>
      <c r="K4" s="67" t="s">
        <v>12</v>
      </c>
      <c r="L4" s="67" t="s">
        <v>13</v>
      </c>
      <c r="M4" s="68" t="s">
        <v>14</v>
      </c>
      <c r="N4" s="127" t="s">
        <v>15</v>
      </c>
      <c r="O4" s="67" t="s">
        <v>85</v>
      </c>
      <c r="P4" s="67" t="s">
        <v>86</v>
      </c>
      <c r="Q4" s="67" t="s">
        <v>87</v>
      </c>
      <c r="R4" s="68" t="s">
        <v>88</v>
      </c>
    </row>
    <row r="5" spans="1:18" ht="14.25" customHeight="1" thickBot="1">
      <c r="A5" s="65">
        <v>1</v>
      </c>
      <c r="B5" s="66" t="s">
        <v>16</v>
      </c>
      <c r="C5" s="58">
        <v>163768789</v>
      </c>
      <c r="D5" s="58">
        <f>D6+D7</f>
        <v>190205278</v>
      </c>
      <c r="E5" s="59">
        <f>E6+E7</f>
        <v>216534191</v>
      </c>
      <c r="F5" s="58">
        <f>F6+F7</f>
        <v>216963417</v>
      </c>
      <c r="G5" s="58">
        <f aca="true" t="shared" si="0" ref="G5:N5">G6+G7</f>
        <v>284484529.51</v>
      </c>
      <c r="H5" s="121">
        <f t="shared" si="0"/>
        <v>297942342.4</v>
      </c>
      <c r="I5" s="128">
        <f t="shared" si="0"/>
        <v>736940000</v>
      </c>
      <c r="J5" s="58">
        <f t="shared" si="0"/>
        <v>1043634000</v>
      </c>
      <c r="K5" s="58">
        <f t="shared" si="0"/>
        <v>209516000</v>
      </c>
      <c r="L5" s="58">
        <f t="shared" si="0"/>
        <v>220445000</v>
      </c>
      <c r="M5" s="121">
        <f t="shared" si="0"/>
        <v>214904000</v>
      </c>
      <c r="N5" s="128">
        <f t="shared" si="0"/>
        <v>219908000</v>
      </c>
      <c r="O5" s="58">
        <f>O6+O7</f>
        <v>221879000</v>
      </c>
      <c r="P5" s="58">
        <f>P6+P7</f>
        <v>227073000</v>
      </c>
      <c r="Q5" s="58">
        <f>Q6+Q7</f>
        <v>232410000</v>
      </c>
      <c r="R5" s="121">
        <f>R6+R7</f>
        <v>237893000</v>
      </c>
    </row>
    <row r="6" spans="1:18" s="13" customFormat="1" ht="12.75" customHeight="1">
      <c r="A6" s="9">
        <v>2</v>
      </c>
      <c r="B6" s="10" t="s">
        <v>17</v>
      </c>
      <c r="C6" s="11">
        <f>C5-C7</f>
        <v>121963664</v>
      </c>
      <c r="D6" s="12">
        <v>157007625</v>
      </c>
      <c r="E6" s="12">
        <v>159899159</v>
      </c>
      <c r="F6" s="11">
        <v>151970417</v>
      </c>
      <c r="G6" s="12">
        <f>ROUND(F6*103%,2)-4500000</f>
        <v>152029529.51</v>
      </c>
      <c r="H6" s="57">
        <f>ROUND(G6*103%,2)+1</f>
        <v>156590416.4</v>
      </c>
      <c r="I6" s="129">
        <v>161289000</v>
      </c>
      <c r="J6" s="12">
        <v>166128000</v>
      </c>
      <c r="K6" s="12">
        <v>171112000</v>
      </c>
      <c r="L6" s="12">
        <v>176245000</v>
      </c>
      <c r="M6" s="57">
        <v>181532000</v>
      </c>
      <c r="N6" s="129">
        <v>186978000</v>
      </c>
      <c r="O6" s="12">
        <v>192587000</v>
      </c>
      <c r="P6" s="12">
        <v>198365000</v>
      </c>
      <c r="Q6" s="12">
        <v>204316000</v>
      </c>
      <c r="R6" s="57">
        <v>210445000</v>
      </c>
    </row>
    <row r="7" spans="1:18" s="13" customFormat="1" ht="12.75" customHeight="1">
      <c r="A7" s="32">
        <v>3</v>
      </c>
      <c r="B7" s="118" t="s">
        <v>18</v>
      </c>
      <c r="C7" s="119">
        <v>41805125</v>
      </c>
      <c r="D7" s="30">
        <v>33197653</v>
      </c>
      <c r="E7" s="30">
        <f>56737251-120219+18000</f>
        <v>56635032</v>
      </c>
      <c r="F7" s="119">
        <v>64993000</v>
      </c>
      <c r="G7" s="30">
        <f>30000000+18164000+84291000</f>
        <v>132455000</v>
      </c>
      <c r="H7" s="31">
        <f>30000000+21969926+119582000-30200000</f>
        <v>141351926</v>
      </c>
      <c r="I7" s="130">
        <f>38018000+528267000+8244000+1122000</f>
        <v>575651000</v>
      </c>
      <c r="J7" s="30">
        <f>34593000+837543000+5370000</f>
        <v>877506000</v>
      </c>
      <c r="K7" s="30">
        <f>34345000+4059000</f>
        <v>38404000</v>
      </c>
      <c r="L7" s="30">
        <f>33871000+10329000</f>
        <v>44200000</v>
      </c>
      <c r="M7" s="31">
        <v>33372000</v>
      </c>
      <c r="N7" s="130">
        <v>32930000</v>
      </c>
      <c r="O7" s="30">
        <v>29292000</v>
      </c>
      <c r="P7" s="30">
        <v>28708000</v>
      </c>
      <c r="Q7" s="30">
        <v>28094000</v>
      </c>
      <c r="R7" s="31">
        <v>27448000</v>
      </c>
    </row>
    <row r="8" spans="1:18" s="117" customFormat="1" ht="12.75" customHeight="1" thickBot="1">
      <c r="A8" s="60"/>
      <c r="B8" s="113" t="s">
        <v>93</v>
      </c>
      <c r="C8" s="114"/>
      <c r="D8" s="115">
        <v>4605898</v>
      </c>
      <c r="E8" s="115">
        <v>26429255</v>
      </c>
      <c r="F8" s="114">
        <f>28240000+5713000</f>
        <v>33953000</v>
      </c>
      <c r="G8" s="115">
        <v>58103000</v>
      </c>
      <c r="H8" s="116">
        <v>69344000</v>
      </c>
      <c r="I8" s="131">
        <f>I12</f>
        <v>528267000</v>
      </c>
      <c r="J8" s="115">
        <v>837543000</v>
      </c>
      <c r="K8" s="115">
        <v>24788000</v>
      </c>
      <c r="L8" s="115">
        <v>33550000</v>
      </c>
      <c r="M8" s="116"/>
      <c r="N8" s="131"/>
      <c r="O8" s="115"/>
      <c r="P8" s="115"/>
      <c r="Q8" s="115"/>
      <c r="R8" s="116"/>
    </row>
    <row r="9" spans="1:18" ht="15" customHeight="1" thickBot="1">
      <c r="A9" s="15">
        <v>4</v>
      </c>
      <c r="B9" s="16" t="s">
        <v>19</v>
      </c>
      <c r="C9" s="17">
        <f>C10+C11</f>
        <v>157741384</v>
      </c>
      <c r="D9" s="17">
        <f>D10+D11</f>
        <v>181476692</v>
      </c>
      <c r="E9" s="17">
        <f aca="true" t="shared" si="1" ref="E9:N9">E10+E11</f>
        <v>230351099</v>
      </c>
      <c r="F9" s="17">
        <f t="shared" si="1"/>
        <v>238163417</v>
      </c>
      <c r="G9" s="17">
        <f t="shared" si="1"/>
        <v>275684529.51</v>
      </c>
      <c r="H9" s="18">
        <f t="shared" si="1"/>
        <v>289142342</v>
      </c>
      <c r="I9" s="132">
        <f t="shared" si="1"/>
        <v>728140000</v>
      </c>
      <c r="J9" s="17">
        <f t="shared" si="1"/>
        <v>1037834000</v>
      </c>
      <c r="K9" s="17">
        <f t="shared" si="1"/>
        <v>203516000</v>
      </c>
      <c r="L9" s="17">
        <f t="shared" si="1"/>
        <v>214445000</v>
      </c>
      <c r="M9" s="18">
        <f t="shared" si="1"/>
        <v>208904000</v>
      </c>
      <c r="N9" s="132">
        <f t="shared" si="1"/>
        <v>213824000</v>
      </c>
      <c r="O9" s="17">
        <f>O10+O11</f>
        <v>218879000</v>
      </c>
      <c r="P9" s="17">
        <f>P10+P11</f>
        <v>224073000</v>
      </c>
      <c r="Q9" s="17">
        <f>Q10+Q11</f>
        <v>229410000</v>
      </c>
      <c r="R9" s="18">
        <f>R10+R11</f>
        <v>234893000</v>
      </c>
    </row>
    <row r="10" spans="1:18" ht="12" customHeight="1">
      <c r="A10" s="19">
        <v>5</v>
      </c>
      <c r="B10" s="20" t="s">
        <v>20</v>
      </c>
      <c r="C10" s="21">
        <v>123638326</v>
      </c>
      <c r="D10" s="22">
        <v>132150873</v>
      </c>
      <c r="E10" s="22">
        <v>150198062</v>
      </c>
      <c r="F10" s="21">
        <f>147899454-885000</f>
        <v>147014454</v>
      </c>
      <c r="G10" s="22">
        <f>G6-500000+1500000-1000000</f>
        <v>152029529.51</v>
      </c>
      <c r="H10" s="23">
        <v>156210342</v>
      </c>
      <c r="I10" s="133">
        <v>160507000</v>
      </c>
      <c r="J10" s="22">
        <v>164921000</v>
      </c>
      <c r="K10" s="22">
        <v>169457000</v>
      </c>
      <c r="L10" s="22">
        <v>174116000</v>
      </c>
      <c r="M10" s="23">
        <v>178904000</v>
      </c>
      <c r="N10" s="133">
        <v>183824000</v>
      </c>
      <c r="O10" s="22">
        <v>188879000</v>
      </c>
      <c r="P10" s="22">
        <v>194073000</v>
      </c>
      <c r="Q10" s="22">
        <v>199410000</v>
      </c>
      <c r="R10" s="23">
        <v>204893000</v>
      </c>
    </row>
    <row r="11" spans="1:18" ht="12" customHeight="1">
      <c r="A11" s="28">
        <v>6</v>
      </c>
      <c r="B11" s="39" t="s">
        <v>21</v>
      </c>
      <c r="C11" s="69">
        <v>34103058</v>
      </c>
      <c r="D11" s="37">
        <v>49325819</v>
      </c>
      <c r="E11" s="69">
        <v>80153037</v>
      </c>
      <c r="F11" s="69">
        <v>91148963</v>
      </c>
      <c r="G11" s="37">
        <v>123655000</v>
      </c>
      <c r="H11" s="38">
        <v>132932000</v>
      </c>
      <c r="I11" s="134">
        <f>39366000+528267000</f>
        <v>567633000</v>
      </c>
      <c r="J11" s="37">
        <f>30000000+837543000+5370000</f>
        <v>872913000</v>
      </c>
      <c r="K11" s="37">
        <f>30000000+4059000</f>
        <v>34059000</v>
      </c>
      <c r="L11" s="37">
        <f>30000000+10329000</f>
        <v>40329000</v>
      </c>
      <c r="M11" s="38">
        <v>30000000</v>
      </c>
      <c r="N11" s="134">
        <v>30000000</v>
      </c>
      <c r="O11" s="37">
        <v>30000000</v>
      </c>
      <c r="P11" s="37">
        <v>30000000</v>
      </c>
      <c r="Q11" s="37">
        <v>30000000</v>
      </c>
      <c r="R11" s="38">
        <v>30000000</v>
      </c>
    </row>
    <row r="12" spans="1:18" s="117" customFormat="1" ht="12" customHeight="1" thickBot="1">
      <c r="A12" s="60"/>
      <c r="B12" s="113" t="s">
        <v>93</v>
      </c>
      <c r="C12" s="114"/>
      <c r="D12" s="115">
        <f>D8</f>
        <v>4605898</v>
      </c>
      <c r="E12" s="114">
        <f>E8</f>
        <v>26429255</v>
      </c>
      <c r="F12" s="114">
        <f>F8</f>
        <v>33953000</v>
      </c>
      <c r="G12" s="115">
        <f>G8</f>
        <v>58103000</v>
      </c>
      <c r="H12" s="116">
        <f>H8</f>
        <v>69344000</v>
      </c>
      <c r="I12" s="131">
        <v>528267000</v>
      </c>
      <c r="J12" s="115">
        <v>837543000</v>
      </c>
      <c r="K12" s="115">
        <f>K8</f>
        <v>24788000</v>
      </c>
      <c r="L12" s="115">
        <f>L8</f>
        <v>33550000</v>
      </c>
      <c r="M12" s="116"/>
      <c r="N12" s="131"/>
      <c r="O12" s="115"/>
      <c r="P12" s="115"/>
      <c r="Q12" s="115"/>
      <c r="R12" s="116"/>
    </row>
    <row r="13" spans="1:18" s="27" customFormat="1" ht="12" customHeight="1" thickBot="1">
      <c r="A13" s="46">
        <v>7</v>
      </c>
      <c r="B13" s="72" t="s">
        <v>22</v>
      </c>
      <c r="C13" s="73">
        <f aca="true" t="shared" si="2" ref="C13:N13">C5-C9</f>
        <v>6027405</v>
      </c>
      <c r="D13" s="73">
        <f t="shared" si="2"/>
        <v>8728586</v>
      </c>
      <c r="E13" s="73">
        <f t="shared" si="2"/>
        <v>-13816908</v>
      </c>
      <c r="F13" s="73">
        <f t="shared" si="2"/>
        <v>-21200000</v>
      </c>
      <c r="G13" s="73">
        <f t="shared" si="2"/>
        <v>8800000</v>
      </c>
      <c r="H13" s="74">
        <f t="shared" si="2"/>
        <v>8800000.399999976</v>
      </c>
      <c r="I13" s="135">
        <f t="shared" si="2"/>
        <v>8800000</v>
      </c>
      <c r="J13" s="73">
        <f t="shared" si="2"/>
        <v>5800000</v>
      </c>
      <c r="K13" s="73">
        <f t="shared" si="2"/>
        <v>6000000</v>
      </c>
      <c r="L13" s="73">
        <f t="shared" si="2"/>
        <v>6000000</v>
      </c>
      <c r="M13" s="74">
        <f t="shared" si="2"/>
        <v>6000000</v>
      </c>
      <c r="N13" s="135">
        <f t="shared" si="2"/>
        <v>6084000</v>
      </c>
      <c r="O13" s="73">
        <f>O5-O9</f>
        <v>3000000</v>
      </c>
      <c r="P13" s="73">
        <f>P5-P9</f>
        <v>3000000</v>
      </c>
      <c r="Q13" s="73">
        <f>Q5-Q9</f>
        <v>3000000</v>
      </c>
      <c r="R13" s="74">
        <f>R5-R9</f>
        <v>3000000</v>
      </c>
    </row>
    <row r="14" spans="1:18" s="27" customFormat="1" ht="12" customHeight="1" thickBot="1">
      <c r="A14" s="24">
        <v>8</v>
      </c>
      <c r="B14" s="25" t="s">
        <v>23</v>
      </c>
      <c r="C14" s="26">
        <f aca="true" t="shared" si="3" ref="C14:N14">C17-C33</f>
        <v>13357561</v>
      </c>
      <c r="D14" s="26">
        <f t="shared" si="3"/>
        <v>16882570</v>
      </c>
      <c r="E14" s="26">
        <f t="shared" si="3"/>
        <v>13816908</v>
      </c>
      <c r="F14" s="26">
        <f t="shared" si="3"/>
        <v>21200000</v>
      </c>
      <c r="G14" s="26">
        <f t="shared" si="3"/>
        <v>-8800000</v>
      </c>
      <c r="H14" s="71">
        <f t="shared" si="3"/>
        <v>-8800000</v>
      </c>
      <c r="I14" s="136">
        <f t="shared" si="3"/>
        <v>-8800000</v>
      </c>
      <c r="J14" s="26">
        <f t="shared" si="3"/>
        <v>-5800000</v>
      </c>
      <c r="K14" s="26">
        <f t="shared" si="3"/>
        <v>-6000000</v>
      </c>
      <c r="L14" s="26">
        <f t="shared" si="3"/>
        <v>-6000000</v>
      </c>
      <c r="M14" s="71">
        <f t="shared" si="3"/>
        <v>-6000000</v>
      </c>
      <c r="N14" s="136">
        <f t="shared" si="3"/>
        <v>-6084000</v>
      </c>
      <c r="O14" s="26">
        <f>O17-O33</f>
        <v>-3000000</v>
      </c>
      <c r="P14" s="26">
        <f>P17-P33</f>
        <v>-3000000</v>
      </c>
      <c r="Q14" s="26">
        <f>Q17-Q33</f>
        <v>-3000000</v>
      </c>
      <c r="R14" s="71">
        <f>R17-R33</f>
        <v>-3000000</v>
      </c>
    </row>
    <row r="15" spans="1:18" s="63" customFormat="1" ht="12" customHeight="1" hidden="1" thickBot="1">
      <c r="A15" s="60"/>
      <c r="B15" s="61" t="s">
        <v>84</v>
      </c>
      <c r="C15" s="62"/>
      <c r="D15" s="62">
        <f>D6-D10</f>
        <v>24856752</v>
      </c>
      <c r="E15" s="62">
        <f aca="true" t="shared" si="4" ref="E15:N15">E6-E10</f>
        <v>9701097</v>
      </c>
      <c r="F15" s="62">
        <f t="shared" si="4"/>
        <v>4955963</v>
      </c>
      <c r="G15" s="62">
        <f t="shared" si="4"/>
        <v>0</v>
      </c>
      <c r="H15" s="122">
        <f t="shared" si="4"/>
        <v>380074.40000000596</v>
      </c>
      <c r="I15" s="137">
        <f t="shared" si="4"/>
        <v>782000</v>
      </c>
      <c r="J15" s="62">
        <f t="shared" si="4"/>
        <v>1207000</v>
      </c>
      <c r="K15" s="62">
        <f t="shared" si="4"/>
        <v>1655000</v>
      </c>
      <c r="L15" s="62">
        <f t="shared" si="4"/>
        <v>2129000</v>
      </c>
      <c r="M15" s="122">
        <f t="shared" si="4"/>
        <v>2628000</v>
      </c>
      <c r="N15" s="137">
        <f t="shared" si="4"/>
        <v>3154000</v>
      </c>
      <c r="O15" s="62">
        <f>O6-O10</f>
        <v>3708000</v>
      </c>
      <c r="P15" s="62">
        <f>P6-P10</f>
        <v>4292000</v>
      </c>
      <c r="Q15" s="62">
        <f>Q6-Q10</f>
        <v>4906000</v>
      </c>
      <c r="R15" s="122">
        <f>R6-R10</f>
        <v>5552000</v>
      </c>
    </row>
    <row r="16" spans="1:18" s="27" customFormat="1" ht="12" customHeight="1" hidden="1" thickBot="1">
      <c r="A16" s="75"/>
      <c r="B16" s="76" t="s">
        <v>91</v>
      </c>
      <c r="C16" s="77">
        <f aca="true" t="shared" si="5" ref="C16:N16">C14+C13</f>
        <v>19384966</v>
      </c>
      <c r="D16" s="77">
        <f t="shared" si="5"/>
        <v>25611156</v>
      </c>
      <c r="E16" s="77">
        <f t="shared" si="5"/>
        <v>0</v>
      </c>
      <c r="F16" s="77">
        <f t="shared" si="5"/>
        <v>0</v>
      </c>
      <c r="G16" s="77">
        <f t="shared" si="5"/>
        <v>0</v>
      </c>
      <c r="H16" s="78">
        <f t="shared" si="5"/>
        <v>0.3999999761581421</v>
      </c>
      <c r="I16" s="138">
        <f t="shared" si="5"/>
        <v>0</v>
      </c>
      <c r="J16" s="77">
        <f t="shared" si="5"/>
        <v>0</v>
      </c>
      <c r="K16" s="77">
        <f t="shared" si="5"/>
        <v>0</v>
      </c>
      <c r="L16" s="77">
        <f t="shared" si="5"/>
        <v>0</v>
      </c>
      <c r="M16" s="78">
        <f t="shared" si="5"/>
        <v>0</v>
      </c>
      <c r="N16" s="155">
        <f t="shared" si="5"/>
        <v>0</v>
      </c>
      <c r="O16" s="77">
        <f>O14+O13</f>
        <v>0</v>
      </c>
      <c r="P16" s="77">
        <f>P14+P13</f>
        <v>0</v>
      </c>
      <c r="Q16" s="77">
        <f>Q14+Q13</f>
        <v>0</v>
      </c>
      <c r="R16" s="78">
        <f>R14+R13</f>
        <v>0</v>
      </c>
    </row>
    <row r="17" spans="1:18" s="27" customFormat="1" ht="12" customHeight="1" thickBot="1">
      <c r="A17" s="6">
        <v>9</v>
      </c>
      <c r="B17" s="7" t="s">
        <v>24</v>
      </c>
      <c r="C17" s="8">
        <f>SUM(C20,C25,C26,C28,C30,C31)</f>
        <v>15807565</v>
      </c>
      <c r="D17" s="8">
        <f>SUM(D20,D25,D26,D28,D30,D31)+D18</f>
        <v>23719889</v>
      </c>
      <c r="E17" s="8">
        <f>SUM(E20,E25,E26,E28,E30,E31)+E18</f>
        <v>37150004</v>
      </c>
      <c r="F17" s="8">
        <f>SUM(F20,F25,F26,F28,F30,F31)</f>
        <v>30000000</v>
      </c>
      <c r="G17" s="8"/>
      <c r="H17" s="79"/>
      <c r="I17" s="139"/>
      <c r="J17" s="8"/>
      <c r="K17" s="8"/>
      <c r="L17" s="8"/>
      <c r="M17" s="79"/>
      <c r="N17" s="139"/>
      <c r="O17" s="8"/>
      <c r="P17" s="8"/>
      <c r="Q17" s="8"/>
      <c r="R17" s="79"/>
    </row>
    <row r="18" spans="1:18" s="27" customFormat="1" ht="12" customHeight="1">
      <c r="A18" s="70">
        <v>10</v>
      </c>
      <c r="B18" s="80" t="s">
        <v>25</v>
      </c>
      <c r="C18" s="81"/>
      <c r="D18" s="81">
        <v>192629</v>
      </c>
      <c r="E18" s="81">
        <v>420239</v>
      </c>
      <c r="F18" s="81"/>
      <c r="G18" s="81"/>
      <c r="H18" s="82"/>
      <c r="I18" s="140"/>
      <c r="J18" s="81"/>
      <c r="K18" s="81"/>
      <c r="L18" s="81"/>
      <c r="M18" s="82"/>
      <c r="N18" s="140"/>
      <c r="O18" s="81"/>
      <c r="P18" s="81"/>
      <c r="Q18" s="81"/>
      <c r="R18" s="82"/>
    </row>
    <row r="19" spans="1:18" s="27" customFormat="1" ht="36" customHeight="1">
      <c r="A19" s="28">
        <v>11</v>
      </c>
      <c r="B19" s="29" t="s">
        <v>26</v>
      </c>
      <c r="C19" s="30"/>
      <c r="D19" s="30"/>
      <c r="E19" s="30"/>
      <c r="F19" s="30"/>
      <c r="G19" s="30"/>
      <c r="H19" s="31"/>
      <c r="I19" s="130"/>
      <c r="J19" s="30"/>
      <c r="K19" s="30"/>
      <c r="L19" s="30"/>
      <c r="M19" s="31"/>
      <c r="N19" s="130"/>
      <c r="O19" s="30"/>
      <c r="P19" s="30"/>
      <c r="Q19" s="30"/>
      <c r="R19" s="31"/>
    </row>
    <row r="20" spans="1:18" s="36" customFormat="1" ht="11.25" customHeight="1">
      <c r="A20" s="32">
        <v>12</v>
      </c>
      <c r="B20" s="33" t="s">
        <v>27</v>
      </c>
      <c r="C20" s="34">
        <v>409801</v>
      </c>
      <c r="D20" s="34">
        <f>D21</f>
        <v>4183766</v>
      </c>
      <c r="E20" s="34">
        <f>E21</f>
        <v>11163980</v>
      </c>
      <c r="F20" s="34"/>
      <c r="G20" s="34"/>
      <c r="H20" s="35"/>
      <c r="I20" s="141"/>
      <c r="J20" s="34"/>
      <c r="K20" s="34"/>
      <c r="L20" s="34"/>
      <c r="M20" s="35"/>
      <c r="N20" s="141"/>
      <c r="O20" s="34"/>
      <c r="P20" s="34"/>
      <c r="Q20" s="34"/>
      <c r="R20" s="35"/>
    </row>
    <row r="21" spans="1:18" ht="37.5" customHeight="1">
      <c r="A21" s="28">
        <v>13</v>
      </c>
      <c r="B21" s="29" t="s">
        <v>28</v>
      </c>
      <c r="C21" s="37"/>
      <c r="D21" s="37">
        <v>4183766</v>
      </c>
      <c r="E21" s="37">
        <f>E22</f>
        <v>11163980</v>
      </c>
      <c r="F21" s="37"/>
      <c r="G21" s="37"/>
      <c r="H21" s="38"/>
      <c r="I21" s="134"/>
      <c r="J21" s="37"/>
      <c r="K21" s="37"/>
      <c r="L21" s="37"/>
      <c r="M21" s="38"/>
      <c r="N21" s="134"/>
      <c r="O21" s="37"/>
      <c r="P21" s="37"/>
      <c r="Q21" s="37"/>
      <c r="R21" s="38"/>
    </row>
    <row r="22" spans="1:18" ht="60.75" customHeight="1">
      <c r="A22" s="28">
        <v>14</v>
      </c>
      <c r="B22" s="29" t="s">
        <v>29</v>
      </c>
      <c r="C22" s="37"/>
      <c r="D22" s="37">
        <v>4183766</v>
      </c>
      <c r="E22" s="37">
        <v>11163980</v>
      </c>
      <c r="F22" s="37"/>
      <c r="G22" s="37"/>
      <c r="H22" s="38"/>
      <c r="I22" s="134"/>
      <c r="J22" s="37"/>
      <c r="K22" s="37"/>
      <c r="L22" s="37"/>
      <c r="M22" s="38"/>
      <c r="N22" s="134"/>
      <c r="O22" s="37"/>
      <c r="P22" s="37"/>
      <c r="Q22" s="37"/>
      <c r="R22" s="38"/>
    </row>
    <row r="23" spans="1:18" ht="12.75" customHeight="1" hidden="1">
      <c r="A23" s="28"/>
      <c r="B23" s="29" t="s">
        <v>30</v>
      </c>
      <c r="C23" s="37"/>
      <c r="D23" s="37"/>
      <c r="E23" s="37"/>
      <c r="F23" s="37"/>
      <c r="G23" s="37"/>
      <c r="H23" s="38"/>
      <c r="I23" s="134"/>
      <c r="J23" s="37"/>
      <c r="K23" s="37"/>
      <c r="L23" s="37"/>
      <c r="M23" s="38"/>
      <c r="N23" s="134"/>
      <c r="O23" s="37"/>
      <c r="P23" s="37"/>
      <c r="Q23" s="37"/>
      <c r="R23" s="38"/>
    </row>
    <row r="24" spans="1:18" ht="13.5" customHeight="1" hidden="1">
      <c r="A24" s="28"/>
      <c r="B24" s="39" t="s">
        <v>31</v>
      </c>
      <c r="C24" s="37"/>
      <c r="D24" s="37"/>
      <c r="E24" s="37"/>
      <c r="F24" s="37"/>
      <c r="G24" s="37"/>
      <c r="H24" s="38"/>
      <c r="I24" s="134"/>
      <c r="J24" s="37"/>
      <c r="K24" s="37"/>
      <c r="L24" s="37"/>
      <c r="M24" s="38"/>
      <c r="N24" s="134"/>
      <c r="O24" s="37"/>
      <c r="P24" s="37"/>
      <c r="Q24" s="37"/>
      <c r="R24" s="38"/>
    </row>
    <row r="25" spans="1:18" s="36" customFormat="1" ht="12">
      <c r="A25" s="32">
        <v>15</v>
      </c>
      <c r="B25" s="33" t="s">
        <v>32</v>
      </c>
      <c r="C25" s="34"/>
      <c r="D25" s="34"/>
      <c r="E25" s="34"/>
      <c r="F25" s="34"/>
      <c r="G25" s="34"/>
      <c r="H25" s="35"/>
      <c r="I25" s="141"/>
      <c r="J25" s="34"/>
      <c r="K25" s="34"/>
      <c r="L25" s="34"/>
      <c r="M25" s="35"/>
      <c r="N25" s="141"/>
      <c r="O25" s="34"/>
      <c r="P25" s="34"/>
      <c r="Q25" s="34"/>
      <c r="R25" s="35"/>
    </row>
    <row r="26" spans="1:18" s="36" customFormat="1" ht="11.25" customHeight="1">
      <c r="A26" s="32">
        <v>16</v>
      </c>
      <c r="B26" s="33" t="s">
        <v>33</v>
      </c>
      <c r="C26" s="34"/>
      <c r="D26" s="34"/>
      <c r="E26" s="34"/>
      <c r="F26" s="34"/>
      <c r="G26" s="34"/>
      <c r="H26" s="35"/>
      <c r="I26" s="141"/>
      <c r="J26" s="34"/>
      <c r="K26" s="34"/>
      <c r="L26" s="34"/>
      <c r="M26" s="35"/>
      <c r="N26" s="141"/>
      <c r="O26" s="34"/>
      <c r="P26" s="34"/>
      <c r="Q26" s="34"/>
      <c r="R26" s="35"/>
    </row>
    <row r="27" spans="1:18" ht="11.25" customHeight="1">
      <c r="A27" s="28">
        <v>17</v>
      </c>
      <c r="B27" s="39" t="s">
        <v>34</v>
      </c>
      <c r="C27" s="37"/>
      <c r="D27" s="37"/>
      <c r="E27" s="37"/>
      <c r="F27" s="37"/>
      <c r="G27" s="37"/>
      <c r="H27" s="38"/>
      <c r="I27" s="134"/>
      <c r="J27" s="37"/>
      <c r="K27" s="37"/>
      <c r="L27" s="37"/>
      <c r="M27" s="38"/>
      <c r="N27" s="134"/>
      <c r="O27" s="37"/>
      <c r="P27" s="37"/>
      <c r="Q27" s="37"/>
      <c r="R27" s="38"/>
    </row>
    <row r="28" spans="1:18" s="36" customFormat="1" ht="24.75" customHeight="1">
      <c r="A28" s="32">
        <v>18</v>
      </c>
      <c r="B28" s="40" t="s">
        <v>35</v>
      </c>
      <c r="C28" s="34">
        <v>10000000</v>
      </c>
      <c r="D28" s="34"/>
      <c r="E28" s="34"/>
      <c r="F28" s="34">
        <v>30000000</v>
      </c>
      <c r="G28" s="34"/>
      <c r="H28" s="35"/>
      <c r="I28" s="141"/>
      <c r="J28" s="34"/>
      <c r="K28" s="34"/>
      <c r="L28" s="34"/>
      <c r="M28" s="35"/>
      <c r="N28" s="141"/>
      <c r="O28" s="34"/>
      <c r="P28" s="34"/>
      <c r="Q28" s="34"/>
      <c r="R28" s="35"/>
    </row>
    <row r="29" spans="1:18" ht="48" customHeight="1">
      <c r="A29" s="28">
        <v>19</v>
      </c>
      <c r="B29" s="29" t="s">
        <v>36</v>
      </c>
      <c r="C29" s="37"/>
      <c r="D29" s="37"/>
      <c r="E29" s="37"/>
      <c r="F29" s="37"/>
      <c r="G29" s="37"/>
      <c r="H29" s="38"/>
      <c r="I29" s="134"/>
      <c r="J29" s="37"/>
      <c r="K29" s="37"/>
      <c r="L29" s="37"/>
      <c r="M29" s="38"/>
      <c r="N29" s="134"/>
      <c r="O29" s="37"/>
      <c r="P29" s="37"/>
      <c r="Q29" s="37"/>
      <c r="R29" s="38"/>
    </row>
    <row r="30" spans="1:18" s="36" customFormat="1" ht="12" customHeight="1">
      <c r="A30" s="32">
        <v>20</v>
      </c>
      <c r="B30" s="33" t="s">
        <v>37</v>
      </c>
      <c r="C30" s="34"/>
      <c r="D30" s="34"/>
      <c r="E30" s="34"/>
      <c r="F30" s="34"/>
      <c r="G30" s="34"/>
      <c r="H30" s="35"/>
      <c r="I30" s="141"/>
      <c r="J30" s="34"/>
      <c r="K30" s="34"/>
      <c r="L30" s="34"/>
      <c r="M30" s="35"/>
      <c r="N30" s="141"/>
      <c r="O30" s="34"/>
      <c r="P30" s="34"/>
      <c r="Q30" s="34"/>
      <c r="R30" s="35"/>
    </row>
    <row r="31" spans="1:18" s="36" customFormat="1" ht="12" customHeight="1">
      <c r="A31" s="32">
        <v>21</v>
      </c>
      <c r="B31" s="33" t="s">
        <v>38</v>
      </c>
      <c r="C31" s="34">
        <v>5397764</v>
      </c>
      <c r="D31" s="34">
        <v>19343494</v>
      </c>
      <c r="E31" s="34">
        <v>25565785</v>
      </c>
      <c r="F31" s="34"/>
      <c r="G31" s="34"/>
      <c r="H31" s="35"/>
      <c r="I31" s="141"/>
      <c r="J31" s="34"/>
      <c r="K31" s="34"/>
      <c r="L31" s="34"/>
      <c r="M31" s="35"/>
      <c r="N31" s="141"/>
      <c r="O31" s="34"/>
      <c r="P31" s="34"/>
      <c r="Q31" s="34"/>
      <c r="R31" s="35"/>
    </row>
    <row r="32" spans="1:18" ht="12" customHeight="1" thickBot="1">
      <c r="A32" s="41">
        <v>22</v>
      </c>
      <c r="B32" s="42" t="s">
        <v>39</v>
      </c>
      <c r="C32" s="43"/>
      <c r="D32" s="43"/>
      <c r="E32" s="43"/>
      <c r="F32" s="43"/>
      <c r="G32" s="43"/>
      <c r="H32" s="44"/>
      <c r="I32" s="142"/>
      <c r="J32" s="43"/>
      <c r="K32" s="43"/>
      <c r="L32" s="43"/>
      <c r="M32" s="44"/>
      <c r="N32" s="142"/>
      <c r="O32" s="43"/>
      <c r="P32" s="43"/>
      <c r="Q32" s="43"/>
      <c r="R32" s="44"/>
    </row>
    <row r="33" spans="1:18" s="36" customFormat="1" ht="12" customHeight="1" thickBot="1">
      <c r="A33" s="83">
        <v>23</v>
      </c>
      <c r="B33" s="84" t="s">
        <v>40</v>
      </c>
      <c r="C33" s="85">
        <f>C36+C45+C47+C50</f>
        <v>2450004</v>
      </c>
      <c r="D33" s="85">
        <f>D36+D45+D47+D50+D34</f>
        <v>6837319</v>
      </c>
      <c r="E33" s="85">
        <f>E36+E45+E47+E50+E34</f>
        <v>23333096</v>
      </c>
      <c r="F33" s="85">
        <f aca="true" t="shared" si="6" ref="F33:N33">F36+F45+F47+F50+F34</f>
        <v>8800000</v>
      </c>
      <c r="G33" s="85">
        <f t="shared" si="6"/>
        <v>8800000</v>
      </c>
      <c r="H33" s="86">
        <f t="shared" si="6"/>
        <v>8800000</v>
      </c>
      <c r="I33" s="143">
        <f t="shared" si="6"/>
        <v>8800000</v>
      </c>
      <c r="J33" s="85">
        <f t="shared" si="6"/>
        <v>5800000</v>
      </c>
      <c r="K33" s="85">
        <f t="shared" si="6"/>
        <v>6000000</v>
      </c>
      <c r="L33" s="85">
        <f t="shared" si="6"/>
        <v>6000000</v>
      </c>
      <c r="M33" s="86">
        <f t="shared" si="6"/>
        <v>6000000</v>
      </c>
      <c r="N33" s="143">
        <f t="shared" si="6"/>
        <v>6084000</v>
      </c>
      <c r="O33" s="85">
        <f>O36+O45+O47+O50+O34</f>
        <v>3000000</v>
      </c>
      <c r="P33" s="85">
        <f>P36+P45+P47+P50+P34</f>
        <v>3000000</v>
      </c>
      <c r="Q33" s="85">
        <f>Q36+Q45+Q47+Q50+Q34</f>
        <v>3000000</v>
      </c>
      <c r="R33" s="86">
        <f>R36+R45+R47+R50+R34</f>
        <v>3000000</v>
      </c>
    </row>
    <row r="34" spans="1:18" s="36" customFormat="1" ht="12" customHeight="1">
      <c r="A34" s="9">
        <v>24</v>
      </c>
      <c r="B34" s="89" t="s">
        <v>41</v>
      </c>
      <c r="C34" s="90"/>
      <c r="D34" s="90">
        <v>27518</v>
      </c>
      <c r="E34" s="90">
        <f>D18-D34+E18-E51</f>
        <v>585350</v>
      </c>
      <c r="F34" s="90"/>
      <c r="G34" s="90"/>
      <c r="H34" s="91"/>
      <c r="I34" s="144"/>
      <c r="J34" s="90"/>
      <c r="K34" s="90"/>
      <c r="L34" s="90"/>
      <c r="M34" s="91"/>
      <c r="N34" s="144"/>
      <c r="O34" s="90"/>
      <c r="P34" s="90"/>
      <c r="Q34" s="90"/>
      <c r="R34" s="91"/>
    </row>
    <row r="35" spans="1:18" s="13" customFormat="1" ht="36.75" customHeight="1">
      <c r="A35" s="32">
        <v>25</v>
      </c>
      <c r="B35" s="45" t="s">
        <v>42</v>
      </c>
      <c r="C35" s="30"/>
      <c r="D35" s="30"/>
      <c r="E35" s="30"/>
      <c r="F35" s="30"/>
      <c r="G35" s="30"/>
      <c r="H35" s="31"/>
      <c r="I35" s="130"/>
      <c r="J35" s="30"/>
      <c r="K35" s="30"/>
      <c r="L35" s="30"/>
      <c r="M35" s="31"/>
      <c r="N35" s="130"/>
      <c r="O35" s="30"/>
      <c r="P35" s="30"/>
      <c r="Q35" s="30"/>
      <c r="R35" s="31"/>
    </row>
    <row r="36" spans="1:18" s="36" customFormat="1" ht="12" customHeight="1">
      <c r="A36" s="32">
        <v>26</v>
      </c>
      <c r="B36" s="33" t="s">
        <v>43</v>
      </c>
      <c r="C36" s="34">
        <v>2444774</v>
      </c>
      <c r="D36" s="34">
        <f>2837319-27518</f>
        <v>2809801</v>
      </c>
      <c r="E36" s="34">
        <f>E38+E40</f>
        <v>17747746</v>
      </c>
      <c r="F36" s="34">
        <f>F38+F40</f>
        <v>2800000</v>
      </c>
      <c r="G36" s="34">
        <f>G38+G40</f>
        <v>2800000</v>
      </c>
      <c r="H36" s="35">
        <f>H38+H40</f>
        <v>2800000</v>
      </c>
      <c r="I36" s="141">
        <f aca="true" t="shared" si="7" ref="I36:N36">I40</f>
        <v>2800000</v>
      </c>
      <c r="J36" s="34">
        <f t="shared" si="7"/>
        <v>2800000</v>
      </c>
      <c r="K36" s="34">
        <f t="shared" si="7"/>
        <v>3000000</v>
      </c>
      <c r="L36" s="34">
        <f t="shared" si="7"/>
        <v>3000000</v>
      </c>
      <c r="M36" s="35">
        <f t="shared" si="7"/>
        <v>3000000</v>
      </c>
      <c r="N36" s="141">
        <f t="shared" si="7"/>
        <v>3084000</v>
      </c>
      <c r="O36" s="34"/>
      <c r="P36" s="34"/>
      <c r="Q36" s="34"/>
      <c r="R36" s="35"/>
    </row>
    <row r="37" spans="1:18" ht="37.5" customHeight="1">
      <c r="A37" s="28">
        <v>27</v>
      </c>
      <c r="B37" s="29" t="s">
        <v>44</v>
      </c>
      <c r="C37" s="37"/>
      <c r="D37" s="37"/>
      <c r="E37" s="37">
        <f>E44</f>
        <v>15347746</v>
      </c>
      <c r="F37" s="37"/>
      <c r="G37" s="37"/>
      <c r="H37" s="38"/>
      <c r="I37" s="134"/>
      <c r="J37" s="37"/>
      <c r="K37" s="37"/>
      <c r="L37" s="37"/>
      <c r="M37" s="38"/>
      <c r="N37" s="134"/>
      <c r="O37" s="37"/>
      <c r="P37" s="37"/>
      <c r="Q37" s="37"/>
      <c r="R37" s="38"/>
    </row>
    <row r="38" spans="1:18" ht="12" customHeight="1" hidden="1">
      <c r="A38" s="28"/>
      <c r="B38" s="29" t="s">
        <v>45</v>
      </c>
      <c r="C38" s="37"/>
      <c r="D38" s="37"/>
      <c r="E38" s="37">
        <f>E37</f>
        <v>15347746</v>
      </c>
      <c r="F38" s="37"/>
      <c r="G38" s="37"/>
      <c r="H38" s="38"/>
      <c r="I38" s="134"/>
      <c r="J38" s="37"/>
      <c r="K38" s="37"/>
      <c r="L38" s="37"/>
      <c r="M38" s="38"/>
      <c r="N38" s="134"/>
      <c r="O38" s="37"/>
      <c r="P38" s="37"/>
      <c r="Q38" s="37"/>
      <c r="R38" s="38"/>
    </row>
    <row r="39" spans="1:18" ht="12" customHeight="1" hidden="1">
      <c r="A39" s="28"/>
      <c r="B39" s="29" t="s">
        <v>92</v>
      </c>
      <c r="C39" s="37"/>
      <c r="D39" s="37">
        <v>6515</v>
      </c>
      <c r="E39" s="37">
        <v>500000</v>
      </c>
      <c r="F39" s="37"/>
      <c r="G39" s="37"/>
      <c r="H39" s="38"/>
      <c r="I39" s="134"/>
      <c r="J39" s="37"/>
      <c r="K39" s="37"/>
      <c r="L39" s="37"/>
      <c r="M39" s="38"/>
      <c r="N39" s="134"/>
      <c r="O39" s="37"/>
      <c r="P39" s="37"/>
      <c r="Q39" s="37"/>
      <c r="R39" s="38"/>
    </row>
    <row r="40" spans="1:18" ht="12" customHeight="1" hidden="1">
      <c r="A40" s="28"/>
      <c r="B40" s="39" t="s">
        <v>46</v>
      </c>
      <c r="C40" s="37">
        <v>2444774</v>
      </c>
      <c r="D40" s="37">
        <f>2400000+409801</f>
        <v>2809801</v>
      </c>
      <c r="E40" s="37">
        <v>2400000</v>
      </c>
      <c r="F40" s="37">
        <f>2800000</f>
        <v>2800000</v>
      </c>
      <c r="G40" s="37">
        <v>2800000</v>
      </c>
      <c r="H40" s="38">
        <v>2800000</v>
      </c>
      <c r="I40" s="134">
        <v>2800000</v>
      </c>
      <c r="J40" s="37">
        <v>2800000</v>
      </c>
      <c r="K40" s="37">
        <v>3000000</v>
      </c>
      <c r="L40" s="37">
        <v>3000000</v>
      </c>
      <c r="M40" s="38">
        <v>3000000</v>
      </c>
      <c r="N40" s="134">
        <v>3084000</v>
      </c>
      <c r="O40" s="37"/>
      <c r="P40" s="37"/>
      <c r="Q40" s="37"/>
      <c r="R40" s="38"/>
    </row>
    <row r="41" spans="1:18" ht="12" customHeight="1" hidden="1">
      <c r="A41" s="28"/>
      <c r="B41" s="39" t="s">
        <v>47</v>
      </c>
      <c r="C41" s="69">
        <v>596611</v>
      </c>
      <c r="D41" s="37">
        <v>524946</v>
      </c>
      <c r="E41" s="37">
        <v>548000</v>
      </c>
      <c r="F41" s="37">
        <v>720000</v>
      </c>
      <c r="G41" s="37">
        <v>400000</v>
      </c>
      <c r="H41" s="38">
        <v>334000</v>
      </c>
      <c r="I41" s="134">
        <v>265000</v>
      </c>
      <c r="J41" s="37">
        <v>225000</v>
      </c>
      <c r="K41" s="37">
        <v>185000</v>
      </c>
      <c r="L41" s="37">
        <v>137000</v>
      </c>
      <c r="M41" s="38">
        <v>95000</v>
      </c>
      <c r="N41" s="134">
        <v>51000</v>
      </c>
      <c r="O41" s="37"/>
      <c r="P41" s="37"/>
      <c r="Q41" s="37"/>
      <c r="R41" s="38"/>
    </row>
    <row r="42" spans="1:18" ht="12" customHeight="1" hidden="1">
      <c r="A42" s="28"/>
      <c r="B42" s="39" t="s">
        <v>48</v>
      </c>
      <c r="C42" s="69"/>
      <c r="D42" s="37"/>
      <c r="E42" s="37">
        <v>420000</v>
      </c>
      <c r="F42" s="37"/>
      <c r="G42" s="37"/>
      <c r="H42" s="38"/>
      <c r="I42" s="134"/>
      <c r="J42" s="37"/>
      <c r="K42" s="37"/>
      <c r="L42" s="37"/>
      <c r="M42" s="38"/>
      <c r="N42" s="134"/>
      <c r="O42" s="37"/>
      <c r="P42" s="37"/>
      <c r="Q42" s="37"/>
      <c r="R42" s="38"/>
    </row>
    <row r="43" spans="1:18" ht="12" customHeight="1" hidden="1">
      <c r="A43" s="28"/>
      <c r="B43" s="39" t="s">
        <v>49</v>
      </c>
      <c r="C43" s="69">
        <v>16103</v>
      </c>
      <c r="D43" s="37">
        <v>1169</v>
      </c>
      <c r="E43" s="37">
        <v>13164</v>
      </c>
      <c r="F43" s="37"/>
      <c r="G43" s="37"/>
      <c r="H43" s="38"/>
      <c r="I43" s="134"/>
      <c r="J43" s="37"/>
      <c r="K43" s="37"/>
      <c r="L43" s="37"/>
      <c r="M43" s="38"/>
      <c r="N43" s="134"/>
      <c r="O43" s="37"/>
      <c r="P43" s="37"/>
      <c r="Q43" s="37"/>
      <c r="R43" s="38"/>
    </row>
    <row r="44" spans="1:18" ht="63" customHeight="1">
      <c r="A44" s="28">
        <v>28</v>
      </c>
      <c r="B44" s="29" t="s">
        <v>50</v>
      </c>
      <c r="C44" s="37"/>
      <c r="D44" s="37"/>
      <c r="E44" s="37">
        <v>15347746</v>
      </c>
      <c r="F44" s="37"/>
      <c r="G44" s="37"/>
      <c r="H44" s="38"/>
      <c r="I44" s="134"/>
      <c r="J44" s="37"/>
      <c r="K44" s="37"/>
      <c r="L44" s="37"/>
      <c r="M44" s="38"/>
      <c r="N44" s="134"/>
      <c r="O44" s="37"/>
      <c r="P44" s="37"/>
      <c r="Q44" s="37"/>
      <c r="R44" s="38"/>
    </row>
    <row r="45" spans="1:18" s="36" customFormat="1" ht="12" customHeight="1">
      <c r="A45" s="32">
        <v>29</v>
      </c>
      <c r="B45" s="33" t="s">
        <v>51</v>
      </c>
      <c r="C45" s="34">
        <v>5230</v>
      </c>
      <c r="D45" s="34"/>
      <c r="E45" s="34"/>
      <c r="F45" s="34"/>
      <c r="G45" s="34"/>
      <c r="H45" s="35"/>
      <c r="I45" s="141"/>
      <c r="J45" s="34"/>
      <c r="K45" s="34"/>
      <c r="L45" s="34"/>
      <c r="M45" s="35"/>
      <c r="N45" s="141"/>
      <c r="O45" s="34"/>
      <c r="P45" s="34"/>
      <c r="Q45" s="34"/>
      <c r="R45" s="35"/>
    </row>
    <row r="46" spans="1:18" s="36" customFormat="1" ht="12" customHeight="1">
      <c r="A46" s="32">
        <v>30</v>
      </c>
      <c r="B46" s="33" t="s">
        <v>52</v>
      </c>
      <c r="C46" s="34"/>
      <c r="D46" s="34"/>
      <c r="E46" s="34"/>
      <c r="F46" s="34"/>
      <c r="G46" s="34"/>
      <c r="H46" s="35"/>
      <c r="I46" s="141"/>
      <c r="J46" s="34"/>
      <c r="K46" s="34"/>
      <c r="L46" s="34"/>
      <c r="M46" s="35"/>
      <c r="N46" s="141"/>
      <c r="O46" s="34"/>
      <c r="P46" s="34"/>
      <c r="Q46" s="34"/>
      <c r="R46" s="35"/>
    </row>
    <row r="47" spans="1:18" s="36" customFormat="1" ht="12" customHeight="1">
      <c r="A47" s="32">
        <v>31</v>
      </c>
      <c r="B47" s="33" t="s">
        <v>53</v>
      </c>
      <c r="C47" s="34"/>
      <c r="D47" s="34">
        <v>4000000</v>
      </c>
      <c r="E47" s="34">
        <v>5000000</v>
      </c>
      <c r="F47" s="34">
        <v>6000000</v>
      </c>
      <c r="G47" s="34">
        <v>6000000</v>
      </c>
      <c r="H47" s="35">
        <v>6000000</v>
      </c>
      <c r="I47" s="141">
        <v>6000000</v>
      </c>
      <c r="J47" s="34">
        <v>3000000</v>
      </c>
      <c r="K47" s="34">
        <v>3000000</v>
      </c>
      <c r="L47" s="34">
        <v>3000000</v>
      </c>
      <c r="M47" s="35">
        <v>3000000</v>
      </c>
      <c r="N47" s="141">
        <v>3000000</v>
      </c>
      <c r="O47" s="34">
        <v>3000000</v>
      </c>
      <c r="P47" s="34">
        <v>3000000</v>
      </c>
      <c r="Q47" s="34">
        <v>3000000</v>
      </c>
      <c r="R47" s="35">
        <v>3000000</v>
      </c>
    </row>
    <row r="48" spans="1:18" s="64" customFormat="1" ht="12" customHeight="1" hidden="1">
      <c r="A48" s="92"/>
      <c r="B48" s="87" t="s">
        <v>54</v>
      </c>
      <c r="C48" s="88">
        <v>1023105</v>
      </c>
      <c r="D48" s="88">
        <v>1304234</v>
      </c>
      <c r="E48" s="88">
        <v>1418997</v>
      </c>
      <c r="F48" s="88">
        <v>1470000</v>
      </c>
      <c r="G48" s="88">
        <f>788000+2364000</f>
        <v>3152000</v>
      </c>
      <c r="H48" s="93">
        <f>464000+2364000</f>
        <v>2828000</v>
      </c>
      <c r="I48" s="145">
        <f>138000+2364000</f>
        <v>2502000</v>
      </c>
      <c r="J48" s="88">
        <f>2127600</f>
        <v>2127600</v>
      </c>
      <c r="K48" s="88">
        <f>1891200</f>
        <v>1891200</v>
      </c>
      <c r="L48" s="88">
        <f>1654800</f>
        <v>1654800</v>
      </c>
      <c r="M48" s="93">
        <f>1418400</f>
        <v>1418400</v>
      </c>
      <c r="N48" s="145">
        <v>1182000</v>
      </c>
      <c r="O48" s="88">
        <v>945600</v>
      </c>
      <c r="P48" s="88">
        <v>709200</v>
      </c>
      <c r="Q48" s="88">
        <v>472800</v>
      </c>
      <c r="R48" s="93">
        <v>236400</v>
      </c>
    </row>
    <row r="49" spans="1:18" ht="48" customHeight="1">
      <c r="A49" s="28">
        <v>32</v>
      </c>
      <c r="B49" s="29" t="s">
        <v>55</v>
      </c>
      <c r="C49" s="37"/>
      <c r="D49" s="37"/>
      <c r="E49" s="37"/>
      <c r="F49" s="37"/>
      <c r="G49" s="37"/>
      <c r="H49" s="38"/>
      <c r="I49" s="134"/>
      <c r="J49" s="37"/>
      <c r="K49" s="37"/>
      <c r="L49" s="37"/>
      <c r="M49" s="38"/>
      <c r="N49" s="134"/>
      <c r="O49" s="37"/>
      <c r="P49" s="37"/>
      <c r="Q49" s="37"/>
      <c r="R49" s="38"/>
    </row>
    <row r="50" spans="1:18" s="36" customFormat="1" ht="12" customHeight="1" thickBot="1">
      <c r="A50" s="50">
        <v>33</v>
      </c>
      <c r="B50" s="94" t="s">
        <v>56</v>
      </c>
      <c r="C50" s="95"/>
      <c r="D50" s="95"/>
      <c r="E50" s="95"/>
      <c r="F50" s="95"/>
      <c r="G50" s="95"/>
      <c r="H50" s="96"/>
      <c r="I50" s="146"/>
      <c r="J50" s="95"/>
      <c r="K50" s="95"/>
      <c r="L50" s="95"/>
      <c r="M50" s="96"/>
      <c r="N50" s="146"/>
      <c r="O50" s="95"/>
      <c r="P50" s="95"/>
      <c r="Q50" s="95"/>
      <c r="R50" s="96"/>
    </row>
    <row r="51" spans="1:18" s="36" customFormat="1" ht="12" customHeight="1" thickBot="1">
      <c r="A51" s="97">
        <v>34</v>
      </c>
      <c r="B51" s="98" t="s">
        <v>57</v>
      </c>
      <c r="C51" s="99">
        <v>1575226</v>
      </c>
      <c r="D51" s="99"/>
      <c r="E51" s="112"/>
      <c r="F51" s="99"/>
      <c r="G51" s="99"/>
      <c r="H51" s="100"/>
      <c r="I51" s="147"/>
      <c r="J51" s="99"/>
      <c r="K51" s="99"/>
      <c r="L51" s="99"/>
      <c r="M51" s="100"/>
      <c r="N51" s="147"/>
      <c r="O51" s="99"/>
      <c r="P51" s="99"/>
      <c r="Q51" s="99"/>
      <c r="R51" s="100"/>
    </row>
    <row r="52" spans="1:18" s="36" customFormat="1" ht="12" customHeight="1" thickBot="1">
      <c r="A52" s="83">
        <v>35</v>
      </c>
      <c r="B52" s="84" t="s">
        <v>58</v>
      </c>
      <c r="C52" s="85">
        <f>C54+C55+C53</f>
        <v>61293801</v>
      </c>
      <c r="D52" s="85">
        <f>SUM(D53,D54,D55,D56,D57,D60)</f>
        <v>58832877</v>
      </c>
      <c r="E52" s="85">
        <f aca="true" t="shared" si="8" ref="E52:M52">E54+E55+E53</f>
        <v>47084000</v>
      </c>
      <c r="F52" s="85">
        <f t="shared" si="8"/>
        <v>68284000</v>
      </c>
      <c r="G52" s="85">
        <f t="shared" si="8"/>
        <v>59484000</v>
      </c>
      <c r="H52" s="86">
        <f t="shared" si="8"/>
        <v>50684000</v>
      </c>
      <c r="I52" s="143">
        <f t="shared" si="8"/>
        <v>41884000</v>
      </c>
      <c r="J52" s="85">
        <f t="shared" si="8"/>
        <v>36084000</v>
      </c>
      <c r="K52" s="85">
        <f t="shared" si="8"/>
        <v>30084000</v>
      </c>
      <c r="L52" s="85">
        <f t="shared" si="8"/>
        <v>24084000</v>
      </c>
      <c r="M52" s="86">
        <f t="shared" si="8"/>
        <v>18084000</v>
      </c>
      <c r="N52" s="143">
        <f>N54+N55+N53</f>
        <v>12000000</v>
      </c>
      <c r="O52" s="85">
        <f>O54+O55+O53</f>
        <v>9000000</v>
      </c>
      <c r="P52" s="85">
        <f>P54+P55+P53</f>
        <v>6000000</v>
      </c>
      <c r="Q52" s="85">
        <f>Q54+Q55+Q53</f>
        <v>3000000</v>
      </c>
      <c r="R52" s="86">
        <f>R54+R55+R53</f>
        <v>0</v>
      </c>
    </row>
    <row r="53" spans="1:18" s="36" customFormat="1" ht="12" customHeight="1">
      <c r="A53" s="9">
        <v>36</v>
      </c>
      <c r="B53" s="89" t="s">
        <v>59</v>
      </c>
      <c r="C53" s="90">
        <v>30000000</v>
      </c>
      <c r="D53" s="90">
        <f aca="true" t="shared" si="9" ref="D53:N53">C53-D47</f>
        <v>26000000</v>
      </c>
      <c r="E53" s="90">
        <f t="shared" si="9"/>
        <v>21000000</v>
      </c>
      <c r="F53" s="90">
        <f>E53-F47+F28</f>
        <v>45000000</v>
      </c>
      <c r="G53" s="90">
        <f t="shared" si="9"/>
        <v>39000000</v>
      </c>
      <c r="H53" s="91">
        <f t="shared" si="9"/>
        <v>33000000</v>
      </c>
      <c r="I53" s="144">
        <f t="shared" si="9"/>
        <v>27000000</v>
      </c>
      <c r="J53" s="90">
        <f t="shared" si="9"/>
        <v>24000000</v>
      </c>
      <c r="K53" s="90">
        <f t="shared" si="9"/>
        <v>21000000</v>
      </c>
      <c r="L53" s="90">
        <f t="shared" si="9"/>
        <v>18000000</v>
      </c>
      <c r="M53" s="91">
        <f t="shared" si="9"/>
        <v>15000000</v>
      </c>
      <c r="N53" s="144">
        <f t="shared" si="9"/>
        <v>12000000</v>
      </c>
      <c r="O53" s="90">
        <f>N53-O47</f>
        <v>9000000</v>
      </c>
      <c r="P53" s="90">
        <f>O53-P47</f>
        <v>6000000</v>
      </c>
      <c r="Q53" s="90">
        <f>P53-Q47</f>
        <v>3000000</v>
      </c>
      <c r="R53" s="91">
        <f>Q53-R47</f>
        <v>0</v>
      </c>
    </row>
    <row r="54" spans="1:18" s="36" customFormat="1" ht="12" customHeight="1">
      <c r="A54" s="32">
        <v>37</v>
      </c>
      <c r="B54" s="33" t="s">
        <v>60</v>
      </c>
      <c r="C54" s="34"/>
      <c r="D54" s="34">
        <f>C54+D18-D19-D34+D35</f>
        <v>165111</v>
      </c>
      <c r="E54" s="34">
        <f>D54+E18-E34-E51</f>
        <v>0</v>
      </c>
      <c r="F54" s="34">
        <f aca="true" t="shared" si="10" ref="F54:N54">E54+F18-F19-F34+F35</f>
        <v>0</v>
      </c>
      <c r="G54" s="34">
        <f t="shared" si="10"/>
        <v>0</v>
      </c>
      <c r="H54" s="35">
        <f t="shared" si="10"/>
        <v>0</v>
      </c>
      <c r="I54" s="141">
        <f t="shared" si="10"/>
        <v>0</v>
      </c>
      <c r="J54" s="34">
        <f t="shared" si="10"/>
        <v>0</v>
      </c>
      <c r="K54" s="34">
        <f t="shared" si="10"/>
        <v>0</v>
      </c>
      <c r="L54" s="34">
        <f t="shared" si="10"/>
        <v>0</v>
      </c>
      <c r="M54" s="35">
        <f t="shared" si="10"/>
        <v>0</v>
      </c>
      <c r="N54" s="141">
        <f t="shared" si="10"/>
        <v>0</v>
      </c>
      <c r="O54" s="34">
        <f>N54+O18-O19-O34+O35</f>
        <v>0</v>
      </c>
      <c r="P54" s="34">
        <f>O54+P18-P19-P34+P35</f>
        <v>0</v>
      </c>
      <c r="Q54" s="34">
        <f>P54+Q18-Q19-Q34+Q35</f>
        <v>0</v>
      </c>
      <c r="R54" s="35">
        <f>Q54+R18-R19-R34+R35</f>
        <v>0</v>
      </c>
    </row>
    <row r="55" spans="1:18" s="36" customFormat="1" ht="12" customHeight="1">
      <c r="A55" s="32">
        <v>38</v>
      </c>
      <c r="B55" s="33" t="s">
        <v>61</v>
      </c>
      <c r="C55" s="34">
        <f>30884000+409801</f>
        <v>31293801</v>
      </c>
      <c r="D55" s="34">
        <f aca="true" t="shared" si="11" ref="D55:I55">C55+D20-D21-D36+D37</f>
        <v>28484000</v>
      </c>
      <c r="E55" s="34">
        <f t="shared" si="11"/>
        <v>26084000</v>
      </c>
      <c r="F55" s="34">
        <f t="shared" si="11"/>
        <v>23284000</v>
      </c>
      <c r="G55" s="34">
        <f t="shared" si="11"/>
        <v>20484000</v>
      </c>
      <c r="H55" s="35">
        <f t="shared" si="11"/>
        <v>17684000</v>
      </c>
      <c r="I55" s="141">
        <f t="shared" si="11"/>
        <v>14884000</v>
      </c>
      <c r="J55" s="34">
        <f aca="true" t="shared" si="12" ref="J55:R55">I55-J36+J37</f>
        <v>12084000</v>
      </c>
      <c r="K55" s="34">
        <f t="shared" si="12"/>
        <v>9084000</v>
      </c>
      <c r="L55" s="34">
        <f t="shared" si="12"/>
        <v>6084000</v>
      </c>
      <c r="M55" s="35">
        <f t="shared" si="12"/>
        <v>3084000</v>
      </c>
      <c r="N55" s="141">
        <f t="shared" si="12"/>
        <v>0</v>
      </c>
      <c r="O55" s="34">
        <f t="shared" si="12"/>
        <v>0</v>
      </c>
      <c r="P55" s="34">
        <f t="shared" si="12"/>
        <v>0</v>
      </c>
      <c r="Q55" s="34">
        <f t="shared" si="12"/>
        <v>0</v>
      </c>
      <c r="R55" s="35">
        <f t="shared" si="12"/>
        <v>0</v>
      </c>
    </row>
    <row r="56" spans="1:18" s="36" customFormat="1" ht="12" customHeight="1">
      <c r="A56" s="32">
        <v>39</v>
      </c>
      <c r="B56" s="33" t="s">
        <v>62</v>
      </c>
      <c r="C56" s="34"/>
      <c r="D56" s="34"/>
      <c r="E56" s="34"/>
      <c r="F56" s="34"/>
      <c r="G56" s="34"/>
      <c r="H56" s="35"/>
      <c r="I56" s="141"/>
      <c r="J56" s="34"/>
      <c r="K56" s="34"/>
      <c r="L56" s="34"/>
      <c r="M56" s="35"/>
      <c r="N56" s="141"/>
      <c r="O56" s="34"/>
      <c r="P56" s="34"/>
      <c r="Q56" s="34"/>
      <c r="R56" s="35"/>
    </row>
    <row r="57" spans="1:18" s="36" customFormat="1" ht="12" customHeight="1">
      <c r="A57" s="32">
        <v>40</v>
      </c>
      <c r="B57" s="33" t="s">
        <v>63</v>
      </c>
      <c r="C57" s="34"/>
      <c r="D57" s="34"/>
      <c r="E57" s="34"/>
      <c r="F57" s="34"/>
      <c r="G57" s="34"/>
      <c r="H57" s="35"/>
      <c r="I57" s="141"/>
      <c r="J57" s="34"/>
      <c r="K57" s="34"/>
      <c r="L57" s="34"/>
      <c r="M57" s="35"/>
      <c r="N57" s="141"/>
      <c r="O57" s="34"/>
      <c r="P57" s="34"/>
      <c r="Q57" s="34"/>
      <c r="R57" s="35"/>
    </row>
    <row r="58" spans="1:18" ht="27.75" customHeight="1">
      <c r="A58" s="28">
        <v>41</v>
      </c>
      <c r="B58" s="29" t="s">
        <v>64</v>
      </c>
      <c r="C58" s="37"/>
      <c r="D58" s="37"/>
      <c r="E58" s="37"/>
      <c r="F58" s="37"/>
      <c r="G58" s="37"/>
      <c r="H58" s="38"/>
      <c r="I58" s="134"/>
      <c r="J58" s="37"/>
      <c r="K58" s="37"/>
      <c r="L58" s="37"/>
      <c r="M58" s="38"/>
      <c r="N58" s="134"/>
      <c r="O58" s="37"/>
      <c r="P58" s="37"/>
      <c r="Q58" s="37"/>
      <c r="R58" s="38"/>
    </row>
    <row r="59" spans="1:18" ht="24" customHeight="1">
      <c r="A59" s="28">
        <v>42</v>
      </c>
      <c r="B59" s="29" t="s">
        <v>65</v>
      </c>
      <c r="C59" s="37"/>
      <c r="D59" s="37"/>
      <c r="E59" s="37"/>
      <c r="F59" s="37"/>
      <c r="G59" s="37"/>
      <c r="H59" s="38"/>
      <c r="I59" s="134"/>
      <c r="J59" s="37"/>
      <c r="K59" s="37"/>
      <c r="L59" s="37"/>
      <c r="M59" s="38"/>
      <c r="N59" s="134"/>
      <c r="O59" s="37"/>
      <c r="P59" s="37"/>
      <c r="Q59" s="37"/>
      <c r="R59" s="38"/>
    </row>
    <row r="60" spans="1:18" ht="36" customHeight="1">
      <c r="A60" s="156">
        <v>43</v>
      </c>
      <c r="B60" s="40" t="s">
        <v>66</v>
      </c>
      <c r="C60" s="34"/>
      <c r="D60" s="34">
        <f>D61+D62+D63</f>
        <v>4183766</v>
      </c>
      <c r="E60" s="34">
        <f>E61+E62+E63</f>
        <v>0</v>
      </c>
      <c r="F60" s="34"/>
      <c r="G60" s="34"/>
      <c r="H60" s="35"/>
      <c r="I60" s="141"/>
      <c r="J60" s="34"/>
      <c r="K60" s="34"/>
      <c r="L60" s="34"/>
      <c r="M60" s="35"/>
      <c r="N60" s="141"/>
      <c r="O60" s="34"/>
      <c r="P60" s="34"/>
      <c r="Q60" s="34"/>
      <c r="R60" s="35"/>
    </row>
    <row r="61" spans="1:18" ht="12" customHeight="1">
      <c r="A61" s="156"/>
      <c r="B61" s="29" t="s">
        <v>67</v>
      </c>
      <c r="C61" s="37"/>
      <c r="D61" s="37"/>
      <c r="E61" s="37"/>
      <c r="F61" s="37"/>
      <c r="G61" s="37"/>
      <c r="H61" s="38"/>
      <c r="I61" s="134"/>
      <c r="J61" s="37"/>
      <c r="K61" s="37"/>
      <c r="L61" s="37"/>
      <c r="M61" s="38"/>
      <c r="N61" s="134"/>
      <c r="O61" s="37"/>
      <c r="P61" s="37"/>
      <c r="Q61" s="37"/>
      <c r="R61" s="38"/>
    </row>
    <row r="62" spans="1:18" ht="12" customHeight="1">
      <c r="A62" s="156"/>
      <c r="B62" s="29" t="s">
        <v>68</v>
      </c>
      <c r="C62" s="37"/>
      <c r="D62" s="37">
        <f>D22-D44</f>
        <v>4183766</v>
      </c>
      <c r="E62" s="69">
        <f>D62+E22-E44</f>
        <v>0</v>
      </c>
      <c r="F62" s="37"/>
      <c r="G62" s="37"/>
      <c r="H62" s="38"/>
      <c r="I62" s="134"/>
      <c r="J62" s="37"/>
      <c r="K62" s="37"/>
      <c r="L62" s="37"/>
      <c r="M62" s="38"/>
      <c r="N62" s="134"/>
      <c r="O62" s="37"/>
      <c r="P62" s="37"/>
      <c r="Q62" s="37"/>
      <c r="R62" s="38"/>
    </row>
    <row r="63" spans="1:18" ht="12" customHeight="1" thickBot="1">
      <c r="A63" s="157"/>
      <c r="B63" s="101" t="s">
        <v>69</v>
      </c>
      <c r="C63" s="43"/>
      <c r="D63" s="43"/>
      <c r="E63" s="43"/>
      <c r="F63" s="43"/>
      <c r="G63" s="43"/>
      <c r="H63" s="44"/>
      <c r="I63" s="142"/>
      <c r="J63" s="43"/>
      <c r="K63" s="43"/>
      <c r="L63" s="43"/>
      <c r="M63" s="44"/>
      <c r="N63" s="142"/>
      <c r="O63" s="43"/>
      <c r="P63" s="43"/>
      <c r="Q63" s="43"/>
      <c r="R63" s="44"/>
    </row>
    <row r="64" spans="1:18" s="47" customFormat="1" ht="29.25" customHeight="1" thickBot="1">
      <c r="A64" s="102">
        <v>44</v>
      </c>
      <c r="B64" s="103" t="s">
        <v>70</v>
      </c>
      <c r="C64" s="104">
        <f>C52/C5%</f>
        <v>37.4270344027518</v>
      </c>
      <c r="D64" s="104">
        <f aca="true" t="shared" si="13" ref="D64:R64">D52/D5%</f>
        <v>30.931253653224072</v>
      </c>
      <c r="E64" s="104">
        <f t="shared" si="13"/>
        <v>21.74437200081718</v>
      </c>
      <c r="F64" s="104">
        <f t="shared" si="13"/>
        <v>31.47258692003362</v>
      </c>
      <c r="G64" s="104">
        <f t="shared" si="13"/>
        <v>20.909397112896105</v>
      </c>
      <c r="H64" s="123">
        <f t="shared" si="13"/>
        <v>17.011345078288546</v>
      </c>
      <c r="I64" s="148">
        <f t="shared" si="13"/>
        <v>5.683502049013488</v>
      </c>
      <c r="J64" s="104">
        <f t="shared" si="13"/>
        <v>3.457533963056014</v>
      </c>
      <c r="K64" s="104">
        <f t="shared" si="13"/>
        <v>14.358807919204262</v>
      </c>
      <c r="L64" s="104">
        <f t="shared" si="13"/>
        <v>10.92517407970242</v>
      </c>
      <c r="M64" s="123">
        <f t="shared" si="13"/>
        <v>8.414920150392733</v>
      </c>
      <c r="N64" s="148">
        <f t="shared" si="13"/>
        <v>5.4568274005493205</v>
      </c>
      <c r="O64" s="104">
        <f t="shared" si="13"/>
        <v>4.05626490113981</v>
      </c>
      <c r="P64" s="104">
        <f t="shared" si="13"/>
        <v>2.642322072637434</v>
      </c>
      <c r="Q64" s="104">
        <f t="shared" si="13"/>
        <v>1.290822253775655</v>
      </c>
      <c r="R64" s="123">
        <f t="shared" si="13"/>
        <v>0</v>
      </c>
    </row>
    <row r="65" spans="1:18" ht="25.5" customHeight="1" thickBot="1">
      <c r="A65" s="6">
        <v>45</v>
      </c>
      <c r="B65" s="105" t="s">
        <v>71</v>
      </c>
      <c r="C65" s="106">
        <f>(C52-C60)/C5%</f>
        <v>37.4270344027518</v>
      </c>
      <c r="D65" s="106">
        <f>(D52-D60)/D5%</f>
        <v>28.73164802503535</v>
      </c>
      <c r="E65" s="106">
        <f aca="true" t="shared" si="14" ref="E65:Q65">(E52-E60)/E5%</f>
        <v>21.74437200081718</v>
      </c>
      <c r="F65" s="106">
        <f t="shared" si="14"/>
        <v>31.47258692003362</v>
      </c>
      <c r="G65" s="106">
        <f t="shared" si="14"/>
        <v>20.909397112896105</v>
      </c>
      <c r="H65" s="124">
        <f t="shared" si="14"/>
        <v>17.011345078288546</v>
      </c>
      <c r="I65" s="149">
        <f t="shared" si="14"/>
        <v>5.683502049013488</v>
      </c>
      <c r="J65" s="106">
        <f t="shared" si="14"/>
        <v>3.457533963056014</v>
      </c>
      <c r="K65" s="106">
        <f>(K52-K60)/K5%</f>
        <v>14.358807919204262</v>
      </c>
      <c r="L65" s="106">
        <f t="shared" si="14"/>
        <v>10.92517407970242</v>
      </c>
      <c r="M65" s="124">
        <f t="shared" si="14"/>
        <v>8.414920150392733</v>
      </c>
      <c r="N65" s="149">
        <f t="shared" si="14"/>
        <v>5.4568274005493205</v>
      </c>
      <c r="O65" s="106">
        <f t="shared" si="14"/>
        <v>4.05626490113981</v>
      </c>
      <c r="P65" s="106">
        <f t="shared" si="14"/>
        <v>2.642322072637434</v>
      </c>
      <c r="Q65" s="106">
        <f t="shared" si="14"/>
        <v>1.290822253775655</v>
      </c>
      <c r="R65" s="124">
        <f>(R52-R60)/R5%</f>
        <v>0</v>
      </c>
    </row>
    <row r="66" spans="1:18" s="27" customFormat="1" ht="23.25" customHeight="1">
      <c r="A66" s="70">
        <v>46</v>
      </c>
      <c r="B66" s="107" t="s">
        <v>72</v>
      </c>
      <c r="C66" s="81">
        <f>SUM(C67,C68,C69,C70,C72)+C71</f>
        <v>4080593</v>
      </c>
      <c r="D66" s="81">
        <f>D67+D68+D69+D70+D72</f>
        <v>8674183</v>
      </c>
      <c r="E66" s="81">
        <f aca="true" t="shared" si="15" ref="E66:R66">SUM(E67,E68,E69,E70,E72)</f>
        <v>25813257</v>
      </c>
      <c r="F66" s="81">
        <f t="shared" si="15"/>
        <v>10990000</v>
      </c>
      <c r="G66" s="81">
        <f t="shared" si="15"/>
        <v>12352000</v>
      </c>
      <c r="H66" s="82">
        <f t="shared" si="15"/>
        <v>11962000</v>
      </c>
      <c r="I66" s="140">
        <f t="shared" si="15"/>
        <v>11567000</v>
      </c>
      <c r="J66" s="81">
        <f t="shared" si="15"/>
        <v>8152600</v>
      </c>
      <c r="K66" s="81">
        <f t="shared" si="15"/>
        <v>8076200</v>
      </c>
      <c r="L66" s="81">
        <f t="shared" si="15"/>
        <v>7791800</v>
      </c>
      <c r="M66" s="82">
        <f t="shared" si="15"/>
        <v>7513400</v>
      </c>
      <c r="N66" s="140">
        <f t="shared" si="15"/>
        <v>7317000</v>
      </c>
      <c r="O66" s="81">
        <f t="shared" si="15"/>
        <v>3945600</v>
      </c>
      <c r="P66" s="81">
        <f t="shared" si="15"/>
        <v>3709200</v>
      </c>
      <c r="Q66" s="81">
        <f t="shared" si="15"/>
        <v>3472800</v>
      </c>
      <c r="R66" s="82">
        <f t="shared" si="15"/>
        <v>3236400</v>
      </c>
    </row>
    <row r="67" spans="1:18" s="36" customFormat="1" ht="14.25" customHeight="1">
      <c r="A67" s="32">
        <v>47</v>
      </c>
      <c r="B67" s="33" t="s">
        <v>73</v>
      </c>
      <c r="C67" s="34"/>
      <c r="D67" s="34">
        <f>D34+D43</f>
        <v>28687</v>
      </c>
      <c r="E67" s="34">
        <f>E34+E43</f>
        <v>598514</v>
      </c>
      <c r="F67" s="34">
        <f>F34+F43</f>
        <v>0</v>
      </c>
      <c r="G67" s="34">
        <f>G34+G43</f>
        <v>0</v>
      </c>
      <c r="H67" s="35">
        <f>H38+H39</f>
        <v>0</v>
      </c>
      <c r="I67" s="141">
        <f>I38+I39</f>
        <v>0</v>
      </c>
      <c r="J67" s="34">
        <f>J38+J39</f>
        <v>0</v>
      </c>
      <c r="K67" s="34">
        <f>K38+K39</f>
        <v>0</v>
      </c>
      <c r="L67" s="34"/>
      <c r="M67" s="35"/>
      <c r="N67" s="141"/>
      <c r="O67" s="34">
        <f>O38+O39</f>
        <v>0</v>
      </c>
      <c r="P67" s="34">
        <f>P38+P39</f>
        <v>0</v>
      </c>
      <c r="Q67" s="34"/>
      <c r="R67" s="35"/>
    </row>
    <row r="68" spans="1:18" s="36" customFormat="1" ht="14.25" customHeight="1">
      <c r="A68" s="32">
        <v>48</v>
      </c>
      <c r="B68" s="33" t="s">
        <v>74</v>
      </c>
      <c r="C68" s="34">
        <f>C40+C41</f>
        <v>3041385</v>
      </c>
      <c r="D68" s="34">
        <f aca="true" t="shared" si="16" ref="D68:N68">D40+D41</f>
        <v>3334747</v>
      </c>
      <c r="E68" s="34">
        <f t="shared" si="16"/>
        <v>2948000</v>
      </c>
      <c r="F68" s="34">
        <f t="shared" si="16"/>
        <v>3520000</v>
      </c>
      <c r="G68" s="34">
        <f t="shared" si="16"/>
        <v>3200000</v>
      </c>
      <c r="H68" s="35">
        <f t="shared" si="16"/>
        <v>3134000</v>
      </c>
      <c r="I68" s="141">
        <f t="shared" si="16"/>
        <v>3065000</v>
      </c>
      <c r="J68" s="34">
        <f t="shared" si="16"/>
        <v>3025000</v>
      </c>
      <c r="K68" s="34">
        <f t="shared" si="16"/>
        <v>3185000</v>
      </c>
      <c r="L68" s="34">
        <f t="shared" si="16"/>
        <v>3137000</v>
      </c>
      <c r="M68" s="35">
        <f t="shared" si="16"/>
        <v>3095000</v>
      </c>
      <c r="N68" s="141">
        <f t="shared" si="16"/>
        <v>3135000</v>
      </c>
      <c r="O68" s="34">
        <f>O40+O41</f>
        <v>0</v>
      </c>
      <c r="P68" s="34">
        <f>P40+P41</f>
        <v>0</v>
      </c>
      <c r="Q68" s="34">
        <f>Q40+Q41</f>
        <v>0</v>
      </c>
      <c r="R68" s="35">
        <f>R40+R41</f>
        <v>0</v>
      </c>
    </row>
    <row r="69" spans="1:18" s="36" customFormat="1" ht="24">
      <c r="A69" s="32">
        <v>49</v>
      </c>
      <c r="B69" s="40" t="s">
        <v>75</v>
      </c>
      <c r="C69" s="48"/>
      <c r="D69" s="48"/>
      <c r="E69" s="48"/>
      <c r="F69" s="48"/>
      <c r="G69" s="48"/>
      <c r="H69" s="49"/>
      <c r="I69" s="150"/>
      <c r="J69" s="48"/>
      <c r="K69" s="48"/>
      <c r="L69" s="48"/>
      <c r="M69" s="49"/>
      <c r="N69" s="150"/>
      <c r="O69" s="48"/>
      <c r="P69" s="48"/>
      <c r="Q69" s="48"/>
      <c r="R69" s="49"/>
    </row>
    <row r="70" spans="1:18" s="36" customFormat="1" ht="40.5" customHeight="1">
      <c r="A70" s="32">
        <v>50</v>
      </c>
      <c r="B70" s="40" t="s">
        <v>89</v>
      </c>
      <c r="C70" s="34">
        <f>C47+C48</f>
        <v>1023105</v>
      </c>
      <c r="D70" s="34">
        <f>D47+D48</f>
        <v>5304234</v>
      </c>
      <c r="E70" s="34">
        <f aca="true" t="shared" si="17" ref="E70:N70">E47+E48</f>
        <v>6418997</v>
      </c>
      <c r="F70" s="34">
        <f t="shared" si="17"/>
        <v>7470000</v>
      </c>
      <c r="G70" s="34">
        <f>G47+G48</f>
        <v>9152000</v>
      </c>
      <c r="H70" s="35">
        <f t="shared" si="17"/>
        <v>8828000</v>
      </c>
      <c r="I70" s="141">
        <f t="shared" si="17"/>
        <v>8502000</v>
      </c>
      <c r="J70" s="34">
        <f t="shared" si="17"/>
        <v>5127600</v>
      </c>
      <c r="K70" s="34">
        <f t="shared" si="17"/>
        <v>4891200</v>
      </c>
      <c r="L70" s="34">
        <f t="shared" si="17"/>
        <v>4654800</v>
      </c>
      <c r="M70" s="35">
        <f t="shared" si="17"/>
        <v>4418400</v>
      </c>
      <c r="N70" s="141">
        <f t="shared" si="17"/>
        <v>4182000</v>
      </c>
      <c r="O70" s="34">
        <f>O47+O48</f>
        <v>3945600</v>
      </c>
      <c r="P70" s="34">
        <f>P47+P48</f>
        <v>3709200</v>
      </c>
      <c r="Q70" s="34">
        <f>Q47+Q48</f>
        <v>3472800</v>
      </c>
      <c r="R70" s="35">
        <f>R47+R48</f>
        <v>3236400</v>
      </c>
    </row>
    <row r="71" spans="1:18" s="36" customFormat="1" ht="40.5" customHeight="1">
      <c r="A71" s="32">
        <v>51</v>
      </c>
      <c r="B71" s="40" t="s">
        <v>76</v>
      </c>
      <c r="C71" s="34">
        <v>16103</v>
      </c>
      <c r="D71" s="34"/>
      <c r="E71" s="34"/>
      <c r="F71" s="34"/>
      <c r="G71" s="34"/>
      <c r="H71" s="35"/>
      <c r="I71" s="141"/>
      <c r="J71" s="34"/>
      <c r="K71" s="34"/>
      <c r="L71" s="48"/>
      <c r="M71" s="49"/>
      <c r="N71" s="150"/>
      <c r="O71" s="34"/>
      <c r="P71" s="34"/>
      <c r="Q71" s="48"/>
      <c r="R71" s="49"/>
    </row>
    <row r="72" spans="1:18" s="36" customFormat="1" ht="36" customHeight="1">
      <c r="A72" s="156">
        <v>52</v>
      </c>
      <c r="B72" s="40" t="s">
        <v>77</v>
      </c>
      <c r="C72" s="48"/>
      <c r="D72" s="34">
        <f>D73+D74+D75+D76</f>
        <v>6515</v>
      </c>
      <c r="E72" s="34">
        <f>E73+E74+E75+E76</f>
        <v>15847746</v>
      </c>
      <c r="F72" s="48"/>
      <c r="G72" s="48"/>
      <c r="H72" s="49"/>
      <c r="I72" s="150"/>
      <c r="J72" s="48"/>
      <c r="K72" s="48"/>
      <c r="L72" s="48"/>
      <c r="M72" s="49"/>
      <c r="N72" s="150"/>
      <c r="O72" s="48"/>
      <c r="P72" s="48"/>
      <c r="Q72" s="48"/>
      <c r="R72" s="49"/>
    </row>
    <row r="73" spans="1:18" ht="12.75" customHeight="1">
      <c r="A73" s="156"/>
      <c r="B73" s="29" t="s">
        <v>78</v>
      </c>
      <c r="C73" s="51"/>
      <c r="D73" s="51"/>
      <c r="E73" s="51"/>
      <c r="F73" s="51"/>
      <c r="G73" s="51"/>
      <c r="H73" s="52"/>
      <c r="I73" s="151"/>
      <c r="J73" s="51"/>
      <c r="K73" s="51"/>
      <c r="L73" s="51"/>
      <c r="M73" s="52"/>
      <c r="N73" s="151"/>
      <c r="O73" s="51"/>
      <c r="P73" s="51"/>
      <c r="Q73" s="51"/>
      <c r="R73" s="52"/>
    </row>
    <row r="74" spans="1:18" ht="12.75" customHeight="1">
      <c r="A74" s="156"/>
      <c r="B74" s="29" t="s">
        <v>79</v>
      </c>
      <c r="C74" s="51"/>
      <c r="D74" s="37">
        <f>D37+D39</f>
        <v>6515</v>
      </c>
      <c r="E74" s="37">
        <f>E37+E39</f>
        <v>15847746</v>
      </c>
      <c r="F74" s="51"/>
      <c r="G74" s="51"/>
      <c r="H74" s="52"/>
      <c r="I74" s="151"/>
      <c r="J74" s="51"/>
      <c r="K74" s="51"/>
      <c r="L74" s="51" t="s">
        <v>80</v>
      </c>
      <c r="M74" s="52"/>
      <c r="N74" s="151"/>
      <c r="O74" s="51"/>
      <c r="P74" s="51"/>
      <c r="Q74" s="51" t="s">
        <v>80</v>
      </c>
      <c r="R74" s="52"/>
    </row>
    <row r="75" spans="1:18" ht="27" customHeight="1">
      <c r="A75" s="156"/>
      <c r="B75" s="29" t="s">
        <v>90</v>
      </c>
      <c r="C75" s="51"/>
      <c r="D75" s="51"/>
      <c r="E75" s="51"/>
      <c r="F75" s="51"/>
      <c r="G75" s="51"/>
      <c r="H75" s="52"/>
      <c r="I75" s="151"/>
      <c r="J75" s="51"/>
      <c r="K75" s="51"/>
      <c r="L75" s="51"/>
      <c r="M75" s="52"/>
      <c r="N75" s="151"/>
      <c r="O75" s="51"/>
      <c r="P75" s="51"/>
      <c r="Q75" s="51"/>
      <c r="R75" s="52"/>
    </row>
    <row r="76" spans="1:18" ht="39" customHeight="1" thickBot="1">
      <c r="A76" s="157"/>
      <c r="B76" s="101" t="s">
        <v>81</v>
      </c>
      <c r="C76" s="108"/>
      <c r="D76" s="108"/>
      <c r="E76" s="108"/>
      <c r="F76" s="108"/>
      <c r="G76" s="108"/>
      <c r="H76" s="109"/>
      <c r="I76" s="152"/>
      <c r="J76" s="108"/>
      <c r="K76" s="108"/>
      <c r="L76" s="108"/>
      <c r="M76" s="109"/>
      <c r="N76" s="152"/>
      <c r="O76" s="108"/>
      <c r="P76" s="108"/>
      <c r="Q76" s="108"/>
      <c r="R76" s="109"/>
    </row>
    <row r="77" spans="1:18" s="36" customFormat="1" ht="30" customHeight="1">
      <c r="A77" s="9">
        <v>53</v>
      </c>
      <c r="B77" s="53" t="s">
        <v>82</v>
      </c>
      <c r="C77" s="54">
        <f>C66/C5%</f>
        <v>2.491679290612572</v>
      </c>
      <c r="D77" s="54">
        <f>D66/D5%</f>
        <v>4.560432334585373</v>
      </c>
      <c r="E77" s="55">
        <f>E66/E5%</f>
        <v>11.921099795274364</v>
      </c>
      <c r="F77" s="55">
        <f aca="true" t="shared" si="18" ref="F77:R77">F66/F5%</f>
        <v>5.065370075730325</v>
      </c>
      <c r="G77" s="55">
        <f t="shared" si="18"/>
        <v>4.341888123503677</v>
      </c>
      <c r="H77" s="125">
        <f t="shared" si="18"/>
        <v>4.014870764471778</v>
      </c>
      <c r="I77" s="153">
        <f t="shared" si="18"/>
        <v>1.5695986104703232</v>
      </c>
      <c r="J77" s="55">
        <f t="shared" si="18"/>
        <v>0.781174243077554</v>
      </c>
      <c r="K77" s="55">
        <f t="shared" si="18"/>
        <v>3.8546936749460663</v>
      </c>
      <c r="L77" s="55">
        <f t="shared" si="18"/>
        <v>3.5345777858422736</v>
      </c>
      <c r="M77" s="125">
        <f t="shared" si="18"/>
        <v>3.496165729814243</v>
      </c>
      <c r="N77" s="153">
        <f t="shared" si="18"/>
        <v>3.3273005074849484</v>
      </c>
      <c r="O77" s="55">
        <f t="shared" si="18"/>
        <v>1.778266532659693</v>
      </c>
      <c r="P77" s="55">
        <f t="shared" si="18"/>
        <v>1.6334835053044616</v>
      </c>
      <c r="Q77" s="55">
        <f t="shared" si="18"/>
        <v>1.4942558409706983</v>
      </c>
      <c r="R77" s="125">
        <f t="shared" si="18"/>
        <v>1.3604435607605099</v>
      </c>
    </row>
    <row r="78" spans="1:18" s="36" customFormat="1" ht="42" customHeight="1" thickBot="1">
      <c r="A78" s="14">
        <v>54</v>
      </c>
      <c r="B78" s="110" t="s">
        <v>83</v>
      </c>
      <c r="C78" s="111">
        <f>(C66-C72)/C5%</f>
        <v>2.491679290612572</v>
      </c>
      <c r="D78" s="111">
        <f>(D66-D72)/D5%</f>
        <v>4.557007087889538</v>
      </c>
      <c r="E78" s="111">
        <f>(E66-E72)/E5%</f>
        <v>4.602280570092508</v>
      </c>
      <c r="F78" s="111">
        <f aca="true" t="shared" si="19" ref="F78:R78">(F66-F72)/F5%</f>
        <v>5.065370075730325</v>
      </c>
      <c r="G78" s="111">
        <f t="shared" si="19"/>
        <v>4.341888123503677</v>
      </c>
      <c r="H78" s="126">
        <f t="shared" si="19"/>
        <v>4.014870764471778</v>
      </c>
      <c r="I78" s="154">
        <f t="shared" si="19"/>
        <v>1.5695986104703232</v>
      </c>
      <c r="J78" s="111">
        <f t="shared" si="19"/>
        <v>0.781174243077554</v>
      </c>
      <c r="K78" s="111">
        <f t="shared" si="19"/>
        <v>3.8546936749460663</v>
      </c>
      <c r="L78" s="111">
        <f t="shared" si="19"/>
        <v>3.5345777858422736</v>
      </c>
      <c r="M78" s="126">
        <f t="shared" si="19"/>
        <v>3.496165729814243</v>
      </c>
      <c r="N78" s="154">
        <f t="shared" si="19"/>
        <v>3.3273005074849484</v>
      </c>
      <c r="O78" s="111">
        <f t="shared" si="19"/>
        <v>1.778266532659693</v>
      </c>
      <c r="P78" s="111">
        <f t="shared" si="19"/>
        <v>1.6334835053044616</v>
      </c>
      <c r="Q78" s="111">
        <f t="shared" si="19"/>
        <v>1.4942558409706983</v>
      </c>
      <c r="R78" s="126">
        <f t="shared" si="19"/>
        <v>1.3604435607605099</v>
      </c>
    </row>
    <row r="81" spans="1:2" ht="12">
      <c r="A81" s="3"/>
      <c r="B81" s="56"/>
    </row>
    <row r="82" spans="1:2" ht="12">
      <c r="A82" s="3"/>
      <c r="B82" s="56"/>
    </row>
  </sheetData>
  <sheetProtection password="9F69" sheet="1" objects="1" scenarios="1"/>
  <mergeCells count="7">
    <mergeCell ref="I3:M3"/>
    <mergeCell ref="N3:R3"/>
    <mergeCell ref="A60:A63"/>
    <mergeCell ref="A72:A76"/>
    <mergeCell ref="A3:A4"/>
    <mergeCell ref="B3:B4"/>
    <mergeCell ref="E3:H3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&amp;C&amp;"Arial,Pogrubiony"&amp;8PROGNOZA ŁĄCZNEJ KWOTY DŁUGU PUBLICZNEGO MIASTA ŚWINOUJŚCIA NA LATA 2009-2021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igorecka</cp:lastModifiedBy>
  <cp:lastPrinted>2008-11-17T13:56:02Z</cp:lastPrinted>
  <dcterms:created xsi:type="dcterms:W3CDTF">2008-10-26T15:24:10Z</dcterms:created>
  <dcterms:modified xsi:type="dcterms:W3CDTF">2008-11-17T14:16:45Z</dcterms:modified>
  <cp:category/>
  <cp:version/>
  <cp:contentType/>
  <cp:contentStatus/>
</cp:coreProperties>
</file>