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activeTab="18"/>
  </bookViews>
  <sheets>
    <sheet name="1" sheetId="1" r:id="rId1"/>
    <sheet name="2" sheetId="2" r:id="rId2"/>
    <sheet name="3" sheetId="3" r:id="rId3"/>
    <sheet name="4" sheetId="4" r:id="rId4"/>
    <sheet name="4a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2a" sheetId="14" r:id="rId14"/>
    <sheet name="13" sheetId="15" r:id="rId15"/>
    <sheet name="14" sheetId="16" r:id="rId16"/>
    <sheet name="15" sheetId="17" r:id="rId17"/>
    <sheet name="16" sheetId="18" r:id="rId18"/>
    <sheet name="17" sheetId="19" r:id="rId19"/>
  </sheets>
  <definedNames>
    <definedName name="_xlnm.Print_Area" localSheetId="0">'1'!$A$1:$G$192</definedName>
    <definedName name="_xlnm.Print_Area" localSheetId="10">'10'!$A$1:$E$35</definedName>
    <definedName name="_xlnm.Print_Area" localSheetId="12">'12'!$A$1:$F$20</definedName>
    <definedName name="_xlnm.Print_Area" localSheetId="13">'12a'!$A$1:$F$10</definedName>
    <definedName name="_xlnm.Print_Area" localSheetId="14">'13'!$A$1:$F$19</definedName>
    <definedName name="_xlnm.Print_Area" localSheetId="2">'3'!$A$1:$D$24</definedName>
    <definedName name="_xlnm.Print_Area" localSheetId="3">'4'!$A$1:$L$258</definedName>
    <definedName name="_xlnm.Print_Area" localSheetId="4">'4a'!$A$1:$J$75</definedName>
    <definedName name="_xlnm.Print_Area" localSheetId="5">'5'!$A$1:$M$10</definedName>
    <definedName name="_xlnm.Print_Area" localSheetId="6">'6'!$A$1:$K$36</definedName>
    <definedName name="_xlnm.Print_Area" localSheetId="9">'9'!$A$1:$C$26</definedName>
    <definedName name="_xlnm.Print_Titles" localSheetId="0">'1'!$4:$6</definedName>
    <definedName name="_xlnm.Print_Titles" localSheetId="10">'10'!$4:$5</definedName>
    <definedName name="_xlnm.Print_Titles" localSheetId="15">'14'!$3:$6</definedName>
    <definedName name="_xlnm.Print_Titles" localSheetId="1">'2'!$4:$7</definedName>
    <definedName name="_xlnm.Print_Titles" localSheetId="3">'4'!$3:$5</definedName>
    <definedName name="_xlnm.Print_Titles" localSheetId="4">'4a'!$3:$8</definedName>
    <definedName name="_xlnm.Print_Titles" localSheetId="5">'5'!$3:$5</definedName>
    <definedName name="_xlnm.Print_Titles" localSheetId="6">'6'!$5:$9</definedName>
  </definedNames>
  <calcPr fullCalcOnLoad="1"/>
</workbook>
</file>

<file path=xl/sharedStrings.xml><?xml version="1.0" encoding="utf-8"?>
<sst xmlns="http://schemas.openxmlformats.org/spreadsheetml/2006/main" count="2160" uniqueCount="810">
  <si>
    <t>środki jst</t>
  </si>
  <si>
    <t>Edukacyjny plac zabaw na terenie Parku Zdrojowego w Świnoujściu w ramach projektu "Morze Bałtyckie łączące wyspy, kraje kultury i regiony przyrodnicze - polsko-niemiecki projekt w zakresie edukacji przyrodniczej"</t>
  </si>
  <si>
    <t>Zagospodarowanie terenu przy Szkole Podstawowej nr 2 w Karsiborzu w ramach projektu "Atrakcje przyrodnicze wysp Uznam-Karsibór"</t>
  </si>
  <si>
    <t>Rewitalizacja zespołu zabytkowych fortów (zagospodarowanie terenu przy kompleksie Fortu Zachodniego)</t>
  </si>
  <si>
    <t>Budowa pływalni miejskiej</t>
  </si>
  <si>
    <t>2010 r.</t>
  </si>
  <si>
    <t>75647</t>
  </si>
  <si>
    <t>3110</t>
  </si>
  <si>
    <t>Drogi publiczne w miastach na prawach powiatu</t>
  </si>
  <si>
    <t>75803</t>
  </si>
  <si>
    <t>Część wyrównawcza subwencji ogólnej dla powiatów</t>
  </si>
  <si>
    <t>Rachunek dochodów własnych gminnych jednostek budżetowych,
z tego:</t>
  </si>
  <si>
    <t>Razem rachunek dochodów własnych  
(gmina+powiat)</t>
  </si>
  <si>
    <t>Rachunek dochodów własnych powiatowych jednostek budżetowych, z tego:</t>
  </si>
  <si>
    <t>Środki z Funduszu Pracy otrzymane przez powiat z przeznaczeniem na finansowanie kosztów wynagradzania i składek na ubezpieczenia społeczne pracowników powiatowego urzędu pracy</t>
  </si>
  <si>
    <t>dochody bieżące</t>
  </si>
  <si>
    <t>dochody majątkowe</t>
  </si>
  <si>
    <t xml:space="preserve">Urzędy naczelnych organów władzy państwowej, kontroli i ochrony prawa </t>
  </si>
  <si>
    <t>WYDATKI GMINY</t>
  </si>
  <si>
    <t xml:space="preserve">Nazwa zadania inwestycyjnego
</t>
  </si>
  <si>
    <t>OGÓŁEM:</t>
  </si>
  <si>
    <t>środki JST</t>
  </si>
  <si>
    <t>kredyty, pożyczki i obligacje</t>
  </si>
  <si>
    <t>inne środki</t>
  </si>
  <si>
    <t>Nazwa projektu</t>
  </si>
  <si>
    <t>Źródła finansowa-
nia</t>
  </si>
  <si>
    <t>Lata realizacji projektu</t>
  </si>
  <si>
    <t>Wartość całkowita projektu
(w zł)</t>
  </si>
  <si>
    <t>Nazwa programu</t>
  </si>
  <si>
    <t>Koszty kwalifikowane w ramach projektu
(w zł)</t>
  </si>
  <si>
    <t>środki UE</t>
  </si>
  <si>
    <t>Przebudowa lub budowa mostu nad Starą Świną łączącego wyspy Karsibór i Wolin</t>
  </si>
  <si>
    <t>Budowa systemu parkingowego w mieście</t>
  </si>
  <si>
    <t>Sprawny i przyjazny środowisku dostęp do infrastruktury portu w Świnoujściu</t>
  </si>
  <si>
    <t>Przebudowa ulic St. Moniuszki i B. Prusa wraz z budową ścieżki rowerowej</t>
  </si>
  <si>
    <t>Przygotowanie Bazy Las pod funkcje inwestycyjne - II etap</t>
  </si>
  <si>
    <t>Przebudowa przystani jachtowej w Łunowie</t>
  </si>
  <si>
    <t>System monitoringu miasta</t>
  </si>
  <si>
    <t>Termomodernizacja publicznych obiektów szkolnych</t>
  </si>
  <si>
    <t>Budowa schroniska dla ludzi bezdomnych przy ul. Karsiborskiej 19</t>
  </si>
  <si>
    <t>92120</t>
  </si>
  <si>
    <t>Rewitalizacja Śródmieścia - etap I - ulica Hołdu Pruskiego</t>
  </si>
  <si>
    <t>Przebudowa stadionu OSiR Wyspiarz przy ul. Matejki</t>
  </si>
  <si>
    <t>Okres realizacji</t>
  </si>
  <si>
    <t>Polskie Stowarzyszenie na Rzecz Osób
z Upośledzeniem Umysłowym</t>
  </si>
  <si>
    <t>Grzywny, mandaty i inne kary pieniężne od osób fizycznych</t>
  </si>
  <si>
    <t>80148</t>
  </si>
  <si>
    <t>Stołówki szkolne</t>
  </si>
  <si>
    <t>Gospodarka odpadami</t>
  </si>
  <si>
    <t>Ochrona zabytków i opieka nad zabytkami</t>
  </si>
  <si>
    <t>WYDATKI POWIATU</t>
  </si>
  <si>
    <t>GMINA</t>
  </si>
  <si>
    <t>POWIAT</t>
  </si>
  <si>
    <t>Składki na ubezpieczenia społeczne</t>
  </si>
  <si>
    <t>Składki na Fundusz Pracy</t>
  </si>
  <si>
    <t>Zakup materiałów papierniczych do sprzętu drukarskiego i urządzeń kserograficznych</t>
  </si>
  <si>
    <t>Zakup akcesoriów komputerowych, w tym programów i licencji</t>
  </si>
  <si>
    <t>Szkolenie pracowników niebędących członkami korpusu służby cywilnej</t>
  </si>
  <si>
    <t>Ośrodek Rehabilitacyjno-Edukacyjno-Wychowawczy 
Polskiego Stowarzyszenia na Rzecz Osób z Upośledzeniem Umysłowym Koło w Świnoujściu</t>
  </si>
  <si>
    <t>Organizacja rodzin zastępczych</t>
  </si>
  <si>
    <t>Zadania z zakresu poprawy bezpieczeństwa publicznego</t>
  </si>
  <si>
    <t>Przebudowa ulicy Zalewowej</t>
  </si>
  <si>
    <t>Przebudowa budynku przy ul. Dąbrowskiego</t>
  </si>
  <si>
    <t>Przebudowa boisk przyszkolnych</t>
  </si>
  <si>
    <t>Szkoła Podstawowa im. św. Jadwigi Królowej</t>
  </si>
  <si>
    <t>Gimnazjum im. św. Jadwigi Królowej</t>
  </si>
  <si>
    <t>Zadania w zakresie kultury i ochrony dziedzictwa 
narodowego</t>
  </si>
  <si>
    <t>Zakład Gospodarki Mieszkaniowej</t>
  </si>
  <si>
    <t>Przedszkola miejskie</t>
  </si>
  <si>
    <t>Ośrodek Sportu i Rekreacji 
    "Wyspiarz"</t>
  </si>
  <si>
    <t>Szkoła Podstawowa Nr 1</t>
  </si>
  <si>
    <t>Szkoła Podstawowa Nr 2</t>
  </si>
  <si>
    <t>Zespół Szkół Publicznych Nr 4 
   z Oddziałami Integracyjnymi</t>
  </si>
  <si>
    <t>Szkoła Podstawowa Nr 6</t>
  </si>
  <si>
    <t xml:space="preserve">Szkoła Podstawowa Nr 9 </t>
  </si>
  <si>
    <t>Gimnazjum Publiczne Nr 1</t>
  </si>
  <si>
    <t>Gimnazjum Publiczne Nr 2</t>
  </si>
  <si>
    <t>Gimnazjum Publiczne Nr 3</t>
  </si>
  <si>
    <t>Żłobek Miejski</t>
  </si>
  <si>
    <t>Młodzieżowy Dom Kultury</t>
  </si>
  <si>
    <t xml:space="preserve">      Urząd Miasta</t>
  </si>
  <si>
    <t xml:space="preserve">      Żegluga Świnoujska</t>
  </si>
  <si>
    <t>Liceum Ogólnokształcące 
z Oddziałami Integracyjnymi</t>
  </si>
  <si>
    <t>Zespół Szkół Morskich 
    - szkoły zawodowe</t>
  </si>
  <si>
    <t>Zespół Szkół w Świnoujściu</t>
  </si>
  <si>
    <t>Specjalny Ośrodek Szkolno
    -Wychowawczy</t>
  </si>
  <si>
    <t>Poradnia Psychologiczno
    -Pedagogiczna</t>
  </si>
  <si>
    <t>Zespół Szkół Morskich - internaty</t>
  </si>
  <si>
    <t>58.</t>
  </si>
  <si>
    <t>59.</t>
  </si>
  <si>
    <t>Budowa hali sportowej przy Gimnazjum Publicznym Nr 3 (os. Warszów)</t>
  </si>
  <si>
    <t>Przebudowa ulicy Matejki</t>
  </si>
  <si>
    <t>Przebudowa ulicy Szkolnej</t>
  </si>
  <si>
    <t>Budowa Centrum Kultury i Sportu przy ul. Matejki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</si>
  <si>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</si>
  <si>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</si>
  <si>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</si>
  <si>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</si>
  <si>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</si>
  <si>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</si>
  <si>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</si>
  <si>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</si>
  <si>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</si>
  <si>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</si>
  <si>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</si>
  <si>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</si>
  <si>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</si>
  <si>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</si>
  <si>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</si>
  <si>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</si>
  <si>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</si>
  <si>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</si>
  <si>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</si>
  <si>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</si>
  <si>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</si>
  <si>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90002</t>
  </si>
  <si>
    <t>26.</t>
  </si>
  <si>
    <t>52.</t>
  </si>
  <si>
    <t>53.</t>
  </si>
  <si>
    <t>54.</t>
  </si>
  <si>
    <t>55.</t>
  </si>
  <si>
    <t>56.</t>
  </si>
  <si>
    <t>57.</t>
  </si>
  <si>
    <t>Wydatki
ogółem
(5+9)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</si>
  <si>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</si>
  <si>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</si>
  <si>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</si>
  <si>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</si>
  <si>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</si>
  <si>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</si>
  <si>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</si>
  <si>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</si>
  <si>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</si>
  <si>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</si>
  <si>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</si>
  <si>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</si>
  <si>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</si>
  <si>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</si>
  <si>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</si>
  <si>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</si>
  <si>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</si>
  <si>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</si>
  <si>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</si>
  <si>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</si>
  <si>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</si>
  <si>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</si>
  <si>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</si>
  <si>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</si>
  <si>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</si>
  <si>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</si>
  <si>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</si>
  <si>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</si>
  <si>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</si>
  <si>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</si>
  <si>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</si>
  <si>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</si>
  <si>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</si>
  <si>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</si>
  <si>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</si>
  <si>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Spłaty pożyczek udzielonych</t>
  </si>
  <si>
    <t>8.</t>
  </si>
  <si>
    <t>Spłaty pożyczek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</si>
  <si>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</si>
  <si>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</si>
  <si>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</si>
  <si>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</si>
  <si>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</si>
  <si>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</si>
  <si>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</si>
  <si>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</si>
  <si>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</si>
  <si>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</si>
  <si>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</si>
  <si>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Nazwa jednostki pomocniczej</t>
  </si>
  <si>
    <t>x</t>
  </si>
  <si>
    <t>Inne źródła (wolne środki)</t>
  </si>
  <si>
    <t>Spłaty kredytów</t>
  </si>
  <si>
    <t>Udzielone pożyczki</t>
  </si>
  <si>
    <t>Lokaty</t>
  </si>
  <si>
    <t>w  złotych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</si>
  <si>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</si>
  <si>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</si>
  <si>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</si>
  <si>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</si>
  <si>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</si>
  <si>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</si>
  <si>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</si>
  <si>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Nazwa jednostki
 otrzymującej dotację</t>
  </si>
  <si>
    <t>Zakres</t>
  </si>
  <si>
    <t>Planowane wydatki</t>
  </si>
  <si>
    <t>z tego:</t>
  </si>
  <si>
    <t>Dotacje</t>
  </si>
  <si>
    <t>Wydatki
z tytułu poręczeń
i gwarancji</t>
  </si>
  <si>
    <t>Wynagro-
dzenia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</si>
  <si>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</si>
  <si>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</si>
  <si>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</si>
  <si>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</si>
  <si>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</si>
  <si>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</si>
  <si>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środki wymienione
w art. 5 ust. 1 pkt 2 i 3 u.f.p.</t>
  </si>
  <si>
    <t>Prywatyzacja majątku jst</t>
  </si>
  <si>
    <t>Rozchody ogółem:</t>
  </si>
  <si>
    <t>Ogółem</t>
  </si>
  <si>
    <t>Łączne koszty finansowe</t>
  </si>
  <si>
    <t>Źródło dochodów</t>
  </si>
  <si>
    <t>Rozdział*</t>
  </si>
  <si>
    <t>Wydatki na obsługę długu</t>
  </si>
  <si>
    <t>Jednostka organizacyjna realizująca program lub koordynująca wykonanie programu</t>
  </si>
  <si>
    <t>Nazwa zadania inwestycyjnego</t>
  </si>
  <si>
    <t>na inwestycje</t>
  </si>
  <si>
    <t>Papiery wartościowe (obligacje)</t>
  </si>
  <si>
    <t>Wykup papierów wartościowych (obligacji)</t>
  </si>
  <si>
    <t>Pochodne od 
wynagro-dzeń</t>
  </si>
  <si>
    <t>gmina</t>
  </si>
  <si>
    <t>Plan przychodów i wydatków Powiatowego Funduszu</t>
  </si>
  <si>
    <t>Ogółem wydatki (gmina + powiat)</t>
  </si>
  <si>
    <t>Ogółem (gmina + powiat)</t>
  </si>
  <si>
    <t>Gminne zakłady budżetowe, z tego</t>
  </si>
  <si>
    <t>010</t>
  </si>
  <si>
    <t>Rolnictwo i łowiectwo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</si>
  <si>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</si>
  <si>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</si>
  <si>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</si>
  <si>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</si>
  <si>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02095</t>
  </si>
  <si>
    <t>Pozostała działalność</t>
  </si>
  <si>
    <t>0690</t>
  </si>
  <si>
    <t>Wpływy z różnych opłat</t>
  </si>
  <si>
    <t>0870</t>
  </si>
  <si>
    <t>Wpływy ze sprzedaży składników majątkowych</t>
  </si>
  <si>
    <t>600</t>
  </si>
  <si>
    <t>Transport i łączność</t>
  </si>
  <si>
    <t>Środki na dofinansowanie własnych inwestycji gmin (związków gmin), powiatów (związków powiatów), samorządów województw, pozyskane z innych źródeł</t>
  </si>
  <si>
    <t>Finansowanie programów ze środków bezzwrotnych pochodzących z Unii Europejskiej</t>
  </si>
  <si>
    <t>630</t>
  </si>
  <si>
    <t>Turystyka</t>
  </si>
  <si>
    <t>63003</t>
  </si>
  <si>
    <t>Zadania w zakresie upowszechniania turystyki</t>
  </si>
  <si>
    <t>2701</t>
  </si>
  <si>
    <t>Środki na dofinansowanie własnych zadań bieżących gmin (związków gmin), powiatów (związków powiatów), samorządów województw, pozyskane z innych źródeł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</si>
  <si>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</si>
  <si>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</si>
  <si>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</si>
  <si>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</si>
  <si>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</si>
  <si>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</si>
  <si>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0570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</si>
  <si>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</si>
  <si>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</si>
  <si>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</si>
  <si>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</si>
  <si>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</si>
  <si>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</si>
  <si>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0920</t>
  </si>
  <si>
    <t>Pozostałe odsetki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</si>
  <si>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</si>
  <si>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</si>
  <si>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</si>
  <si>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</si>
  <si>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</si>
  <si>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</si>
  <si>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</si>
  <si>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</si>
  <si>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71035</t>
  </si>
  <si>
    <t>Cmentarze</t>
  </si>
  <si>
    <t>0830</t>
  </si>
  <si>
    <t xml:space="preserve">Wpływy z usług 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</si>
  <si>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</si>
  <si>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</si>
  <si>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</si>
  <si>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</si>
  <si>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</si>
  <si>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</si>
  <si>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Dotacje celowe otrzymane z budżetu państwa na zadania bieżące realizowane przez powiat na podstawie porozumień 
z organami administracji rządowej</t>
  </si>
  <si>
    <t>75020</t>
  </si>
  <si>
    <t>Starostwa powiatowe</t>
  </si>
  <si>
    <t>2360</t>
  </si>
  <si>
    <t>Dochody jednostek samorządu terytorialnego związane z realizacją zadań  z zakresu administracji rządowej oraz innych zadań zleconych ustawami</t>
  </si>
  <si>
    <t>75023</t>
  </si>
  <si>
    <t>Urzędy gmin (miast i miast na prawach powiatu)</t>
  </si>
  <si>
    <t>75045</t>
  </si>
  <si>
    <t>Komisje poborowe</t>
  </si>
  <si>
    <t>0970</t>
  </si>
  <si>
    <t>Wpływy z różnych dochodów</t>
  </si>
  <si>
    <t>751</t>
  </si>
  <si>
    <t>75101</t>
  </si>
  <si>
    <t>754</t>
  </si>
  <si>
    <t>Bezpieczeństwo publiczne i ochrona przeciwpożarowa</t>
  </si>
  <si>
    <t>75411</t>
  </si>
  <si>
    <t>Komendy powiatowe Państwowej Straży Pożarnej</t>
  </si>
  <si>
    <t>75414</t>
  </si>
  <si>
    <t>Obrona cywilna</t>
  </si>
  <si>
    <t>75416</t>
  </si>
  <si>
    <t>Straż Miejska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</si>
  <si>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</si>
  <si>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</si>
  <si>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</si>
  <si>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</si>
  <si>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</si>
  <si>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</si>
  <si>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</si>
  <si>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</si>
  <si>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</si>
  <si>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</si>
  <si>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</si>
  <si>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</si>
  <si>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</si>
  <si>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</si>
  <si>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</si>
  <si>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</si>
  <si>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</si>
  <si>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</si>
  <si>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</si>
  <si>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</si>
  <si>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</si>
  <si>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</si>
  <si>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</si>
  <si>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</si>
  <si>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0390</t>
  </si>
  <si>
    <t>Wpływy z opłaty uzdrowiskowej, pobieranej w gminach posiadających status gminy uzdrowiskowej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</si>
  <si>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</si>
  <si>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</si>
  <si>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</si>
  <si>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</si>
  <si>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</si>
  <si>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</si>
  <si>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0420</t>
  </si>
  <si>
    <t>Wpływy z opłaty komunikacyjnej</t>
  </si>
  <si>
    <t>0460</t>
  </si>
  <si>
    <t>Wpływy z opłaty eksploatacyjnej</t>
  </si>
  <si>
    <t>0480</t>
  </si>
  <si>
    <t>Wpływy z opłat za wydawanie zezwoleń na sprzedaż alkoholu</t>
  </si>
  <si>
    <t>0490</t>
  </si>
  <si>
    <t>Wpływy z innych lokalnych opłat pobieranych przez jednostki samorządu terytorialnego na podstawie odrębnych ustaw</t>
  </si>
  <si>
    <t>0590</t>
  </si>
  <si>
    <t>Wpływy z opłat za koncesje i licencje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</si>
  <si>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</si>
  <si>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</si>
  <si>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</si>
  <si>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</si>
  <si>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</si>
  <si>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</si>
  <si>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75622</t>
  </si>
  <si>
    <t>Udziały powiatów w podatkach stanowiących dochód budżetu państwa</t>
  </si>
  <si>
    <t>758</t>
  </si>
  <si>
    <t>Różne rozliczenia</t>
  </si>
  <si>
    <t>75801</t>
  </si>
  <si>
    <t>Część oświatowa subwencji ogólnej dla jednostek 
samorządu terytorialnego</t>
  </si>
  <si>
    <t>2920</t>
  </si>
  <si>
    <t xml:space="preserve">Subwencje ogólne z budżetu państwa </t>
  </si>
  <si>
    <t>75802</t>
  </si>
  <si>
    <t>Uzupełnienie subwencji ogólnej dla jednostek 
samorządu terytorialnego</t>
  </si>
  <si>
    <t>2790</t>
  </si>
  <si>
    <t>75814</t>
  </si>
  <si>
    <t>Różne rozliczenia finansowe</t>
  </si>
  <si>
    <t xml:space="preserve">Pozostałe odsetki </t>
  </si>
  <si>
    <t>Subwencje ogólne z budżetu państwa</t>
  </si>
  <si>
    <t>75832</t>
  </si>
  <si>
    <t>Część równoważąca subwencji ogólnej dla powiatów</t>
  </si>
  <si>
    <t>851</t>
  </si>
  <si>
    <t>Ochrona zdrowia</t>
  </si>
  <si>
    <t>85156</t>
  </si>
  <si>
    <t>Składki na ubezpieczenie zdrowotne oraz świadczenia dla osób nieobjętych obowiązkiem ubezpieczenia zdrowotnego</t>
  </si>
  <si>
    <t>852</t>
  </si>
  <si>
    <t>Pomoc społeczna</t>
  </si>
  <si>
    <t>85203</t>
  </si>
  <si>
    <t>Ośrodki wsparcia</t>
  </si>
  <si>
    <t>85204</t>
  </si>
  <si>
    <t>Rodziny zastępcze</t>
  </si>
  <si>
    <t>2320</t>
  </si>
  <si>
    <t>Dotacje celowe otrzymane z powiatu na zadania bieżące realizowane na podstawie porozumień (umów) między jednostkami samorządu terytorialnego</t>
  </si>
  <si>
    <t>85212</t>
  </si>
  <si>
    <t>Świadczenia rodzinne, zaliczka alimentacyjna oraz składki na ubezpieczenia emerytalne i rentowe z ubezpieczenia społecznego</t>
  </si>
  <si>
    <t>85213</t>
  </si>
  <si>
    <t>85214</t>
  </si>
  <si>
    <t>Zasiłki i pomoc w naturze oraz składki na ubezpieczenia emerytalne i rentowe</t>
  </si>
  <si>
    <t>Dotacje celowe otrzymane z budżetu państwa na realizację własnych zadań bieżących gmin (związków gmin)</t>
  </si>
  <si>
    <t>85219</t>
  </si>
  <si>
    <t>Ośrodki pomocy społecznej</t>
  </si>
  <si>
    <t>2030</t>
  </si>
  <si>
    <t>85228</t>
  </si>
  <si>
    <t>Usługi opiekuńcze i specjalistyczne usługi opiekuńcze</t>
  </si>
  <si>
    <t>85295</t>
  </si>
  <si>
    <t>853</t>
  </si>
  <si>
    <t>Pozostałe zadania w zakresie polityki społecznej</t>
  </si>
  <si>
    <t>85321</t>
  </si>
  <si>
    <t>Zespoły do spraw orzekania o niepełnosprawności</t>
  </si>
  <si>
    <t>900</t>
  </si>
  <si>
    <t>Gospodarka komunalna i ochrona środowiska</t>
  </si>
  <si>
    <t>90020</t>
  </si>
  <si>
    <t>Wpływy i wydatki związane z gromadzeniem środków z opłat produktowych</t>
  </si>
  <si>
    <t>0400</t>
  </si>
  <si>
    <t>Wpływy z opłaty produktowej</t>
  </si>
  <si>
    <t>90095</t>
  </si>
  <si>
    <t>DOCHODY GMINY</t>
  </si>
  <si>
    <t>DOCHODY POWIATU</t>
  </si>
  <si>
    <t>Ogółem dochody (gmina + powiat)</t>
  </si>
  <si>
    <t>Zakup usług pozostałych</t>
  </si>
  <si>
    <t>Otrzymane spadki, zapisy i darowizny w postaci pieniężnej</t>
  </si>
  <si>
    <t>Dotacje przekazane z funduszy celowych na realizację zadań bieżących  
dla jednostek sektora finansów publicznych</t>
  </si>
  <si>
    <t>Dotacje przekazane z funduszy celowych na realizację zadań bieżących  
dla jednostek niezaliczanych do sektora finansów publicznych</t>
  </si>
  <si>
    <t>Zakup materiałów i wyposażenia</t>
  </si>
  <si>
    <t>Zakup pomocy naukowych, dydaktycznych i książek</t>
  </si>
  <si>
    <t>Wydatki inwestycyjne funduszy celowych</t>
  </si>
  <si>
    <t>Wpływy z usług</t>
  </si>
  <si>
    <t>Przelewy redystrybucyjne</t>
  </si>
  <si>
    <t xml:space="preserve">Zakup usług remontowych </t>
  </si>
  <si>
    <t>Wynagrodzenia bezosobowe</t>
  </si>
  <si>
    <t>Różne opłaty i składki</t>
  </si>
  <si>
    <t>Wydatki na zakupy inwestycyjne funduszy celowych</t>
  </si>
  <si>
    <t>60041</t>
  </si>
  <si>
    <t>Infrastruktura portowa</t>
  </si>
  <si>
    <t>01008</t>
  </si>
  <si>
    <t>01030</t>
  </si>
  <si>
    <t>01095</t>
  </si>
  <si>
    <t>400</t>
  </si>
  <si>
    <t>40002</t>
  </si>
  <si>
    <t>500</t>
  </si>
  <si>
    <t>50095</t>
  </si>
  <si>
    <t>60004</t>
  </si>
  <si>
    <t>60016</t>
  </si>
  <si>
    <t>63095</t>
  </si>
  <si>
    <t>70001</t>
  </si>
  <si>
    <t>70095</t>
  </si>
  <si>
    <t>71004</t>
  </si>
  <si>
    <t>75022</t>
  </si>
  <si>
    <t>75095</t>
  </si>
  <si>
    <t>75412</t>
  </si>
  <si>
    <t>75495</t>
  </si>
  <si>
    <t>757</t>
  </si>
  <si>
    <t>75702</t>
  </si>
  <si>
    <t>75818</t>
  </si>
  <si>
    <t>801</t>
  </si>
  <si>
    <t>80101</t>
  </si>
  <si>
    <t>80103</t>
  </si>
  <si>
    <t>80104</t>
  </si>
  <si>
    <t>80110</t>
  </si>
  <si>
    <t>80113</t>
  </si>
  <si>
    <t>80146</t>
  </si>
  <si>
    <t>80195</t>
  </si>
  <si>
    <t>85149</t>
  </si>
  <si>
    <t>85152</t>
  </si>
  <si>
    <t>85153</t>
  </si>
  <si>
    <t>85154</t>
  </si>
  <si>
    <t>85195</t>
  </si>
  <si>
    <t>85202</t>
  </si>
  <si>
    <t>85215</t>
  </si>
  <si>
    <t>85305</t>
  </si>
  <si>
    <t>85395</t>
  </si>
  <si>
    <t>854</t>
  </si>
  <si>
    <t>85401</t>
  </si>
  <si>
    <t>85407</t>
  </si>
  <si>
    <t>85415</t>
  </si>
  <si>
    <t>85446</t>
  </si>
  <si>
    <t>85495</t>
  </si>
  <si>
    <t>90003</t>
  </si>
  <si>
    <t>90004</t>
  </si>
  <si>
    <t>90013</t>
  </si>
  <si>
    <t>90015</t>
  </si>
  <si>
    <t>921</t>
  </si>
  <si>
    <t>92109</t>
  </si>
  <si>
    <t>92116</t>
  </si>
  <si>
    <t>92118</t>
  </si>
  <si>
    <t>92195</t>
  </si>
  <si>
    <t>926</t>
  </si>
  <si>
    <t>92601</t>
  </si>
  <si>
    <t>92605</t>
  </si>
  <si>
    <t>60015</t>
  </si>
  <si>
    <t>75405</t>
  </si>
  <si>
    <t>80102</t>
  </si>
  <si>
    <t>80111</t>
  </si>
  <si>
    <t>80120</t>
  </si>
  <si>
    <t>80123</t>
  </si>
  <si>
    <t>80130</t>
  </si>
  <si>
    <t>80134</t>
  </si>
  <si>
    <t>80140</t>
  </si>
  <si>
    <t>85111</t>
  </si>
  <si>
    <t>85117</t>
  </si>
  <si>
    <t>85201</t>
  </si>
  <si>
    <t>85311</t>
  </si>
  <si>
    <t>85333</t>
  </si>
  <si>
    <t>85403</t>
  </si>
  <si>
    <t>85406</t>
  </si>
  <si>
    <t>85410</t>
  </si>
  <si>
    <t>85417</t>
  </si>
  <si>
    <t>85419</t>
  </si>
  <si>
    <t>90006</t>
  </si>
  <si>
    <t>razem wydatki gmina</t>
  </si>
  <si>
    <t>razem wydatki powiat</t>
  </si>
  <si>
    <t>Melioracje wodne</t>
  </si>
  <si>
    <t>Izby rolnicze</t>
  </si>
  <si>
    <t>Dostarczanie wody</t>
  </si>
  <si>
    <t>Handel</t>
  </si>
  <si>
    <t>Lokalny transport zbiorowy</t>
  </si>
  <si>
    <t>Drogi publiczne gminne</t>
  </si>
  <si>
    <t>Zakłady gospodarki mieszkaniowej</t>
  </si>
  <si>
    <t>Plany zagospodarowania przestrzennego</t>
  </si>
  <si>
    <t>Rady gmin (miast i miast na prawach powiatu)</t>
  </si>
  <si>
    <t>Ochotnicze straże pożarne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</si>
  <si>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</si>
  <si>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</si>
  <si>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</si>
  <si>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Rezerwy ogólne i celowe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</si>
  <si>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</si>
  <si>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</si>
  <si>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</si>
  <si>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</si>
  <si>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</si>
  <si>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 do szkół</t>
  </si>
  <si>
    <t>Programy polityki zdrowotnej</t>
  </si>
  <si>
    <t>Zapobieganie i zwalczanie AIDS</t>
  </si>
  <si>
    <t>Zwalczanie narkomanii</t>
  </si>
  <si>
    <t>Przeciwdziałanie alkoholizmowi</t>
  </si>
  <si>
    <t>Domy pomocy społecznej</t>
  </si>
  <si>
    <t>Dodatki mieszkaniowe</t>
  </si>
  <si>
    <t xml:space="preserve">Żłobki </t>
  </si>
  <si>
    <t>Edukacyjna opieka wychowawcza</t>
  </si>
  <si>
    <t>Świetlice szkolne</t>
  </si>
  <si>
    <t>Internaty i bursy szkolne</t>
  </si>
  <si>
    <t>Pomoc materialna dla uczniów</t>
  </si>
  <si>
    <t>Oczyszczanie miast i wsi</t>
  </si>
  <si>
    <t>Utrzymanie zieleni w miastach i gminach</t>
  </si>
  <si>
    <t>Schroniska dla zwierząt</t>
  </si>
  <si>
    <t>Oświetlenie ulic, placów i dróg</t>
  </si>
  <si>
    <t>Domy i ośrodki kultury, świetlice i kluby</t>
  </si>
  <si>
    <t>Biblioteki</t>
  </si>
  <si>
    <t>Muzea</t>
  </si>
  <si>
    <t>Kultura fizyczna i sport</t>
  </si>
  <si>
    <t>Obiekty sportowe</t>
  </si>
  <si>
    <t>Zadania w zakresie kultury fizycznej i sportu</t>
  </si>
  <si>
    <t xml:space="preserve">Drogi publiczne w miastach na prawach powiatu </t>
  </si>
  <si>
    <t>Komendy powiatowe Policji</t>
  </si>
  <si>
    <t>Gimnazja specjalne</t>
  </si>
  <si>
    <t>Licea ogólnokształcące</t>
  </si>
  <si>
    <t>Licea profilowane</t>
  </si>
  <si>
    <t>Szkoły zawodowe</t>
  </si>
  <si>
    <t>Szkoły zawodowe specjalne</t>
  </si>
  <si>
    <t>Centra kształcenia ustawicznego i praktycznego oraz ośrodki dokształcania zawodowego</t>
  </si>
  <si>
    <t>Szpitale ogólne</t>
  </si>
  <si>
    <t>Zakłady opiekuńczo-lecznicze i pielęgnacyjno-opiekuńcze</t>
  </si>
  <si>
    <t>Placówki opiekuńczo-wychowawcze</t>
  </si>
  <si>
    <t>85218</t>
  </si>
  <si>
    <t>Powiatowe centra pomocy rodzinie</t>
  </si>
  <si>
    <t>Rehabilitacja zawodowa i społeczna osób niepełnosprawnych</t>
  </si>
  <si>
    <t>Powiatowe urzędy pracy</t>
  </si>
  <si>
    <t>Specjalne ośrodki szkolno-wychowawcze</t>
  </si>
  <si>
    <t>Poradnie psychologiczno-pedagogiczne, w tym poradnie specjalistyczne</t>
  </si>
  <si>
    <t>Szkolne schroniska młodzieżowe</t>
  </si>
  <si>
    <t>Ośrodki rewalidacyjno-wychowawcze</t>
  </si>
  <si>
    <t>Ochrona gleby i wód podziemnych</t>
  </si>
  <si>
    <t>Urzędy naczelnych organów władzy państwowej, kontroli i ochrony prawa oraz sądownictwa</t>
  </si>
  <si>
    <t>Urzędy naczelnych organów władzy państwowej, kontroli i ochrony prawa</t>
  </si>
  <si>
    <t>Składki na ubezpieczenia zdrowotne oraz świadczenia dla osób nieobjętych obowiązkiem ubezpieczenia zdrowotnego</t>
  </si>
  <si>
    <t>Dokształcanie i doskonalenie nauczycieli</t>
  </si>
  <si>
    <t>Kultura i ochrona dziedzictwa narodowego</t>
  </si>
  <si>
    <t>Szkoły podstawowe specjalne</t>
  </si>
  <si>
    <t>Wytwarzanie i zaopatrywanie w energię elektryczną, gaz i wodę</t>
  </si>
  <si>
    <t>60011</t>
  </si>
  <si>
    <t>Drogi publiczne krajowe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</si>
  <si>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</si>
  <si>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</si>
  <si>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</si>
  <si>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</si>
  <si>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</si>
  <si>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</si>
  <si>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</si>
  <si>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</si>
  <si>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</si>
  <si>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</si>
  <si>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</si>
  <si>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Urząd Miasta</t>
  </si>
  <si>
    <t>Placówki wychowania pozaszkolnego</t>
  </si>
  <si>
    <t>Zakład Gospodarki 
Mieszkaniowej</t>
  </si>
  <si>
    <t>Ośrodek Sportu i Rekreacji    "Wyspiarz"</t>
  </si>
  <si>
    <t xml:space="preserve">Ogółem </t>
  </si>
  <si>
    <t>Miejski Dom Kultury</t>
  </si>
  <si>
    <t>Miejska Biblioteka Publiczna</t>
  </si>
  <si>
    <t>Samodzielny Publiczny Zakład Opieki Zdrowotnej 
Zakład Pielęgnacyjno-Opiekuńczy</t>
  </si>
  <si>
    <t>Gimnazjum Fundacji LOGOS</t>
  </si>
  <si>
    <t>Gimnazjum przy Liceum Ogólnokształcącym 
Społecznego Towarzystwa Szkoły Gimnazjalnej</t>
  </si>
  <si>
    <t>I Liceum Społeczne Fundacji LOGOS</t>
  </si>
  <si>
    <t>Społeczne Liceum Ogólnokształcące Społecznego 
Towarzystwa Szkoły Gimnazjalnej</t>
  </si>
  <si>
    <t>Katolickie Liceum Ogólnokształcące 
im. św. Jadwigi Królowej</t>
  </si>
  <si>
    <t xml:space="preserve">Zasadnicza Szkoła Zawodowa Wojewódzkiego 
Zakładu Doskonalenia Zawodowego </t>
  </si>
  <si>
    <t>Technikum Elektryczne Wojewódzkiego Zakładu 
Doskonalenia Zawodowego</t>
  </si>
  <si>
    <t>Prowadzenie edukacji profilaktycznej z zakresu 
AIDS i HIV adresowanych do uczniów placówek oświatowych</t>
  </si>
  <si>
    <t>Zadania w zakresie pomocy społecznej</t>
  </si>
  <si>
    <t>Zadania w zakresie oświaty i wychowania</t>
  </si>
  <si>
    <t>Utrzymanie dzieci w placówkach opiekuńczo
-wychowawczych</t>
  </si>
  <si>
    <t>Zadania w zakresie przeciwdziałania alkoholizmowi</t>
  </si>
  <si>
    <t xml:space="preserve">Opieka nad upośledzonymi umysłowo </t>
  </si>
  <si>
    <t>Opieka paliatywna nad dziećmi w mieście 
Świnoujściu</t>
  </si>
  <si>
    <t>Sołectwo Karsibór</t>
  </si>
  <si>
    <t>Osiedle Warszów</t>
  </si>
  <si>
    <t>Osiedle Przytór-Łunowo</t>
  </si>
  <si>
    <t>Kwota dotacji bieżącej</t>
  </si>
  <si>
    <t>Remont obiektów Miejskiego Domu Kultury</t>
  </si>
  <si>
    <t>Remont obiektu Muzeum Rybołówstwa Morskiego</t>
  </si>
  <si>
    <t>Prace remontowe przy zabytkach</t>
  </si>
  <si>
    <t>Kwota dotacji majątkowej</t>
  </si>
  <si>
    <t>Zakup sprzętu medycznego przez SPZOZ Zakład Pielęgnacyjno-Opiekuńczy</t>
  </si>
  <si>
    <t>Pożyczki na finansowanie zadań realizowanych z udziałem środków pochodzących z budżetu UE</t>
  </si>
  <si>
    <t>Spłaty pożyczek otrzymanych na finansowanie zadań realizowanych z udziałem środków pochodzących z budżetu UE</t>
  </si>
  <si>
    <t>Planowane płatności w latach w ramach projektu</t>
  </si>
  <si>
    <t>Źródła finansowania w odniesieniu do kosztów kwalifikowa-
nych</t>
  </si>
  <si>
    <t>2440</t>
  </si>
  <si>
    <t>2450</t>
  </si>
  <si>
    <t>4210</t>
  </si>
  <si>
    <t>4300</t>
  </si>
  <si>
    <t>Dział 900 Rozdział 90011</t>
  </si>
  <si>
    <t>Dział 710, Rozdział 71030</t>
  </si>
  <si>
    <t>0960</t>
  </si>
  <si>
    <t>RAZEM</t>
  </si>
  <si>
    <t>wydatki bieżące</t>
  </si>
  <si>
    <t>dotacje
z budżetu</t>
  </si>
  <si>
    <t>OGÓŁEM</t>
  </si>
  <si>
    <t>6298</t>
  </si>
  <si>
    <t>Zakup usług obejmujących wykonanie ekspertyz, analiz i opinii</t>
  </si>
  <si>
    <t>Muzeum Rybołówstwa Morskiego</t>
  </si>
  <si>
    <t>Zadania w zakresie administracji publicznej</t>
  </si>
  <si>
    <t>Remont obiektów sportowych zarządzanych przez OSiR Wyspiarz</t>
  </si>
  <si>
    <t>Remont i adaptacja pomieszczeń zarządzanych przez Zakład Gospodarki Mieszkaniowej</t>
  </si>
  <si>
    <t>§ 952</t>
  </si>
  <si>
    <t>§ 903</t>
  </si>
  <si>
    <t>§ 951</t>
  </si>
  <si>
    <t>§ 944</t>
  </si>
  <si>
    <t>§ 957</t>
  </si>
  <si>
    <t>§ 931</t>
  </si>
  <si>
    <t>§ 955</t>
  </si>
  <si>
    <t>§ 992</t>
  </si>
  <si>
    <t>§ 963</t>
  </si>
  <si>
    <t>§ 991</t>
  </si>
  <si>
    <t>§ 994</t>
  </si>
  <si>
    <t>§ 982</t>
  </si>
  <si>
    <t>§ 995</t>
  </si>
  <si>
    <t>Łączne nakłady finansowe
(w zł)</t>
  </si>
  <si>
    <t>2008-2010</t>
  </si>
  <si>
    <t>dopłata do utrzymania 1m2 powierzchni użytkowej komunalnych lokali mieszkalnych</t>
  </si>
  <si>
    <t>Dochody budżetu miasta na 2009 r.</t>
  </si>
  <si>
    <t>Wydatki budżetu miasta na  2009 r.</t>
  </si>
  <si>
    <t>Przychody i rozchody budżetu w 2009 r.</t>
  </si>
  <si>
    <t>Limity wydatków miasta na wieloletnie programy inwestycyjne w latach 2009 i kolejnych</t>
  </si>
  <si>
    <t xml:space="preserve"> oraz rachunków dochodów własnych jednostek budżetowych na 2009 r.</t>
  </si>
  <si>
    <t>Ochrony Środowiska i Gospodarki Wodnej w 2009 r.</t>
  </si>
  <si>
    <t>Gospodarki Zasobem Geodezyjnym i Kartograficznym w 2009 r.</t>
  </si>
  <si>
    <t>Dotacje podmiotowe w 2009 r.</t>
  </si>
  <si>
    <t>Dotacje przedmiotowe w 2009 r.</t>
  </si>
  <si>
    <t>Dotacje celowe na zadania własne miasta realizowane przez podmioty należące do sektora finansów publicznych w 2009 r.</t>
  </si>
  <si>
    <t>Dotacje celowe na zadania własne miasta realizowane przez podmioty nienależące do sektora finansów publicznych w 2009 r.</t>
  </si>
  <si>
    <t>Dochody i wydatki związane z realizacją zadań z zakresu administracji rządowej i innych zadań zleconych odrębnymi ustawami w 2009 r.</t>
  </si>
  <si>
    <t>Dochody i wydatki związane z realizacją zadań z zakresu administracji rządowej wykonywanych na podstawie porozumień z organami administracji rządowej w 2009 r.</t>
  </si>
  <si>
    <t>Dochody i wydatki związane z realizacją zadań wykonywanych na podstawie porozumień (umów) między jednostkami samorządu terytorialnego w 2009 r.</t>
  </si>
  <si>
    <t>Wydatki jednostek pomocniczych w 2009 r.</t>
  </si>
  <si>
    <t>razem gmina</t>
  </si>
  <si>
    <t>razem powiat</t>
  </si>
  <si>
    <t>Remont obiektu Miejskiej Bibloteki Publicznej</t>
  </si>
  <si>
    <t>Przedszkola Miejskie</t>
  </si>
  <si>
    <t>2011 r.</t>
  </si>
  <si>
    <t>po roku 2011</t>
  </si>
  <si>
    <t>Program Operacyjny 
Kapitał Ludzki</t>
  </si>
  <si>
    <t>Doradca zawodowy i pośrednik pracy w standardach unijnych</t>
  </si>
  <si>
    <r>
      <t xml:space="preserve">Limity wydatków miasta na projekty planowane do realizacji w ramach poszczególnych programów operacyjnych
 w roku 2009 i kolejnych
</t>
    </r>
    <r>
      <rPr>
        <b/>
        <sz val="12"/>
        <rFont val="Arial CE"/>
        <family val="0"/>
      </rPr>
      <t>(zawarte w budżecie Miasta, oraz środki Funduszu Pracy jako inne środki)</t>
    </r>
  </si>
  <si>
    <t>Rozliczenia
z budżetem
z tytułu wpłat nadwyżek środków za 2008 r.</t>
  </si>
  <si>
    <t>Punkt Przedszkolny "Tygrysek"</t>
  </si>
  <si>
    <t>Liceum Ogólnokształcące "Hossa"  Centrum Edukacji i Wspierania Przedsiębiorczości Szczecińskiej Fundacji "Talent-Promocja-Postęp"</t>
  </si>
  <si>
    <t>I Liceum Ogólnokształcące Towarzystwa Oświatowo-Promocyjnego "Business-Pro"</t>
  </si>
  <si>
    <t>Liceum Ogólnokształcące 
im. św. Jadwigi Królowej dla Dorosłych</t>
  </si>
  <si>
    <t>Policealna Szkoła Biznesu Towarzystwa 
Oświatowo-Promocyjnego ”Business-Pro”</t>
  </si>
  <si>
    <t>6290</t>
  </si>
  <si>
    <t>Dotacje rozwojowe oraz środki na finansowanie Wspólnej Polityki Rolnej</t>
  </si>
  <si>
    <t>75406</t>
  </si>
  <si>
    <t>Straż Graniczna</t>
  </si>
  <si>
    <t>85404</t>
  </si>
  <si>
    <t>Wczesne wspomaganie rozwoju dziecka</t>
  </si>
  <si>
    <t>75831</t>
  </si>
  <si>
    <t>Część równoważąca subwencji ogólnej dla gmin</t>
  </si>
  <si>
    <t>Samodzielny Publiczny Zakład Opieki Zdrowotnej Szpital Miejski im. Jana Garduły</t>
  </si>
  <si>
    <t>Podniesienie standardu i poprawa bezpieczeństwa transportu w ciągu drogi krajowej nr 93 na wyspie Uznam w Świnoujściu</t>
  </si>
  <si>
    <r>
      <t xml:space="preserve">Budowa transgranicznego połączenia Świnoujście - Kamminke na wyspie Uznam 
</t>
    </r>
    <r>
      <rPr>
        <i/>
        <sz val="10"/>
        <rFont val="Arial CE"/>
        <family val="2"/>
      </rPr>
      <t>(Budowa ciągu pieszo-rewerowego wzdłuż ulicy Krzywej)</t>
    </r>
  </si>
  <si>
    <t>Przebudowa ul. Słowackiego</t>
  </si>
  <si>
    <t>Przebudowa centralnego układu komunikacyjnego śródmieścia w Świnoujściu</t>
  </si>
  <si>
    <t>środki pochodzące
z innych  źródeł</t>
  </si>
  <si>
    <t>Budowa ciągu pieszo-rowerowego przy ul. 1 Maja w Karsiborzu</t>
  </si>
  <si>
    <t>Przebudowa ulicy Wojska Polskiego w ramach projektu -Transgraniczne połączenie pomiędzy Świnoujściem i gminą Heringsdorf</t>
  </si>
  <si>
    <t>Przebudowa ulicy H. Kołłątaja w Świnoujściu</t>
  </si>
  <si>
    <t>Wzrost atrakcyjności turystyczno-uzdrowiskowej miasta - przebudowa promenady w Dzielnicy Nadmorskiej w Świnoujściu</t>
  </si>
  <si>
    <t>Przebudowa ulicy Piastowskiej</t>
  </si>
  <si>
    <t>Przebudowa ulicy Kochanowskiego</t>
  </si>
  <si>
    <t>Przebudowa ulicy Pogodnej</t>
  </si>
  <si>
    <t>Przebudowa ulicy Gdyńskiej</t>
  </si>
  <si>
    <t>Przebudowa ulicy Monte Cassino</t>
  </si>
  <si>
    <t>Zagospodarowanie Basenu Północnego na port jachtowy</t>
  </si>
  <si>
    <t>Przebudowa budynku przy przeprawie promowej na cele informacji turystycznej (CIT)</t>
  </si>
  <si>
    <t>Przygotowanie terenów inwestycyjnych w Świnoujściu</t>
  </si>
  <si>
    <t>Budowa lokali socjalnych</t>
  </si>
  <si>
    <t>Rozbudowa cmentarza komunalnego w Świnoujściu</t>
  </si>
  <si>
    <t>Modernizacja budynku CAM nr 5 (elewacja +dach)</t>
  </si>
  <si>
    <t>75495  85154</t>
  </si>
  <si>
    <t>Rewaloryzacja zabytkowego Parku Zdrojowego 
(etap  II)</t>
  </si>
  <si>
    <t>z tego finansowanie:</t>
  </si>
  <si>
    <t>Ogółem wydatki na inwestycje
 w 2009 r.</t>
  </si>
  <si>
    <t>Gminny Fundusz Ochrony Środowiska 
i Gospodarki Wodnej</t>
  </si>
  <si>
    <t>Budowa transgranicznego połączenia Świnoujście - Kamminke na wyspie Uznam 
(Budowa ciągu pieszo-rewerowego wzdłuż ulicy Krzywej)</t>
  </si>
  <si>
    <t>75495
85154</t>
  </si>
  <si>
    <t>po roku 
2011</t>
  </si>
  <si>
    <t>Podniesienie standardu
 i poprawa bezpieczeństwa transportu w ciągu drogi krajowej nr 93 na wyspie Uznam w Świnoujściu</t>
  </si>
  <si>
    <t>Przebudowa lub budowa mostu nad Starą Świną łączącego wyspy Karsibór
 i Wolin</t>
  </si>
  <si>
    <t>Sprawny i przyjazny środowisku dostęp do infrastruktury portu 
w Świnoujściu</t>
  </si>
  <si>
    <t>Przebudowa ulic St. Moniuszki i B. Prusa wraz
z budową ścieżki rowerowej</t>
  </si>
  <si>
    <t>Budowa ciągu pieszo-rowerowego przy ul. 1 Maja 
w Karsiborzu</t>
  </si>
  <si>
    <t>Przebudowa ulicy Wojska Polskiego w ramach projektu -Transgraniczne połączenie pomiędzy Świnoujściem 
i gminą Heringsdorf</t>
  </si>
  <si>
    <t>Modernizacja budynku CAM nr 5 (elewacja + dach)</t>
  </si>
  <si>
    <t>Budowa Centrum Kultury 
i Sportu przy ul. Matejki</t>
  </si>
  <si>
    <t>Węzeł systemu komunikacji mieszanej Park &amp; Ride przy stacji UBB Świnoujście-Centrum</t>
  </si>
  <si>
    <t>754
851</t>
  </si>
  <si>
    <t>Plan 
na 2009 r.</t>
  </si>
  <si>
    <t>Finansowanie programów i projektów ze środków funduszy strukturalnych, Funduszu Spójności, Europejskiego Funduszu Rybackiego oraz funduszy unijnych finansujących Wspólną Politykę Rolną</t>
  </si>
  <si>
    <t>Składki na ubezpieczenie zdrowotne opłacane za osoby pobierające niektóre świadczenia z pomocy społecznej, niektóre świadczenia rodzinne oraz za osoby uczestniczące w zajęciach w centrum integracji społecznej</t>
  </si>
  <si>
    <t>Środki na utrzymanie rzecznych przepraw promowych oraz na remonty, utrzymanie, ochronę i zarządzanie drogami krajowymi i wojewódzkimi w granicach miast na prawach powiatu</t>
  </si>
  <si>
    <t>Plan
na 2009 r.
(5+11)</t>
  </si>
  <si>
    <t>Kwota
2009 r.</t>
  </si>
  <si>
    <t>Plan na 2009 r.</t>
  </si>
  <si>
    <t>Dotacje przekazane  z funduszy celowych na realizację zadań bieżących dla jednostek sektora finansów publicznych</t>
  </si>
  <si>
    <t>Dotacje przekazane  z funduszy celowych na realizację zadań bieżących dla jednostek niezaliczanych do sektora finansów publicznych</t>
  </si>
  <si>
    <t>Gimnazjum dla Dorosłych Wojewódzkiego Zakładu Doskonalenia Zawodowego</t>
  </si>
  <si>
    <t>Niepubliczne Dwuletnie Uzupełniające Liceum Ogólnokształcące dla Dorosłych</t>
  </si>
  <si>
    <t>Samodzielny Publiczny Zakład Opieki Zdrowotnej 
Szpital Miejski im. Jana Garduły</t>
  </si>
  <si>
    <t xml:space="preserve">Realizacja działań z zakresu zapobiegania narkomanii </t>
  </si>
  <si>
    <t>Remont obiektów przedszkolnych</t>
  </si>
  <si>
    <t>Budowa transgranicznego ciągu pieszego na wydmach wraz z sanitariatami i natryskami plażowymi</t>
  </si>
  <si>
    <t>Zadania inwestycyjne realizowane przez Wydział Inżyniera Miasta</t>
  </si>
  <si>
    <t>Pozostałe wydatki majątkowe</t>
  </si>
  <si>
    <t>Zadania inwestycyjne i finansowane z budżetu miasta i budżetu GFOŚiGW oraz pozostałe wydatki majątkowe zaplanowane na 2009 r.</t>
  </si>
  <si>
    <t>Urzędy gmin (miasta i miast na prawach powiatu)</t>
  </si>
  <si>
    <t>Żłobki</t>
  </si>
  <si>
    <t>Doracje celowe na zadania zlecone miasta realizowane przez podmioty należące do sektora finansów publicznych w 2009 r.</t>
  </si>
  <si>
    <t>Społeczna Szkoła Podstawowa 
Społecznego Towarzystwa Szkoły Gimnazjalnej</t>
  </si>
  <si>
    <t>dochody 
własne 
oraz przychody z obligacji</t>
  </si>
  <si>
    <t>Przebudowa chodników i jezdni w drogach powiatowych</t>
  </si>
  <si>
    <t>Przebudowa chodników i jezdni w drogach gminnych</t>
  </si>
  <si>
    <t>Budowa archiwum miejskiego, w ramach przebudowy budynku przy ul. Monte Cassino 22</t>
  </si>
  <si>
    <t>Placówka opiekuńczo - wychowawcza o charakterze interwencyjnym (adaptacja pomieszczeń w budynku SOSW przy ul. Piastowskiej 55)</t>
  </si>
  <si>
    <t xml:space="preserve">Oświetlenie ulic </t>
  </si>
  <si>
    <t xml:space="preserve">Rozbudowa i modernizacja sieci deszczowych </t>
  </si>
  <si>
    <t xml:space="preserve">Melioracja terenów zurbanizowanych na obszarze Miasta Świnoujścia </t>
  </si>
  <si>
    <t>2004-2011</t>
  </si>
  <si>
    <t>2007-2010</t>
  </si>
  <si>
    <t>2007-2009</t>
  </si>
  <si>
    <t>2009-2013</t>
  </si>
  <si>
    <t>2008-2013</t>
  </si>
  <si>
    <t>2007-2015</t>
  </si>
  <si>
    <t>2005-2009</t>
  </si>
  <si>
    <t>2004-2009</t>
  </si>
  <si>
    <t>2007-2012</t>
  </si>
  <si>
    <t>2008-2011</t>
  </si>
  <si>
    <t>2008-2009</t>
  </si>
  <si>
    <t>2009-2010</t>
  </si>
  <si>
    <t>Przebudowa chodników 
i jezdni w drogach powiatowych</t>
  </si>
  <si>
    <t>2009-2011</t>
  </si>
  <si>
    <t>2005-2014</t>
  </si>
  <si>
    <t>2007-2013</t>
  </si>
  <si>
    <t>2006-2009</t>
  </si>
  <si>
    <t>2009-2012</t>
  </si>
  <si>
    <t>Przebudowa chodników 
i jezdni w drogach gminnych</t>
  </si>
  <si>
    <t>2004-2012</t>
  </si>
  <si>
    <t>2001-2011</t>
  </si>
  <si>
    <t>2009-2014</t>
  </si>
  <si>
    <t>2006-2013</t>
  </si>
  <si>
    <t>2008-2015</t>
  </si>
  <si>
    <t>2005-2011</t>
  </si>
  <si>
    <t>2008-2012</t>
  </si>
  <si>
    <t>Melioracja terenów zurbanizowanych na obszarze Miasta Świnoujścia</t>
  </si>
  <si>
    <t>Przebudowa ul. Grunwaldzkiej w Świnoujściu</t>
  </si>
  <si>
    <t>2006-2011</t>
  </si>
  <si>
    <t>60011
60015</t>
  </si>
  <si>
    <t>Budowa stałego połączenia (tunel) pomiędzy wyspami Uznam i Wolin w Świnoujściu</t>
  </si>
  <si>
    <t>Budowa ulicy Cieszkowskiego i Orzeszkowej</t>
  </si>
  <si>
    <t>2006-2010</t>
  </si>
  <si>
    <t>Budowa ulic na Os. Rycerska</t>
  </si>
  <si>
    <t>Przebudowa ulicy Sosnowej</t>
  </si>
  <si>
    <t>Przebudowa ulicy Ku Morzu</t>
  </si>
  <si>
    <t>2011-2015</t>
  </si>
  <si>
    <t>Budowa parkingu i przejścia na plażę przy ul. Ku Morzu</t>
  </si>
  <si>
    <t>2012-2013</t>
  </si>
  <si>
    <t>Budowa ścieżki rowerowej wzdłuż ulicy Barlickiego</t>
  </si>
  <si>
    <t>60.</t>
  </si>
  <si>
    <t>Przebudowa ulic: Małopolskiej, Kaszubskiej i Mazurskiej</t>
  </si>
  <si>
    <t>Nie może być ujemna!</t>
  </si>
  <si>
    <t>Fundusze celowe</t>
  </si>
  <si>
    <t>Fundusze Celowe</t>
  </si>
  <si>
    <t>Budowa targowiska 
miejskiego przy ul. Bałtyckiej w Świnoujściu</t>
  </si>
  <si>
    <t>2010-2011</t>
  </si>
  <si>
    <t>System gospodarki odpadami</t>
  </si>
  <si>
    <t>61.</t>
  </si>
  <si>
    <t>62.</t>
  </si>
  <si>
    <t>Molo</t>
  </si>
  <si>
    <t>jst</t>
  </si>
  <si>
    <t>fundusz</t>
  </si>
  <si>
    <t>inne</t>
  </si>
  <si>
    <t>Malczewskiego</t>
  </si>
  <si>
    <t>ZWIK</t>
  </si>
  <si>
    <t>Komunikacja</t>
  </si>
  <si>
    <t>WPI</t>
  </si>
  <si>
    <t xml:space="preserve">Środki JST </t>
  </si>
  <si>
    <t>Inne środki (pozyskane ze źródeł zewnętrznych)</t>
  </si>
  <si>
    <t>Środki funduszy celowych</t>
  </si>
  <si>
    <t>Źródła finansowania wydatków</t>
  </si>
  <si>
    <t xml:space="preserve">dopłaty do 1 godziny funkcjonowania: 
- hali sportowej
- pływalni
- boiska ze sztuczną nawierzchnią
- boiska trawiastego
- hali tenisowej
</t>
  </si>
  <si>
    <t>Realizacja działań z zakresu  zapobiegania narkomanii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</si>
</sst>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  <numFmt numFmtId="173" formatCode="#,##0\ _z_ł"/>
    <numFmt numFmtId="174" formatCode="#,##0_ ;\-#,##0\ "/>
    <numFmt numFmtId="175" formatCode="#,##0\ &quot;zł&quot;"/>
    <numFmt numFmtId="176" formatCode="0.E+00"/>
    <numFmt numFmtId="177" formatCode="00\-000"/>
    <numFmt numFmtId="178" formatCode="0.0000"/>
    <numFmt numFmtId="179" formatCode="0.000"/>
    <numFmt numFmtId="180" formatCode="#,##0.0\ _z_ł"/>
    <numFmt numFmtId="181" formatCode="0.00000"/>
    <numFmt numFmtId="182" formatCode="_-* #,##0\ _z_ł_-;\-* #,##0\ _z_ł_-;_-* &quot;-&quot;??\ _z_ł_-;_-@_-"/>
    <numFmt numFmtId="183" formatCode="#,##0.00_ ;\-#,##0.00\ "/>
    <numFmt numFmtId="184" formatCode="#,##0.00\ &quot;zł&quot;"/>
    <numFmt numFmtId="185" formatCode="#,##0.0000"/>
    <numFmt numFmtId="186" formatCode="#,##0.000_ ;\-#,##0.000\ "/>
    <numFmt numFmtId="187" formatCode="#,##0.0_ ;\-#,##0.0\ "/>
    <numFmt numFmtId="188" formatCode="#,##0.0000_ ;\-#,##0.0000\ "/>
    <numFmt numFmtId="189" formatCode="_-* #,##0.000\ _z_ł_-;\-* #,##0.000\ _z_ł_-;_-* &quot;-&quot;??\ _z_ł_-;_-@_-"/>
    <numFmt numFmtId="190" formatCode="_-* #,##0.0000\ _z_ł_-;\-* #,##0.0000\ _z_ł_-;_-* &quot;-&quot;??\ _z_ł_-;_-@_-"/>
    <numFmt numFmtId="191" formatCode="_-* #,##0.00000\ _z_ł_-;\-* #,##0.00000\ _z_ł_-;_-* &quot;-&quot;??\ _z_ł_-;_-@_-"/>
    <numFmt numFmtId="192" formatCode="_-* #,##0.0\ _z_ł_-;\-* #,##0.0\ _z_ł_-;_-* &quot;-&quot;??\ _z_ł_-;_-@_-"/>
    <numFmt numFmtId="193" formatCode="_-* #,##0.000\ &quot;zł&quot;_-;\-* #,##0.000\ &quot;zł&quot;_-;_-* &quot;-&quot;??\ &quot;zł&quot;_-;_-@_-"/>
    <numFmt numFmtId="194" formatCode="_-* #,##0.0\ &quot;zł&quot;_-;\-* #,##0.0\ &quot;zł&quot;_-;_-* &quot;-&quot;??\ &quot;zł&quot;_-;_-@_-"/>
    <numFmt numFmtId="195" formatCode="_-* #,##0\ &quot;zł&quot;_-;\-* #,##0\ &quot;zł&quot;_-;_-* &quot;-&quot;??\ &quot;zł&quot;_-;_-@_-"/>
    <numFmt numFmtId="196" formatCode="_-* #,##0.000\ _z_ł_-;\-* #,##0.000\ _z_ł_-;_-* &quot;-&quot;???\ _z_ł_-;_-@_-"/>
    <numFmt numFmtId="197" formatCode="_-* #,##0.0\ _z_ł_-;\-* #,##0.0\ _z_ł_-;_-* &quot;-&quot;?\ _z_ł_-;_-@_-"/>
    <numFmt numFmtId="198" formatCode="0.000000"/>
    <numFmt numFmtId="199" formatCode="0.00000000"/>
    <numFmt numFmtId="200" formatCode="0.0000000"/>
    <numFmt numFmtId="201" formatCode="0.000000000"/>
    <numFmt numFmtId="202" formatCode="0.0000000000"/>
    <numFmt numFmtId="203" formatCode="0.00000000000"/>
    <numFmt numFmtId="204" formatCode="0.000000000000"/>
    <numFmt numFmtId="205" formatCode="#,##0.00\ _z_ł"/>
    <numFmt numFmtId="206" formatCode="0.0%"/>
  </numFmts>
  <fonts count="54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18"/>
      <name val="Arial CE"/>
      <family val="0"/>
    </font>
    <font>
      <sz val="10"/>
      <color indexed="18"/>
      <name val="Arial"/>
      <family val="2"/>
    </font>
    <font>
      <i/>
      <sz val="10"/>
      <color indexed="18"/>
      <name val="Arial"/>
      <family val="2"/>
    </font>
    <font>
      <i/>
      <sz val="10"/>
      <color indexed="18"/>
      <name val="Arial CE"/>
      <family val="0"/>
    </font>
    <font>
      <b/>
      <sz val="10"/>
      <color indexed="18"/>
      <name val="Arial CE"/>
      <family val="2"/>
    </font>
    <font>
      <sz val="12"/>
      <color indexed="18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i/>
      <sz val="10"/>
      <color indexed="10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sz val="10"/>
      <name val="Arial"/>
      <family val="2"/>
    </font>
    <font>
      <sz val="10"/>
      <name val="Arial "/>
      <family val="0"/>
    </font>
    <font>
      <b/>
      <sz val="8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sz val="13"/>
      <name val="Arial CE"/>
      <family val="2"/>
    </font>
    <font>
      <b/>
      <sz val="10"/>
      <color indexed="10"/>
      <name val="Arial CE"/>
      <family val="2"/>
    </font>
    <font>
      <sz val="5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 CE"/>
      <family val="2"/>
    </font>
    <font>
      <sz val="5"/>
      <name val="Arial"/>
      <family val="2"/>
    </font>
    <font>
      <b/>
      <sz val="9"/>
      <name val="Arial CE"/>
      <family val="2"/>
    </font>
    <font>
      <i/>
      <sz val="8"/>
      <name val="Arial CE"/>
      <family val="0"/>
    </font>
    <font>
      <b/>
      <i/>
      <sz val="10"/>
      <color indexed="10"/>
      <name val="Arial CE"/>
      <family val="0"/>
    </font>
    <font>
      <b/>
      <sz val="11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6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" borderId="0" applyNumberFormat="0" applyBorder="0" applyAlignment="0" applyProtection="0"/>
  </cellStyleXfs>
  <cellXfs count="509">
    <xf numFmtId="0" fontId="0" fillId="0" borderId="0" xfId="0" applyAlignment="1">
      <alignment/>
    </xf>
    <xf numFmtId="0" fontId="4" fillId="0" borderId="0" xfId="0" applyFont="1" applyAlignment="1" applyProtection="1">
      <alignment vertical="top"/>
      <protection hidden="1"/>
    </xf>
    <xf numFmtId="3" fontId="4" fillId="0" borderId="0" xfId="0" applyNumberFormat="1" applyFont="1" applyAlignment="1" applyProtection="1">
      <alignment vertical="top"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top"/>
    </xf>
    <xf numFmtId="0" fontId="11" fillId="20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4" fillId="20" borderId="10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14" fillId="0" borderId="13" xfId="0" applyNumberFormat="1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/>
    </xf>
    <xf numFmtId="3" fontId="14" fillId="0" borderId="13" xfId="0" applyNumberFormat="1" applyFont="1" applyBorder="1" applyAlignment="1">
      <alignment horizontal="right" vertical="center"/>
    </xf>
    <xf numFmtId="3" fontId="14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49" fontId="14" fillId="0" borderId="12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vertical="center"/>
    </xf>
    <xf numFmtId="49" fontId="14" fillId="0" borderId="17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vertical="center"/>
    </xf>
    <xf numFmtId="0" fontId="14" fillId="2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7" fillId="0" borderId="0" xfId="0" applyFont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Alignment="1">
      <alignment vertical="top"/>
    </xf>
    <xf numFmtId="3" fontId="18" fillId="0" borderId="0" xfId="0" applyNumberFormat="1" applyFont="1" applyFill="1" applyBorder="1" applyAlignment="1">
      <alignment vertical="top"/>
    </xf>
    <xf numFmtId="0" fontId="18" fillId="0" borderId="0" xfId="0" applyFont="1" applyAlignment="1">
      <alignment vertical="top" wrapText="1"/>
    </xf>
    <xf numFmtId="3" fontId="14" fillId="0" borderId="11" xfId="0" applyNumberFormat="1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 horizontal="left"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0" fillId="0" borderId="21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3" fontId="0" fillId="0" borderId="21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3" fontId="14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3" fontId="14" fillId="0" borderId="23" xfId="0" applyNumberFormat="1" applyFont="1" applyFill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4" fillId="0" borderId="10" xfId="0" applyFont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3" fontId="1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5" fillId="0" borderId="12" xfId="0" applyFont="1" applyBorder="1" applyAlignment="1">
      <alignment horizontal="left" vertical="center"/>
    </xf>
    <xf numFmtId="3" fontId="14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49" fontId="15" fillId="0" borderId="12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3" fontId="1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/>
    </xf>
    <xf numFmtId="3" fontId="15" fillId="0" borderId="21" xfId="0" applyNumberFormat="1" applyFont="1" applyBorder="1" applyAlignment="1">
      <alignment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/>
    </xf>
    <xf numFmtId="3" fontId="15" fillId="0" borderId="21" xfId="0" applyNumberFormat="1" applyFont="1" applyBorder="1" applyAlignment="1">
      <alignment vertical="center"/>
    </xf>
    <xf numFmtId="0" fontId="14" fillId="20" borderId="24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3" fontId="14" fillId="0" borderId="21" xfId="0" applyNumberFormat="1" applyFont="1" applyBorder="1" applyAlignment="1">
      <alignment horizontal="center" vertical="center"/>
    </xf>
    <xf numFmtId="3" fontId="14" fillId="0" borderId="21" xfId="0" applyNumberFormat="1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vertical="center" wrapText="1"/>
    </xf>
    <xf numFmtId="3" fontId="14" fillId="0" borderId="18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21" xfId="0" applyFont="1" applyBorder="1" applyAlignment="1">
      <alignment horizontal="left" vertical="center" indent="2"/>
    </xf>
    <xf numFmtId="3" fontId="0" fillId="0" borderId="20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0" fillId="0" borderId="12" xfId="0" applyFont="1" applyBorder="1" applyAlignment="1">
      <alignment horizontal="left" vertical="center" indent="2"/>
    </xf>
    <xf numFmtId="3" fontId="0" fillId="0" borderId="12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horizontal="center" vertical="center"/>
    </xf>
    <xf numFmtId="0" fontId="14" fillId="2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 indent="2"/>
    </xf>
    <xf numFmtId="0" fontId="13" fillId="0" borderId="0" xfId="0" applyFont="1" applyAlignment="1">
      <alignment vertical="center"/>
    </xf>
    <xf numFmtId="3" fontId="1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 wrapText="1"/>
    </xf>
    <xf numFmtId="0" fontId="14" fillId="0" borderId="26" xfId="0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 indent="2"/>
    </xf>
    <xf numFmtId="0" fontId="0" fillId="0" borderId="18" xfId="0" applyFont="1" applyBorder="1" applyAlignment="1">
      <alignment horizontal="left" vertical="center" wrapText="1" indent="2"/>
    </xf>
    <xf numFmtId="0" fontId="0" fillId="0" borderId="17" xfId="0" applyFont="1" applyBorder="1" applyAlignment="1">
      <alignment horizontal="left" vertical="center" indent="2"/>
    </xf>
    <xf numFmtId="0" fontId="0" fillId="0" borderId="17" xfId="0" applyFont="1" applyBorder="1" applyAlignment="1">
      <alignment horizontal="left" vertical="center" wrapText="1" indent="2"/>
    </xf>
    <xf numFmtId="0" fontId="0" fillId="0" borderId="15" xfId="0" applyFont="1" applyBorder="1" applyAlignment="1">
      <alignment horizontal="left" vertical="center" indent="2"/>
    </xf>
    <xf numFmtId="3" fontId="0" fillId="0" borderId="1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10" fillId="0" borderId="0" xfId="0" applyFont="1" applyAlignment="1" applyProtection="1">
      <alignment horizontal="center"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top"/>
      <protection hidden="1"/>
    </xf>
    <xf numFmtId="0" fontId="14" fillId="20" borderId="10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top"/>
      <protection hidden="1"/>
    </xf>
    <xf numFmtId="0" fontId="13" fillId="0" borderId="14" xfId="0" applyFont="1" applyBorder="1" applyAlignment="1" applyProtection="1">
      <alignment horizontal="center" vertical="top"/>
      <protection hidden="1"/>
    </xf>
    <xf numFmtId="0" fontId="13" fillId="0" borderId="0" xfId="0" applyFont="1" applyAlignment="1" applyProtection="1">
      <alignment horizontal="center" vertical="top"/>
      <protection hidden="1"/>
    </xf>
    <xf numFmtId="0" fontId="14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8" fillId="20" borderId="10" xfId="0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49" fontId="28" fillId="0" borderId="11" xfId="0" applyNumberFormat="1" applyFont="1" applyFill="1" applyBorder="1" applyAlignment="1" applyProtection="1">
      <alignment horizontal="center" vertical="top"/>
      <protection hidden="1"/>
    </xf>
    <xf numFmtId="49" fontId="28" fillId="0" borderId="11" xfId="0" applyNumberFormat="1" applyFont="1" applyFill="1" applyBorder="1" applyAlignment="1" applyProtection="1">
      <alignment vertical="top"/>
      <protection hidden="1"/>
    </xf>
    <xf numFmtId="3" fontId="28" fillId="0" borderId="11" xfId="0" applyNumberFormat="1" applyFont="1" applyBorder="1" applyAlignment="1" applyProtection="1">
      <alignment vertical="top"/>
      <protection hidden="1"/>
    </xf>
    <xf numFmtId="0" fontId="20" fillId="0" borderId="0" xfId="0" applyFont="1" applyAlignment="1" applyProtection="1">
      <alignment vertical="top"/>
      <protection hidden="1"/>
    </xf>
    <xf numFmtId="49" fontId="20" fillId="0" borderId="12" xfId="0" applyNumberFormat="1" applyFont="1" applyFill="1" applyBorder="1" applyAlignment="1" applyProtection="1">
      <alignment horizontal="center" vertical="top"/>
      <protection hidden="1"/>
    </xf>
    <xf numFmtId="49" fontId="20" fillId="0" borderId="12" xfId="0" applyNumberFormat="1" applyFont="1" applyFill="1" applyBorder="1" applyAlignment="1" applyProtection="1">
      <alignment vertical="top"/>
      <protection hidden="1"/>
    </xf>
    <xf numFmtId="3" fontId="20" fillId="0" borderId="12" xfId="0" applyNumberFormat="1" applyFont="1" applyBorder="1" applyAlignment="1" applyProtection="1">
      <alignment vertical="top"/>
      <protection hidden="1"/>
    </xf>
    <xf numFmtId="49" fontId="29" fillId="0" borderId="12" xfId="0" applyNumberFormat="1" applyFont="1" applyFill="1" applyBorder="1" applyAlignment="1" applyProtection="1">
      <alignment horizontal="center" vertical="top"/>
      <protection hidden="1"/>
    </xf>
    <xf numFmtId="49" fontId="29" fillId="0" borderId="12" xfId="0" applyNumberFormat="1" applyFont="1" applyFill="1" applyBorder="1" applyAlignment="1" applyProtection="1">
      <alignment vertical="top"/>
      <protection hidden="1"/>
    </xf>
    <xf numFmtId="3" fontId="29" fillId="0" borderId="12" xfId="0" applyNumberFormat="1" applyFont="1" applyBorder="1" applyAlignment="1" applyProtection="1">
      <alignment vertical="top"/>
      <protection hidden="1"/>
    </xf>
    <xf numFmtId="0" fontId="29" fillId="0" borderId="0" xfId="0" applyFont="1" applyAlignment="1" applyProtection="1">
      <alignment vertical="top"/>
      <protection hidden="1"/>
    </xf>
    <xf numFmtId="49" fontId="29" fillId="0" borderId="12" xfId="0" applyNumberFormat="1" applyFont="1" applyFill="1" applyBorder="1" applyAlignment="1" applyProtection="1">
      <alignment vertical="top" wrapText="1"/>
      <protection hidden="1"/>
    </xf>
    <xf numFmtId="3" fontId="29" fillId="0" borderId="13" xfId="0" applyNumberFormat="1" applyFont="1" applyBorder="1" applyAlignment="1" applyProtection="1">
      <alignment vertical="top"/>
      <protection hidden="1"/>
    </xf>
    <xf numFmtId="49" fontId="28" fillId="0" borderId="12" xfId="0" applyNumberFormat="1" applyFont="1" applyFill="1" applyBorder="1" applyAlignment="1" applyProtection="1">
      <alignment horizontal="center" vertical="top"/>
      <protection hidden="1"/>
    </xf>
    <xf numFmtId="49" fontId="28" fillId="0" borderId="12" xfId="0" applyNumberFormat="1" applyFont="1" applyFill="1" applyBorder="1" applyAlignment="1" applyProtection="1">
      <alignment vertical="top" wrapText="1"/>
      <protection hidden="1"/>
    </xf>
    <xf numFmtId="3" fontId="28" fillId="0" borderId="12" xfId="0" applyNumberFormat="1" applyFont="1" applyBorder="1" applyAlignment="1" applyProtection="1">
      <alignment vertical="top"/>
      <protection hidden="1"/>
    </xf>
    <xf numFmtId="49" fontId="20" fillId="0" borderId="12" xfId="0" applyNumberFormat="1" applyFont="1" applyFill="1" applyBorder="1" applyAlignment="1" applyProtection="1">
      <alignment vertical="top" wrapText="1"/>
      <protection hidden="1"/>
    </xf>
    <xf numFmtId="3" fontId="28" fillId="0" borderId="13" xfId="0" applyNumberFormat="1" applyFont="1" applyBorder="1" applyAlignment="1" applyProtection="1">
      <alignment vertical="top"/>
      <protection hidden="1"/>
    </xf>
    <xf numFmtId="49" fontId="29" fillId="0" borderId="18" xfId="0" applyNumberFormat="1" applyFont="1" applyFill="1" applyBorder="1" applyAlignment="1" applyProtection="1">
      <alignment vertical="top" wrapText="1"/>
      <protection hidden="1"/>
    </xf>
    <xf numFmtId="3" fontId="29" fillId="0" borderId="18" xfId="0" applyNumberFormat="1" applyFont="1" applyBorder="1" applyAlignment="1" applyProtection="1">
      <alignment vertical="top"/>
      <protection hidden="1"/>
    </xf>
    <xf numFmtId="49" fontId="29" fillId="0" borderId="19" xfId="0" applyNumberFormat="1" applyFont="1" applyFill="1" applyBorder="1" applyAlignment="1" applyProtection="1">
      <alignment horizontal="center" vertical="top"/>
      <protection hidden="1"/>
    </xf>
    <xf numFmtId="49" fontId="29" fillId="0" borderId="21" xfId="0" applyNumberFormat="1" applyFont="1" applyFill="1" applyBorder="1" applyAlignment="1" applyProtection="1">
      <alignment vertical="top" wrapText="1"/>
      <protection hidden="1"/>
    </xf>
    <xf numFmtId="3" fontId="29" fillId="0" borderId="19" xfId="0" applyNumberFormat="1" applyFont="1" applyBorder="1" applyAlignment="1" applyProtection="1">
      <alignment vertical="top"/>
      <protection hidden="1"/>
    </xf>
    <xf numFmtId="3" fontId="29" fillId="0" borderId="21" xfId="0" applyNumberFormat="1" applyFont="1" applyBorder="1" applyAlignment="1" applyProtection="1">
      <alignment vertical="top"/>
      <protection hidden="1"/>
    </xf>
    <xf numFmtId="49" fontId="20" fillId="0" borderId="13" xfId="0" applyNumberFormat="1" applyFont="1" applyFill="1" applyBorder="1" applyAlignment="1" applyProtection="1">
      <alignment horizontal="center" vertical="top"/>
      <protection hidden="1"/>
    </xf>
    <xf numFmtId="3" fontId="20" fillId="0" borderId="13" xfId="0" applyNumberFormat="1" applyFont="1" applyBorder="1" applyAlignment="1" applyProtection="1">
      <alignment vertical="top"/>
      <protection hidden="1"/>
    </xf>
    <xf numFmtId="49" fontId="28" fillId="0" borderId="21" xfId="0" applyNumberFormat="1" applyFont="1" applyFill="1" applyBorder="1" applyAlignment="1" applyProtection="1">
      <alignment horizontal="center" vertical="top"/>
      <protection hidden="1"/>
    </xf>
    <xf numFmtId="49" fontId="28" fillId="0" borderId="19" xfId="0" applyNumberFormat="1" applyFont="1" applyFill="1" applyBorder="1" applyAlignment="1" applyProtection="1">
      <alignment horizontal="center" vertical="top"/>
      <protection hidden="1"/>
    </xf>
    <xf numFmtId="49" fontId="28" fillId="0" borderId="19" xfId="0" applyNumberFormat="1" applyFont="1" applyFill="1" applyBorder="1" applyAlignment="1" applyProtection="1">
      <alignment vertical="top"/>
      <protection hidden="1"/>
    </xf>
    <xf numFmtId="3" fontId="28" fillId="0" borderId="19" xfId="0" applyNumberFormat="1" applyFont="1" applyBorder="1" applyAlignment="1" applyProtection="1">
      <alignment vertical="top"/>
      <protection hidden="1"/>
    </xf>
    <xf numFmtId="3" fontId="28" fillId="0" borderId="21" xfId="0" applyNumberFormat="1" applyFont="1" applyBorder="1" applyAlignment="1" applyProtection="1">
      <alignment vertical="top"/>
      <protection hidden="1"/>
    </xf>
    <xf numFmtId="49" fontId="20" fillId="0" borderId="12" xfId="0" applyNumberFormat="1" applyFont="1" applyBorder="1" applyAlignment="1" applyProtection="1">
      <alignment horizontal="center" vertical="top"/>
      <protection hidden="1"/>
    </xf>
    <xf numFmtId="49" fontId="20" fillId="0" borderId="12" xfId="0" applyNumberFormat="1" applyFont="1" applyBorder="1" applyAlignment="1" applyProtection="1">
      <alignment vertical="top"/>
      <protection hidden="1"/>
    </xf>
    <xf numFmtId="49" fontId="29" fillId="0" borderId="12" xfId="0" applyNumberFormat="1" applyFont="1" applyBorder="1" applyAlignment="1" applyProtection="1">
      <alignment horizontal="center" vertical="top"/>
      <protection hidden="1"/>
    </xf>
    <xf numFmtId="49" fontId="29" fillId="0" borderId="12" xfId="0" applyNumberFormat="1" applyFont="1" applyBorder="1" applyAlignment="1" applyProtection="1">
      <alignment vertical="top"/>
      <protection hidden="1"/>
    </xf>
    <xf numFmtId="49" fontId="28" fillId="0" borderId="12" xfId="0" applyNumberFormat="1" applyFont="1" applyBorder="1" applyAlignment="1" applyProtection="1">
      <alignment horizontal="center" vertical="top"/>
      <protection hidden="1"/>
    </xf>
    <xf numFmtId="0" fontId="20" fillId="0" borderId="12" xfId="0" applyFont="1" applyBorder="1" applyAlignment="1" applyProtection="1">
      <alignment horizontal="center" vertical="top"/>
      <protection hidden="1"/>
    </xf>
    <xf numFmtId="49" fontId="28" fillId="0" borderId="12" xfId="0" applyNumberFormat="1" applyFont="1" applyBorder="1" applyAlignment="1" applyProtection="1">
      <alignment vertical="top"/>
      <protection hidden="1"/>
    </xf>
    <xf numFmtId="49" fontId="29" fillId="0" borderId="12" xfId="0" applyNumberFormat="1" applyFont="1" applyBorder="1" applyAlignment="1" applyProtection="1">
      <alignment horizontal="center" vertical="top" wrapText="1"/>
      <protection hidden="1"/>
    </xf>
    <xf numFmtId="49" fontId="29" fillId="0" borderId="12" xfId="0" applyNumberFormat="1" applyFont="1" applyBorder="1" applyAlignment="1" applyProtection="1">
      <alignment vertical="top" wrapText="1"/>
      <protection hidden="1"/>
    </xf>
    <xf numFmtId="0" fontId="20" fillId="0" borderId="12" xfId="0" applyFont="1" applyBorder="1" applyAlignment="1" applyProtection="1">
      <alignment horizontal="center" vertical="top" wrapText="1"/>
      <protection hidden="1"/>
    </xf>
    <xf numFmtId="49" fontId="20" fillId="0" borderId="12" xfId="0" applyNumberFormat="1" applyFont="1" applyBorder="1" applyAlignment="1" applyProtection="1">
      <alignment vertical="top" wrapText="1"/>
      <protection hidden="1"/>
    </xf>
    <xf numFmtId="0" fontId="29" fillId="0" borderId="12" xfId="0" applyFont="1" applyFill="1" applyBorder="1" applyAlignment="1" applyProtection="1">
      <alignment horizontal="center" vertical="top" wrapText="1"/>
      <protection hidden="1"/>
    </xf>
    <xf numFmtId="49" fontId="28" fillId="0" borderId="12" xfId="0" applyNumberFormat="1" applyFont="1" applyBorder="1" applyAlignment="1" applyProtection="1">
      <alignment horizontal="center" vertical="top" wrapText="1"/>
      <protection hidden="1"/>
    </xf>
    <xf numFmtId="49" fontId="28" fillId="0" borderId="12" xfId="0" applyNumberFormat="1" applyFont="1" applyBorder="1" applyAlignment="1" applyProtection="1">
      <alignment vertical="top" wrapText="1"/>
      <protection hidden="1"/>
    </xf>
    <xf numFmtId="49" fontId="20" fillId="0" borderId="12" xfId="0" applyNumberFormat="1" applyFont="1" applyBorder="1" applyAlignment="1" applyProtection="1">
      <alignment horizontal="center" vertical="top" wrapText="1"/>
      <protection hidden="1"/>
    </xf>
    <xf numFmtId="49" fontId="30" fillId="0" borderId="12" xfId="0" applyNumberFormat="1" applyFont="1" applyBorder="1" applyAlignment="1" applyProtection="1">
      <alignment horizontal="center" vertical="top"/>
      <protection hidden="1"/>
    </xf>
    <xf numFmtId="0" fontId="29" fillId="0" borderId="12" xfId="0" applyFont="1" applyBorder="1" applyAlignment="1" applyProtection="1">
      <alignment horizontal="center" vertical="top" wrapText="1"/>
      <protection hidden="1"/>
    </xf>
    <xf numFmtId="0" fontId="28" fillId="0" borderId="12" xfId="0" applyFont="1" applyBorder="1" applyAlignment="1" applyProtection="1">
      <alignment horizontal="center" vertical="top" wrapText="1"/>
      <protection hidden="1"/>
    </xf>
    <xf numFmtId="49" fontId="29" fillId="0" borderId="13" xfId="0" applyNumberFormat="1" applyFont="1" applyFill="1" applyBorder="1" applyAlignment="1" applyProtection="1">
      <alignment horizontal="center" vertical="top"/>
      <protection hidden="1"/>
    </xf>
    <xf numFmtId="49" fontId="29" fillId="0" borderId="13" xfId="0" applyNumberFormat="1" applyFont="1" applyBorder="1" applyAlignment="1" applyProtection="1">
      <alignment vertical="top" wrapText="1"/>
      <protection hidden="1"/>
    </xf>
    <xf numFmtId="49" fontId="29" fillId="0" borderId="13" xfId="0" applyNumberFormat="1" applyFont="1" applyBorder="1" applyAlignment="1" applyProtection="1">
      <alignment horizontal="center" vertical="top"/>
      <protection hidden="1"/>
    </xf>
    <xf numFmtId="49" fontId="29" fillId="0" borderId="21" xfId="0" applyNumberFormat="1" applyFont="1" applyBorder="1" applyAlignment="1" applyProtection="1">
      <alignment horizontal="center" vertical="top"/>
      <protection hidden="1"/>
    </xf>
    <xf numFmtId="49" fontId="29" fillId="0" borderId="21" xfId="0" applyNumberFormat="1" applyFont="1" applyBorder="1" applyAlignment="1" applyProtection="1">
      <alignment horizontal="center" vertical="top" wrapText="1"/>
      <protection hidden="1"/>
    </xf>
    <xf numFmtId="3" fontId="29" fillId="0" borderId="17" xfId="0" applyNumberFormat="1" applyFont="1" applyBorder="1" applyAlignment="1" applyProtection="1">
      <alignment vertical="top"/>
      <protection hidden="1"/>
    </xf>
    <xf numFmtId="3" fontId="29" fillId="0" borderId="15" xfId="0" applyNumberFormat="1" applyFont="1" applyBorder="1" applyAlignment="1" applyProtection="1">
      <alignment vertical="top"/>
      <protection hidden="1"/>
    </xf>
    <xf numFmtId="0" fontId="14" fillId="0" borderId="0" xfId="0" applyFont="1" applyAlignment="1" applyProtection="1">
      <alignment vertical="center"/>
      <protection hidden="1"/>
    </xf>
    <xf numFmtId="49" fontId="29" fillId="0" borderId="27" xfId="0" applyNumberFormat="1" applyFont="1" applyBorder="1" applyAlignment="1" applyProtection="1">
      <alignment horizontal="center" vertical="top"/>
      <protection hidden="1"/>
    </xf>
    <xf numFmtId="49" fontId="28" fillId="0" borderId="21" xfId="0" applyNumberFormat="1" applyFont="1" applyFill="1" applyBorder="1" applyAlignment="1" applyProtection="1">
      <alignment vertical="top" wrapText="1"/>
      <protection hidden="1"/>
    </xf>
    <xf numFmtId="49" fontId="20" fillId="0" borderId="12" xfId="0" applyNumberFormat="1" applyFont="1" applyFill="1" applyBorder="1" applyAlignment="1" applyProtection="1">
      <alignment horizontal="left" vertical="top" wrapText="1"/>
      <protection hidden="1"/>
    </xf>
    <xf numFmtId="3" fontId="14" fillId="0" borderId="16" xfId="0" applyNumberFormat="1" applyFont="1" applyBorder="1" applyAlignment="1" applyProtection="1">
      <alignment vertical="center"/>
      <protection hidden="1"/>
    </xf>
    <xf numFmtId="49" fontId="29" fillId="0" borderId="15" xfId="0" applyNumberFormat="1" applyFont="1" applyFill="1" applyBorder="1" applyAlignment="1" applyProtection="1">
      <alignment horizontal="center" vertical="top"/>
      <protection hidden="1"/>
    </xf>
    <xf numFmtId="49" fontId="29" fillId="0" borderId="15" xfId="0" applyNumberFormat="1" applyFont="1" applyBorder="1" applyAlignment="1" applyProtection="1">
      <alignment vertical="top" wrapText="1"/>
      <protection hidden="1"/>
    </xf>
    <xf numFmtId="49" fontId="29" fillId="0" borderId="28" xfId="0" applyNumberFormat="1" applyFont="1" applyBorder="1" applyAlignment="1" applyProtection="1">
      <alignment horizontal="center" vertical="top"/>
      <protection hidden="1"/>
    </xf>
    <xf numFmtId="0" fontId="29" fillId="0" borderId="16" xfId="0" applyFont="1" applyBorder="1" applyAlignment="1" applyProtection="1">
      <alignment horizontal="center" vertical="top" wrapText="1"/>
      <protection hidden="1"/>
    </xf>
    <xf numFmtId="0" fontId="20" fillId="0" borderId="12" xfId="0" applyFont="1" applyFill="1" applyBorder="1" applyAlignment="1" applyProtection="1">
      <alignment vertical="top" wrapText="1"/>
      <protection hidden="1"/>
    </xf>
    <xf numFmtId="49" fontId="28" fillId="0" borderId="12" xfId="0" applyNumberFormat="1" applyFont="1" applyFill="1" applyBorder="1" applyAlignment="1" applyProtection="1">
      <alignment vertical="top"/>
      <protection hidden="1"/>
    </xf>
    <xf numFmtId="3" fontId="14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>
      <alignment/>
    </xf>
    <xf numFmtId="49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20" fillId="0" borderId="0" xfId="0" applyFont="1" applyAlignment="1">
      <alignment/>
    </xf>
    <xf numFmtId="49" fontId="32" fillId="0" borderId="16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top" wrapText="1"/>
    </xf>
    <xf numFmtId="0" fontId="28" fillId="0" borderId="21" xfId="0" applyFont="1" applyBorder="1" applyAlignment="1">
      <alignment vertical="top" wrapText="1"/>
    </xf>
    <xf numFmtId="3" fontId="28" fillId="0" borderId="21" xfId="0" applyNumberFormat="1" applyFont="1" applyBorder="1" applyAlignment="1">
      <alignment vertical="top" wrapText="1"/>
    </xf>
    <xf numFmtId="0" fontId="28" fillId="0" borderId="0" xfId="0" applyFont="1" applyAlignment="1">
      <alignment/>
    </xf>
    <xf numFmtId="49" fontId="20" fillId="0" borderId="12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vertical="top" wrapText="1"/>
    </xf>
    <xf numFmtId="3" fontId="20" fillId="0" borderId="12" xfId="0" applyNumberFormat="1" applyFont="1" applyBorder="1" applyAlignment="1">
      <alignment vertical="top" wrapText="1"/>
    </xf>
    <xf numFmtId="49" fontId="28" fillId="0" borderId="12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vertical="top" wrapText="1"/>
    </xf>
    <xf numFmtId="3" fontId="28" fillId="0" borderId="12" xfId="0" applyNumberFormat="1" applyFont="1" applyBorder="1" applyAlignment="1">
      <alignment vertical="top" wrapText="1"/>
    </xf>
    <xf numFmtId="3" fontId="28" fillId="0" borderId="29" xfId="0" applyNumberFormat="1" applyFont="1" applyBorder="1" applyAlignment="1">
      <alignment vertical="top" wrapText="1"/>
    </xf>
    <xf numFmtId="3" fontId="20" fillId="0" borderId="20" xfId="0" applyNumberFormat="1" applyFont="1" applyBorder="1" applyAlignment="1">
      <alignment vertical="top" wrapText="1"/>
    </xf>
    <xf numFmtId="49" fontId="20" fillId="0" borderId="15" xfId="0" applyNumberFormat="1" applyFont="1" applyBorder="1" applyAlignment="1">
      <alignment horizontal="center" vertical="top" wrapText="1"/>
    </xf>
    <xf numFmtId="0" fontId="20" fillId="0" borderId="15" xfId="0" applyFont="1" applyBorder="1" applyAlignment="1">
      <alignment vertical="top" wrapText="1"/>
    </xf>
    <xf numFmtId="3" fontId="20" fillId="0" borderId="15" xfId="0" applyNumberFormat="1" applyFont="1" applyBorder="1" applyAlignment="1">
      <alignment vertical="top" wrapText="1"/>
    </xf>
    <xf numFmtId="3" fontId="28" fillId="0" borderId="1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 wrapText="1"/>
    </xf>
    <xf numFmtId="0" fontId="1" fillId="0" borderId="0" xfId="0" applyFont="1" applyAlignment="1">
      <alignment horizontal="right"/>
    </xf>
    <xf numFmtId="49" fontId="0" fillId="0" borderId="22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 wrapText="1"/>
    </xf>
    <xf numFmtId="49" fontId="0" fillId="0" borderId="20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vertical="center" wrapText="1"/>
    </xf>
    <xf numFmtId="3" fontId="0" fillId="0" borderId="30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3" fontId="14" fillId="0" borderId="26" xfId="0" applyNumberFormat="1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3" fontId="15" fillId="0" borderId="15" xfId="0" applyNumberFormat="1" applyFont="1" applyBorder="1" applyAlignment="1">
      <alignment vertical="center"/>
    </xf>
    <xf numFmtId="3" fontId="15" fillId="0" borderId="21" xfId="0" applyNumberFormat="1" applyFont="1" applyBorder="1" applyAlignment="1">
      <alignment horizontal="right" vertical="center"/>
    </xf>
    <xf numFmtId="49" fontId="15" fillId="0" borderId="18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right" vertical="center"/>
    </xf>
    <xf numFmtId="49" fontId="15" fillId="0" borderId="17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/>
    </xf>
    <xf numFmtId="3" fontId="15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3" fontId="0" fillId="0" borderId="18" xfId="0" applyNumberFormat="1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14" fillId="20" borderId="10" xfId="0" applyNumberFormat="1" applyFont="1" applyFill="1" applyBorder="1" applyAlignment="1">
      <alignment vertical="center"/>
    </xf>
    <xf numFmtId="3" fontId="34" fillId="0" borderId="12" xfId="0" applyNumberFormat="1" applyFont="1" applyBorder="1" applyAlignment="1">
      <alignment vertical="center" wrapText="1"/>
    </xf>
    <xf numFmtId="3" fontId="15" fillId="0" borderId="12" xfId="0" applyNumberFormat="1" applyFont="1" applyBorder="1" applyAlignment="1">
      <alignment vertical="center" wrapText="1"/>
    </xf>
    <xf numFmtId="3" fontId="34" fillId="0" borderId="16" xfId="0" applyNumberFormat="1" applyFont="1" applyBorder="1" applyAlignment="1">
      <alignment vertical="center" wrapText="1"/>
    </xf>
    <xf numFmtId="3" fontId="15" fillId="0" borderId="16" xfId="0" applyNumberFormat="1" applyFont="1" applyBorder="1" applyAlignment="1">
      <alignment vertical="center"/>
    </xf>
    <xf numFmtId="3" fontId="15" fillId="0" borderId="16" xfId="0" applyNumberFormat="1" applyFont="1" applyBorder="1" applyAlignment="1">
      <alignment vertical="center" wrapText="1"/>
    </xf>
    <xf numFmtId="3" fontId="34" fillId="0" borderId="21" xfId="0" applyNumberFormat="1" applyFont="1" applyBorder="1" applyAlignment="1">
      <alignment vertical="center" wrapText="1"/>
    </xf>
    <xf numFmtId="3" fontId="15" fillId="0" borderId="21" xfId="0" applyNumberFormat="1" applyFont="1" applyBorder="1" applyAlignment="1">
      <alignment vertical="center" wrapText="1"/>
    </xf>
    <xf numFmtId="3" fontId="34" fillId="0" borderId="17" xfId="0" applyNumberFormat="1" applyFont="1" applyBorder="1" applyAlignment="1">
      <alignment vertical="center" wrapText="1"/>
    </xf>
    <xf numFmtId="3" fontId="15" fillId="0" borderId="17" xfId="0" applyNumberFormat="1" applyFont="1" applyBorder="1" applyAlignment="1">
      <alignment vertical="center" wrapText="1"/>
    </xf>
    <xf numFmtId="0" fontId="26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3" fontId="35" fillId="0" borderId="0" xfId="0" applyNumberFormat="1" applyFont="1" applyAlignment="1">
      <alignment vertical="center"/>
    </xf>
    <xf numFmtId="0" fontId="3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3" fontId="0" fillId="0" borderId="33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15" fillId="0" borderId="11" xfId="0" applyNumberFormat="1" applyFont="1" applyBorder="1" applyAlignment="1">
      <alignment vertical="center"/>
    </xf>
    <xf numFmtId="3" fontId="15" fillId="0" borderId="15" xfId="0" applyNumberFormat="1" applyFont="1" applyBorder="1" applyAlignment="1">
      <alignment vertical="center" wrapText="1"/>
    </xf>
    <xf numFmtId="3" fontId="14" fillId="0" borderId="0" xfId="0" applyNumberFormat="1" applyFont="1" applyAlignment="1">
      <alignment vertical="center"/>
    </xf>
    <xf numFmtId="3" fontId="34" fillId="0" borderId="15" xfId="0" applyNumberFormat="1" applyFont="1" applyBorder="1" applyAlignment="1">
      <alignment vertical="center" wrapText="1"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3" fontId="15" fillId="0" borderId="15" xfId="0" applyNumberFormat="1" applyFont="1" applyFill="1" applyBorder="1" applyAlignment="1">
      <alignment horizontal="right" vertical="center"/>
    </xf>
    <xf numFmtId="3" fontId="15" fillId="0" borderId="30" xfId="0" applyNumberFormat="1" applyFont="1" applyBorder="1" applyAlignment="1">
      <alignment horizontal="right" vertical="center"/>
    </xf>
    <xf numFmtId="49" fontId="28" fillId="20" borderId="10" xfId="0" applyNumberFormat="1" applyFont="1" applyFill="1" applyBorder="1" applyAlignment="1">
      <alignment horizontal="center" vertical="center" wrapText="1"/>
    </xf>
    <xf numFmtId="0" fontId="14" fillId="20" borderId="24" xfId="0" applyFont="1" applyFill="1" applyBorder="1" applyAlignment="1" applyProtection="1">
      <alignment horizontal="center" vertical="center" wrapText="1"/>
      <protection hidden="1"/>
    </xf>
    <xf numFmtId="0" fontId="14" fillId="20" borderId="16" xfId="0" applyFont="1" applyFill="1" applyBorder="1" applyAlignment="1" applyProtection="1">
      <alignment horizontal="center" vertical="center" wrapText="1"/>
      <protection hidden="1"/>
    </xf>
    <xf numFmtId="0" fontId="14" fillId="20" borderId="1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28" fillId="20" borderId="1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top"/>
      <protection hidden="1"/>
    </xf>
    <xf numFmtId="0" fontId="14" fillId="0" borderId="34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28" fillId="0" borderId="34" xfId="0" applyFont="1" applyBorder="1" applyAlignment="1" applyProtection="1">
      <alignment horizontal="center" vertical="center" wrapText="1"/>
      <protection hidden="1"/>
    </xf>
    <xf numFmtId="0" fontId="28" fillId="0" borderId="32" xfId="0" applyFont="1" applyBorder="1" applyAlignment="1" applyProtection="1">
      <alignment horizontal="center" vertical="center" wrapText="1"/>
      <protection hidden="1"/>
    </xf>
    <xf numFmtId="0" fontId="28" fillId="0" borderId="29" xfId="0" applyFont="1" applyBorder="1" applyAlignment="1" applyProtection="1">
      <alignment horizontal="center" vertical="center" wrapText="1"/>
      <protection hidden="1"/>
    </xf>
    <xf numFmtId="0" fontId="14" fillId="20" borderId="24" xfId="0" applyFont="1" applyFill="1" applyBorder="1" applyAlignment="1" applyProtection="1">
      <alignment horizontal="center" vertical="center"/>
      <protection hidden="1"/>
    </xf>
    <xf numFmtId="0" fontId="14" fillId="20" borderId="18" xfId="0" applyFont="1" applyFill="1" applyBorder="1" applyAlignment="1" applyProtection="1">
      <alignment horizontal="center" vertical="center"/>
      <protection hidden="1"/>
    </xf>
    <xf numFmtId="0" fontId="14" fillId="20" borderId="16" xfId="0" applyFont="1" applyFill="1" applyBorder="1" applyAlignment="1" applyProtection="1">
      <alignment horizontal="center" vertical="center"/>
      <protection hidden="1"/>
    </xf>
    <xf numFmtId="0" fontId="28" fillId="0" borderId="34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top" wrapText="1"/>
    </xf>
    <xf numFmtId="0" fontId="28" fillId="0" borderId="32" xfId="0" applyFont="1" applyBorder="1" applyAlignment="1">
      <alignment horizontal="center" vertical="top" wrapText="1"/>
    </xf>
    <xf numFmtId="0" fontId="28" fillId="0" borderId="29" xfId="0" applyFont="1" applyBorder="1" applyAlignment="1">
      <alignment horizontal="center" vertical="top" wrapText="1"/>
    </xf>
    <xf numFmtId="49" fontId="28" fillId="0" borderId="34" xfId="0" applyNumberFormat="1" applyFont="1" applyBorder="1" applyAlignment="1">
      <alignment horizontal="center" vertical="top" wrapText="1"/>
    </xf>
    <xf numFmtId="49" fontId="28" fillId="0" borderId="32" xfId="0" applyNumberFormat="1" applyFont="1" applyBorder="1" applyAlignment="1">
      <alignment horizontal="center" vertical="top" wrapText="1"/>
    </xf>
    <xf numFmtId="49" fontId="28" fillId="0" borderId="29" xfId="0" applyNumberFormat="1" applyFont="1" applyBorder="1" applyAlignment="1">
      <alignment horizontal="center" vertical="top" wrapText="1"/>
    </xf>
    <xf numFmtId="49" fontId="28" fillId="0" borderId="27" xfId="0" applyNumberFormat="1" applyFont="1" applyBorder="1" applyAlignment="1">
      <alignment horizontal="center" vertical="top" wrapText="1"/>
    </xf>
    <xf numFmtId="49" fontId="28" fillId="0" borderId="14" xfId="0" applyNumberFormat="1" applyFont="1" applyBorder="1" applyAlignment="1">
      <alignment horizontal="center" vertical="top" wrapText="1"/>
    </xf>
    <xf numFmtId="49" fontId="28" fillId="0" borderId="35" xfId="0" applyNumberFormat="1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20" borderId="10" xfId="0" applyFont="1" applyFill="1" applyBorder="1" applyAlignment="1">
      <alignment horizontal="center" vertical="center"/>
    </xf>
    <xf numFmtId="0" fontId="14" fillId="20" borderId="10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71" fontId="0" fillId="24" borderId="24" xfId="0" applyNumberFormat="1" applyFont="1" applyFill="1" applyBorder="1" applyAlignment="1">
      <alignment horizontal="center" vertical="center" wrapText="1"/>
    </xf>
    <xf numFmtId="171" fontId="0" fillId="24" borderId="18" xfId="0" applyNumberFormat="1" applyFont="1" applyFill="1" applyBorder="1" applyAlignment="1">
      <alignment horizontal="center" vertical="center" wrapText="1"/>
    </xf>
    <xf numFmtId="171" fontId="0" fillId="24" borderId="16" xfId="0" applyNumberFormat="1" applyFont="1" applyFill="1" applyBorder="1" applyAlignment="1">
      <alignment horizontal="center" vertical="center" wrapText="1"/>
    </xf>
    <xf numFmtId="49" fontId="0" fillId="24" borderId="24" xfId="0" applyNumberFormat="1" applyFont="1" applyFill="1" applyBorder="1" applyAlignment="1">
      <alignment horizontal="center" vertical="center"/>
    </xf>
    <xf numFmtId="49" fontId="0" fillId="24" borderId="18" xfId="0" applyNumberFormat="1" applyFont="1" applyFill="1" applyBorder="1" applyAlignment="1">
      <alignment horizontal="center" vertical="center"/>
    </xf>
    <xf numFmtId="49" fontId="0" fillId="24" borderId="16" xfId="0" applyNumberFormat="1" applyFont="1" applyFill="1" applyBorder="1" applyAlignment="1">
      <alignment horizontal="center" vertical="center"/>
    </xf>
    <xf numFmtId="3" fontId="0" fillId="0" borderId="24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49" fontId="0" fillId="0" borderId="24" xfId="0" applyNumberFormat="1" applyFont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4" fillId="20" borderId="24" xfId="0" applyFont="1" applyFill="1" applyBorder="1" applyAlignment="1">
      <alignment horizontal="center" vertical="center" wrapText="1"/>
    </xf>
    <xf numFmtId="0" fontId="14" fillId="20" borderId="16" xfId="0" applyFont="1" applyFill="1" applyBorder="1" applyAlignment="1">
      <alignment horizontal="center" vertical="center" wrapText="1"/>
    </xf>
    <xf numFmtId="0" fontId="14" fillId="20" borderId="34" xfId="0" applyFont="1" applyFill="1" applyBorder="1" applyAlignment="1">
      <alignment horizontal="center" vertical="center" wrapText="1"/>
    </xf>
    <xf numFmtId="0" fontId="14" fillId="20" borderId="32" xfId="0" applyFont="1" applyFill="1" applyBorder="1" applyAlignment="1">
      <alignment horizontal="center" vertical="center" wrapText="1"/>
    </xf>
    <xf numFmtId="0" fontId="14" fillId="20" borderId="29" xfId="0" applyFont="1" applyFill="1" applyBorder="1" applyAlignment="1">
      <alignment horizontal="center" vertical="center" wrapText="1"/>
    </xf>
    <xf numFmtId="0" fontId="33" fillId="20" borderId="24" xfId="0" applyFont="1" applyFill="1" applyBorder="1" applyAlignment="1">
      <alignment horizontal="center" vertical="center"/>
    </xf>
    <xf numFmtId="0" fontId="33" fillId="20" borderId="16" xfId="0" applyFont="1" applyFill="1" applyBorder="1" applyAlignment="1">
      <alignment horizontal="center" vertical="center"/>
    </xf>
    <xf numFmtId="0" fontId="33" fillId="20" borderId="24" xfId="0" applyFont="1" applyFill="1" applyBorder="1" applyAlignment="1">
      <alignment horizontal="center" vertical="center" wrapText="1"/>
    </xf>
    <xf numFmtId="0" fontId="33" fillId="20" borderId="16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171" fontId="0" fillId="24" borderId="10" xfId="0" applyNumberFormat="1" applyFont="1" applyFill="1" applyBorder="1" applyAlignment="1">
      <alignment horizontal="center" vertical="center" wrapText="1"/>
    </xf>
    <xf numFmtId="3" fontId="0" fillId="24" borderId="24" xfId="0" applyNumberFormat="1" applyFont="1" applyFill="1" applyBorder="1" applyAlignment="1">
      <alignment horizontal="right" vertical="center"/>
    </xf>
    <xf numFmtId="3" fontId="0" fillId="24" borderId="18" xfId="0" applyNumberFormat="1" applyFont="1" applyFill="1" applyBorder="1" applyAlignment="1">
      <alignment horizontal="right" vertical="center"/>
    </xf>
    <xf numFmtId="3" fontId="0" fillId="24" borderId="16" xfId="0" applyNumberFormat="1" applyFont="1" applyFill="1" applyBorder="1" applyAlignment="1">
      <alignment horizontal="right" vertical="center"/>
    </xf>
    <xf numFmtId="49" fontId="0" fillId="24" borderId="24" xfId="0" applyNumberFormat="1" applyFont="1" applyFill="1" applyBorder="1" applyAlignment="1">
      <alignment horizontal="center" vertical="center" wrapText="1"/>
    </xf>
    <xf numFmtId="49" fontId="0" fillId="24" borderId="18" xfId="0" applyNumberFormat="1" applyFont="1" applyFill="1" applyBorder="1" applyAlignment="1">
      <alignment horizontal="center" vertical="center" wrapText="1"/>
    </xf>
    <xf numFmtId="49" fontId="0" fillId="24" borderId="16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34" xfId="0" applyNumberFormat="1" applyFont="1" applyBorder="1" applyAlignment="1">
      <alignment horizontal="left" vertical="center" wrapText="1"/>
    </xf>
    <xf numFmtId="3" fontId="0" fillId="0" borderId="32" xfId="0" applyNumberFormat="1" applyFont="1" applyBorder="1" applyAlignment="1">
      <alignment horizontal="left" vertical="center" wrapText="1"/>
    </xf>
    <xf numFmtId="3" fontId="0" fillId="0" borderId="29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3" fontId="14" fillId="20" borderId="37" xfId="0" applyNumberFormat="1" applyFont="1" applyFill="1" applyBorder="1" applyAlignment="1">
      <alignment horizontal="center" vertical="center" wrapText="1"/>
    </xf>
    <xf numFmtId="3" fontId="14" fillId="20" borderId="36" xfId="0" applyNumberFormat="1" applyFont="1" applyFill="1" applyBorder="1" applyAlignment="1">
      <alignment horizontal="center" vertical="center" wrapText="1"/>
    </xf>
    <xf numFmtId="3" fontId="14" fillId="20" borderId="38" xfId="0" applyNumberFormat="1" applyFont="1" applyFill="1" applyBorder="1" applyAlignment="1">
      <alignment horizontal="center" vertical="center" wrapText="1"/>
    </xf>
    <xf numFmtId="3" fontId="14" fillId="20" borderId="27" xfId="0" applyNumberFormat="1" applyFont="1" applyFill="1" applyBorder="1" applyAlignment="1">
      <alignment horizontal="center" vertical="center" wrapText="1"/>
    </xf>
    <xf numFmtId="3" fontId="14" fillId="20" borderId="14" xfId="0" applyNumberFormat="1" applyFont="1" applyFill="1" applyBorder="1" applyAlignment="1">
      <alignment horizontal="center" vertical="center" wrapText="1"/>
    </xf>
    <xf numFmtId="3" fontId="14" fillId="20" borderId="35" xfId="0" applyNumberFormat="1" applyFont="1" applyFill="1" applyBorder="1" applyAlignment="1">
      <alignment horizontal="center" vertical="center" wrapText="1"/>
    </xf>
    <xf numFmtId="3" fontId="0" fillId="0" borderId="34" xfId="0" applyNumberFormat="1" applyFont="1" applyBorder="1" applyAlignment="1">
      <alignment vertical="center" wrapText="1"/>
    </xf>
    <xf numFmtId="3" fontId="0" fillId="0" borderId="32" xfId="0" applyNumberFormat="1" applyFont="1" applyBorder="1" applyAlignment="1">
      <alignment vertical="center" wrapText="1"/>
    </xf>
    <xf numFmtId="3" fontId="0" fillId="0" borderId="29" xfId="0" applyNumberFormat="1" applyFont="1" applyBorder="1" applyAlignment="1">
      <alignment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20" borderId="37" xfId="0" applyFont="1" applyFill="1" applyBorder="1" applyAlignment="1">
      <alignment horizontal="center" vertical="center" wrapText="1"/>
    </xf>
    <xf numFmtId="0" fontId="14" fillId="20" borderId="28" xfId="0" applyFont="1" applyFill="1" applyBorder="1" applyAlignment="1">
      <alignment horizontal="center" vertical="center" wrapText="1"/>
    </xf>
    <xf numFmtId="0" fontId="14" fillId="20" borderId="27" xfId="0" applyFont="1" applyFill="1" applyBorder="1" applyAlignment="1">
      <alignment horizontal="center" vertical="center" wrapText="1"/>
    </xf>
    <xf numFmtId="0" fontId="14" fillId="20" borderId="18" xfId="0" applyFont="1" applyFill="1" applyBorder="1" applyAlignment="1">
      <alignment horizontal="center" vertical="center" wrapText="1"/>
    </xf>
    <xf numFmtId="0" fontId="14" fillId="20" borderId="32" xfId="0" applyFont="1" applyFill="1" applyBorder="1" applyAlignment="1">
      <alignment horizontal="left" vertical="center" wrapText="1"/>
    </xf>
    <xf numFmtId="0" fontId="14" fillId="20" borderId="29" xfId="0" applyFont="1" applyFill="1" applyBorder="1" applyAlignment="1">
      <alignment horizontal="left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20" borderId="24" xfId="0" applyFont="1" applyFill="1" applyBorder="1" applyAlignment="1">
      <alignment horizontal="center" vertical="center"/>
    </xf>
    <xf numFmtId="0" fontId="14" fillId="20" borderId="16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20" borderId="34" xfId="0" applyFont="1" applyFill="1" applyBorder="1" applyAlignment="1">
      <alignment horizontal="center" vertical="center"/>
    </xf>
    <xf numFmtId="0" fontId="14" fillId="20" borderId="32" xfId="0" applyFont="1" applyFill="1" applyBorder="1" applyAlignment="1">
      <alignment horizontal="center" vertical="center"/>
    </xf>
    <xf numFmtId="0" fontId="14" fillId="20" borderId="2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2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3" fontId="14" fillId="0" borderId="34" xfId="0" applyNumberFormat="1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3" fontId="14" fillId="0" borderId="29" xfId="0" applyNumberFormat="1" applyFont="1" applyFill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49" fontId="14" fillId="0" borderId="32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4" fillId="20" borderId="18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H193"/>
  <sheetViews>
    <sheetView view="pageBreakPreview" zoomScaleSheetLayoutView="100" zoomScalePageLayoutView="0" workbookViewId="0" topLeftCell="A1">
      <pane ySplit="6" topLeftCell="BM184" activePane="bottomLeft" state="frozen"/>
      <selection pane="topLeft" activeCell="A1" sqref="A1"/>
      <selection pane="bottomLeft" activeCell="J186" sqref="J186"/>
    </sheetView>
  </sheetViews>
  <sheetFormatPr defaultColWidth="9.00390625" defaultRowHeight="12.75"/>
  <cols>
    <col min="1" max="1" width="6.00390625" style="1" customWidth="1"/>
    <col min="2" max="2" width="8.875" style="1" bestFit="1" customWidth="1"/>
    <col min="3" max="3" width="5.375" style="1" customWidth="1"/>
    <col min="4" max="4" width="43.75390625" style="1" customWidth="1"/>
    <col min="5" max="5" width="11.125" style="1" customWidth="1"/>
    <col min="6" max="6" width="11.00390625" style="1" customWidth="1"/>
    <col min="7" max="7" width="10.875" style="1" customWidth="1"/>
    <col min="8" max="8" width="13.375" style="1" customWidth="1"/>
    <col min="9" max="16384" width="9.125" style="1" customWidth="1"/>
  </cols>
  <sheetData>
    <row r="1" spans="1:7" s="195" customFormat="1" ht="18">
      <c r="A1" s="377" t="s">
        <v>639</v>
      </c>
      <c r="B1" s="377"/>
      <c r="C1" s="377"/>
      <c r="D1" s="377"/>
      <c r="E1" s="377"/>
      <c r="F1" s="377"/>
      <c r="G1" s="377"/>
    </row>
    <row r="2" spans="2:4" s="195" customFormat="1" ht="18">
      <c r="B2" s="194"/>
      <c r="C2" s="194"/>
      <c r="D2" s="194"/>
    </row>
    <row r="3" spans="5:7" s="195" customFormat="1" ht="12.75">
      <c r="E3" s="196"/>
      <c r="F3" s="196"/>
      <c r="G3" s="196" t="s">
        <v>179</v>
      </c>
    </row>
    <row r="4" spans="1:7" s="195" customFormat="1" ht="15" customHeight="1">
      <c r="A4" s="385" t="s">
        <v>136</v>
      </c>
      <c r="B4" s="385" t="s">
        <v>206</v>
      </c>
      <c r="C4" s="385" t="s">
        <v>138</v>
      </c>
      <c r="D4" s="385" t="s">
        <v>205</v>
      </c>
      <c r="E4" s="372" t="s">
        <v>716</v>
      </c>
      <c r="F4" s="374" t="s">
        <v>190</v>
      </c>
      <c r="G4" s="374"/>
    </row>
    <row r="5" spans="1:7" s="195" customFormat="1" ht="29.25" customHeight="1">
      <c r="A5" s="386"/>
      <c r="B5" s="386"/>
      <c r="C5" s="387"/>
      <c r="D5" s="387"/>
      <c r="E5" s="373"/>
      <c r="F5" s="197" t="s">
        <v>15</v>
      </c>
      <c r="G5" s="197" t="s">
        <v>16</v>
      </c>
    </row>
    <row r="6" spans="1:7" s="200" customFormat="1" ht="7.5" customHeight="1">
      <c r="A6" s="198">
        <v>1</v>
      </c>
      <c r="B6" s="198">
        <v>2</v>
      </c>
      <c r="C6" s="198">
        <v>3</v>
      </c>
      <c r="D6" s="198">
        <v>4</v>
      </c>
      <c r="E6" s="198">
        <v>5</v>
      </c>
      <c r="F6" s="199">
        <v>6</v>
      </c>
      <c r="G6" s="198">
        <v>7</v>
      </c>
    </row>
    <row r="7" spans="1:7" s="208" customFormat="1" ht="24.75" customHeight="1">
      <c r="A7" s="378" t="s">
        <v>395</v>
      </c>
      <c r="B7" s="379"/>
      <c r="C7" s="379"/>
      <c r="D7" s="379"/>
      <c r="E7" s="207">
        <f>SUM(E8,E12,E16,E23,E34,E37,E48,E51,E56,E86,E93,E96,E99,E118,E127)</f>
        <v>134501543</v>
      </c>
      <c r="F7" s="207">
        <f>SUM(F8,F12,F16,F23,F34,F37,F48,F51,F56,F86,F93,F96,F99,F118,F127)</f>
        <v>95446543</v>
      </c>
      <c r="G7" s="207">
        <f>SUM(G8,G12,G16,G23,G34,G37,G48,G51,G56,G86,G93,G96,G99,G118,G127)</f>
        <v>39055000</v>
      </c>
    </row>
    <row r="8" spans="1:7" s="212" customFormat="1" ht="19.5" customHeight="1">
      <c r="A8" s="209" t="s">
        <v>223</v>
      </c>
      <c r="B8" s="209"/>
      <c r="C8" s="209"/>
      <c r="D8" s="210" t="s">
        <v>224</v>
      </c>
      <c r="E8" s="211">
        <f>E9</f>
        <v>51000</v>
      </c>
      <c r="F8" s="211">
        <f>F9</f>
        <v>1000</v>
      </c>
      <c r="G8" s="211">
        <f>G9</f>
        <v>50000</v>
      </c>
    </row>
    <row r="9" spans="1:7" s="212" customFormat="1" ht="19.5" customHeight="1">
      <c r="A9" s="213"/>
      <c r="B9" s="213" t="s">
        <v>225</v>
      </c>
      <c r="C9" s="213"/>
      <c r="D9" s="214" t="s">
        <v>226</v>
      </c>
      <c r="E9" s="215">
        <f>E10+E11</f>
        <v>51000</v>
      </c>
      <c r="F9" s="215">
        <f>F10+F11</f>
        <v>1000</v>
      </c>
      <c r="G9" s="215">
        <f>G10+G11</f>
        <v>50000</v>
      </c>
    </row>
    <row r="10" spans="1:7" s="219" customFormat="1" ht="19.5" customHeight="1">
      <c r="A10" s="216"/>
      <c r="B10" s="216"/>
      <c r="C10" s="216" t="s">
        <v>227</v>
      </c>
      <c r="D10" s="217" t="s">
        <v>228</v>
      </c>
      <c r="E10" s="218">
        <f>SUM(F10,G10)</f>
        <v>1000</v>
      </c>
      <c r="F10" s="218">
        <v>1000</v>
      </c>
      <c r="G10" s="218">
        <v>0</v>
      </c>
    </row>
    <row r="11" spans="1:7" s="219" customFormat="1" ht="19.5" customHeight="1">
      <c r="A11" s="216"/>
      <c r="B11" s="216"/>
      <c r="C11" s="216" t="s">
        <v>229</v>
      </c>
      <c r="D11" s="220" t="s">
        <v>230</v>
      </c>
      <c r="E11" s="218">
        <f>SUM(F11,G11)</f>
        <v>50000</v>
      </c>
      <c r="F11" s="218">
        <v>0</v>
      </c>
      <c r="G11" s="218">
        <v>50000</v>
      </c>
    </row>
    <row r="12" spans="1:7" s="212" customFormat="1" ht="19.5" customHeight="1">
      <c r="A12" s="222" t="s">
        <v>231</v>
      </c>
      <c r="B12" s="222"/>
      <c r="C12" s="222"/>
      <c r="D12" s="223" t="s">
        <v>232</v>
      </c>
      <c r="E12" s="224">
        <f>SUM(E13)</f>
        <v>48000</v>
      </c>
      <c r="F12" s="224">
        <f>SUM(F13)</f>
        <v>48000</v>
      </c>
      <c r="G12" s="224">
        <f>SUM(G13)</f>
        <v>0</v>
      </c>
    </row>
    <row r="13" spans="1:7" s="212" customFormat="1" ht="19.5" customHeight="1">
      <c r="A13" s="213"/>
      <c r="B13" s="213" t="s">
        <v>411</v>
      </c>
      <c r="C13" s="213"/>
      <c r="D13" s="225" t="s">
        <v>412</v>
      </c>
      <c r="E13" s="215">
        <f>SUM(E14,E15)</f>
        <v>48000</v>
      </c>
      <c r="F13" s="215">
        <f>SUM(F14,F15)</f>
        <v>48000</v>
      </c>
      <c r="G13" s="215">
        <f>SUM(G14,G15)</f>
        <v>0</v>
      </c>
    </row>
    <row r="14" spans="1:7" s="219" customFormat="1" ht="20.25" customHeight="1">
      <c r="A14" s="216"/>
      <c r="B14" s="216"/>
      <c r="C14" s="216" t="s">
        <v>227</v>
      </c>
      <c r="D14" s="217" t="s">
        <v>228</v>
      </c>
      <c r="E14" s="218">
        <f>SUM(F14,G14)</f>
        <v>36000</v>
      </c>
      <c r="F14" s="218">
        <v>36000</v>
      </c>
      <c r="G14" s="218">
        <v>0</v>
      </c>
    </row>
    <row r="15" spans="1:7" s="219" customFormat="1" ht="67.5" customHeight="1">
      <c r="A15" s="216"/>
      <c r="B15" s="216"/>
      <c r="C15" s="216" t="s">
        <v>248</v>
      </c>
      <c r="D15" s="220" t="s">
        <v>249</v>
      </c>
      <c r="E15" s="218">
        <f>SUM(F15,G15)</f>
        <v>12000</v>
      </c>
      <c r="F15" s="221">
        <v>12000</v>
      </c>
      <c r="G15" s="218">
        <v>0</v>
      </c>
    </row>
    <row r="16" spans="1:7" s="212" customFormat="1" ht="19.5" customHeight="1">
      <c r="A16" s="222" t="s">
        <v>235</v>
      </c>
      <c r="B16" s="222"/>
      <c r="C16" s="222"/>
      <c r="D16" s="223" t="s">
        <v>236</v>
      </c>
      <c r="E16" s="226">
        <f>SUM(E17,E20)</f>
        <v>1059800</v>
      </c>
      <c r="F16" s="226">
        <f>SUM(F17,F20)</f>
        <v>279800</v>
      </c>
      <c r="G16" s="224">
        <f>SUM(G17,G20)</f>
        <v>780000</v>
      </c>
    </row>
    <row r="17" spans="1:7" s="212" customFormat="1" ht="19.5" customHeight="1">
      <c r="A17" s="213"/>
      <c r="B17" s="213" t="s">
        <v>237</v>
      </c>
      <c r="C17" s="233"/>
      <c r="D17" s="225" t="s">
        <v>238</v>
      </c>
      <c r="E17" s="234">
        <f>E18</f>
        <v>279800</v>
      </c>
      <c r="F17" s="234">
        <f>F18</f>
        <v>279800</v>
      </c>
      <c r="G17" s="215">
        <f>G18</f>
        <v>0</v>
      </c>
    </row>
    <row r="18" spans="1:7" s="219" customFormat="1" ht="55.5" customHeight="1">
      <c r="A18" s="258"/>
      <c r="B18" s="258"/>
      <c r="C18" s="258" t="s">
        <v>239</v>
      </c>
      <c r="D18" s="220" t="s">
        <v>240</v>
      </c>
      <c r="E18" s="221">
        <f>SUM(F18,G18)</f>
        <v>279800</v>
      </c>
      <c r="F18" s="221">
        <v>279800</v>
      </c>
      <c r="G18" s="218">
        <v>0</v>
      </c>
    </row>
    <row r="19" spans="1:7" s="219" customFormat="1" ht="32.25" customHeight="1">
      <c r="A19" s="229"/>
      <c r="B19" s="229"/>
      <c r="C19" s="229"/>
      <c r="D19" s="230" t="s">
        <v>234</v>
      </c>
      <c r="E19" s="231"/>
      <c r="F19" s="231"/>
      <c r="G19" s="232"/>
    </row>
    <row r="20" spans="1:7" s="212" customFormat="1" ht="19.5" customHeight="1">
      <c r="A20" s="213"/>
      <c r="B20" s="213" t="s">
        <v>422</v>
      </c>
      <c r="C20" s="233"/>
      <c r="D20" s="225" t="s">
        <v>226</v>
      </c>
      <c r="E20" s="234">
        <f>E21</f>
        <v>780000</v>
      </c>
      <c r="F20" s="234">
        <f>F21</f>
        <v>0</v>
      </c>
      <c r="G20" s="215">
        <f>G21</f>
        <v>780000</v>
      </c>
    </row>
    <row r="21" spans="1:7" s="219" customFormat="1" ht="55.5" customHeight="1">
      <c r="A21" s="258"/>
      <c r="B21" s="258"/>
      <c r="C21" s="258" t="s">
        <v>617</v>
      </c>
      <c r="D21" s="259" t="s">
        <v>233</v>
      </c>
      <c r="E21" s="221">
        <f>SUM(F21,G21)</f>
        <v>780000</v>
      </c>
      <c r="F21" s="221"/>
      <c r="G21" s="218">
        <v>780000</v>
      </c>
    </row>
    <row r="22" spans="1:7" s="219" customFormat="1" ht="65.25" customHeight="1">
      <c r="A22" s="258"/>
      <c r="B22" s="258"/>
      <c r="C22" s="216"/>
      <c r="D22" s="220" t="s">
        <v>717</v>
      </c>
      <c r="E22" s="221"/>
      <c r="F22" s="221"/>
      <c r="G22" s="218"/>
    </row>
    <row r="23" spans="1:7" s="212" customFormat="1" ht="19.5" customHeight="1">
      <c r="A23" s="235" t="s">
        <v>241</v>
      </c>
      <c r="B23" s="236"/>
      <c r="C23" s="235"/>
      <c r="D23" s="237" t="s">
        <v>242</v>
      </c>
      <c r="E23" s="238">
        <f>SUM(E24,E31)</f>
        <v>36093000</v>
      </c>
      <c r="F23" s="238">
        <f>SUM(F24,F31)</f>
        <v>2990000</v>
      </c>
      <c r="G23" s="239">
        <f>SUM(G24,G31)</f>
        <v>33103000</v>
      </c>
    </row>
    <row r="24" spans="1:7" s="212" customFormat="1" ht="19.5" customHeight="1">
      <c r="A24" s="216"/>
      <c r="B24" s="213" t="s">
        <v>243</v>
      </c>
      <c r="C24" s="213"/>
      <c r="D24" s="214" t="s">
        <v>244</v>
      </c>
      <c r="E24" s="234">
        <f>SUM(E25,E26,E27,E28,E29,E30)</f>
        <v>33980000</v>
      </c>
      <c r="F24" s="234">
        <f>SUM(F25,F26,F27,F28,F29,F30)</f>
        <v>2990000</v>
      </c>
      <c r="G24" s="215">
        <f>SUM(G25,G26,G27,G28,G29,G30)</f>
        <v>30990000</v>
      </c>
    </row>
    <row r="25" spans="1:7" s="219" customFormat="1" ht="32.25" customHeight="1">
      <c r="A25" s="216"/>
      <c r="B25" s="216"/>
      <c r="C25" s="216" t="s">
        <v>245</v>
      </c>
      <c r="D25" s="220" t="s">
        <v>246</v>
      </c>
      <c r="E25" s="218">
        <f aca="true" t="shared" si="0" ref="E25:E30">SUM(F25,G25)</f>
        <v>900000</v>
      </c>
      <c r="F25" s="218">
        <v>900000</v>
      </c>
      <c r="G25" s="218">
        <v>0</v>
      </c>
    </row>
    <row r="26" spans="1:7" s="219" customFormat="1" ht="67.5" customHeight="1">
      <c r="A26" s="216"/>
      <c r="B26" s="216"/>
      <c r="C26" s="216" t="s">
        <v>248</v>
      </c>
      <c r="D26" s="220" t="s">
        <v>249</v>
      </c>
      <c r="E26" s="218">
        <f t="shared" si="0"/>
        <v>2000000</v>
      </c>
      <c r="F26" s="218">
        <v>2000000</v>
      </c>
      <c r="G26" s="218">
        <v>0</v>
      </c>
    </row>
    <row r="27" spans="1:7" s="219" customFormat="1" ht="41.25" customHeight="1">
      <c r="A27" s="216"/>
      <c r="B27" s="216"/>
      <c r="C27" s="216" t="s">
        <v>250</v>
      </c>
      <c r="D27" s="220" t="s">
        <v>251</v>
      </c>
      <c r="E27" s="218">
        <f t="shared" si="0"/>
        <v>150000</v>
      </c>
      <c r="F27" s="218">
        <v>0</v>
      </c>
      <c r="G27" s="218">
        <v>150000</v>
      </c>
    </row>
    <row r="28" spans="1:7" s="219" customFormat="1" ht="32.25" customHeight="1">
      <c r="A28" s="216"/>
      <c r="B28" s="216"/>
      <c r="C28" s="216" t="s">
        <v>252</v>
      </c>
      <c r="D28" s="220" t="s">
        <v>253</v>
      </c>
      <c r="E28" s="218">
        <f t="shared" si="0"/>
        <v>30840000</v>
      </c>
      <c r="F28" s="218">
        <v>0</v>
      </c>
      <c r="G28" s="218">
        <v>30840000</v>
      </c>
    </row>
    <row r="29" spans="1:7" s="219" customFormat="1" ht="29.25" customHeight="1">
      <c r="A29" s="216"/>
      <c r="B29" s="216"/>
      <c r="C29" s="216" t="s">
        <v>254</v>
      </c>
      <c r="D29" s="217" t="s">
        <v>255</v>
      </c>
      <c r="E29" s="218">
        <f t="shared" si="0"/>
        <v>80000</v>
      </c>
      <c r="F29" s="218">
        <v>80000</v>
      </c>
      <c r="G29" s="218">
        <v>0</v>
      </c>
    </row>
    <row r="30" spans="1:7" s="219" customFormat="1" ht="19.5" customHeight="1">
      <c r="A30" s="216"/>
      <c r="B30" s="216"/>
      <c r="C30" s="216" t="s">
        <v>283</v>
      </c>
      <c r="D30" s="217" t="s">
        <v>284</v>
      </c>
      <c r="E30" s="218">
        <f t="shared" si="0"/>
        <v>10000</v>
      </c>
      <c r="F30" s="218">
        <v>10000</v>
      </c>
      <c r="G30" s="218"/>
    </row>
    <row r="31" spans="1:7" s="212" customFormat="1" ht="19.5" customHeight="1">
      <c r="A31" s="240"/>
      <c r="B31" s="240" t="s">
        <v>424</v>
      </c>
      <c r="C31" s="240"/>
      <c r="D31" s="241" t="s">
        <v>226</v>
      </c>
      <c r="E31" s="215">
        <f aca="true" t="shared" si="1" ref="E31:G35">E32</f>
        <v>2113000</v>
      </c>
      <c r="F31" s="215">
        <f t="shared" si="1"/>
        <v>0</v>
      </c>
      <c r="G31" s="215">
        <f t="shared" si="1"/>
        <v>2113000</v>
      </c>
    </row>
    <row r="32" spans="1:7" s="219" customFormat="1" ht="52.5" customHeight="1">
      <c r="A32" s="242"/>
      <c r="B32" s="242"/>
      <c r="C32" s="242" t="s">
        <v>617</v>
      </c>
      <c r="D32" s="259" t="s">
        <v>233</v>
      </c>
      <c r="E32" s="218">
        <f>SUM(F32,G32)</f>
        <v>2113000</v>
      </c>
      <c r="F32" s="218">
        <v>0</v>
      </c>
      <c r="G32" s="218">
        <v>2113000</v>
      </c>
    </row>
    <row r="33" spans="1:7" s="219" customFormat="1" ht="65.25" customHeight="1">
      <c r="A33" s="242"/>
      <c r="B33" s="242"/>
      <c r="C33" s="242"/>
      <c r="D33" s="230" t="s">
        <v>717</v>
      </c>
      <c r="E33" s="218"/>
      <c r="F33" s="218"/>
      <c r="G33" s="218"/>
    </row>
    <row r="34" spans="1:7" s="212" customFormat="1" ht="19.5" customHeight="1">
      <c r="A34" s="244" t="s">
        <v>256</v>
      </c>
      <c r="B34" s="244"/>
      <c r="C34" s="245"/>
      <c r="D34" s="246" t="s">
        <v>257</v>
      </c>
      <c r="E34" s="224">
        <f t="shared" si="1"/>
        <v>170000</v>
      </c>
      <c r="F34" s="224">
        <f t="shared" si="1"/>
        <v>170000</v>
      </c>
      <c r="G34" s="224">
        <f t="shared" si="1"/>
        <v>0</v>
      </c>
    </row>
    <row r="35" spans="1:7" s="212" customFormat="1" ht="19.5" customHeight="1">
      <c r="A35" s="240"/>
      <c r="B35" s="240" t="s">
        <v>264</v>
      </c>
      <c r="C35" s="240"/>
      <c r="D35" s="241" t="s">
        <v>265</v>
      </c>
      <c r="E35" s="215">
        <f t="shared" si="1"/>
        <v>170000</v>
      </c>
      <c r="F35" s="215">
        <f t="shared" si="1"/>
        <v>170000</v>
      </c>
      <c r="G35" s="215">
        <f t="shared" si="1"/>
        <v>0</v>
      </c>
    </row>
    <row r="36" spans="1:7" s="219" customFormat="1" ht="19.5" customHeight="1">
      <c r="A36" s="242"/>
      <c r="B36" s="242"/>
      <c r="C36" s="242" t="s">
        <v>266</v>
      </c>
      <c r="D36" s="243" t="s">
        <v>267</v>
      </c>
      <c r="E36" s="218">
        <f>SUM(F36,G36)</f>
        <v>170000</v>
      </c>
      <c r="F36" s="218">
        <v>170000</v>
      </c>
      <c r="G36" s="218">
        <v>0</v>
      </c>
    </row>
    <row r="37" spans="1:7" s="212" customFormat="1" ht="19.5" customHeight="1">
      <c r="A37" s="244" t="s">
        <v>268</v>
      </c>
      <c r="B37" s="244"/>
      <c r="C37" s="244"/>
      <c r="D37" s="246" t="s">
        <v>269</v>
      </c>
      <c r="E37" s="224">
        <f>SUM(E38,E40,E45)</f>
        <v>654650</v>
      </c>
      <c r="F37" s="224">
        <f>SUM(F38,F40,F45)</f>
        <v>654650</v>
      </c>
      <c r="G37" s="224">
        <f>SUM(G38,G40,G45)</f>
        <v>0</v>
      </c>
    </row>
    <row r="38" spans="1:7" s="212" customFormat="1" ht="19.5" customHeight="1">
      <c r="A38" s="240"/>
      <c r="B38" s="240" t="s">
        <v>270</v>
      </c>
      <c r="C38" s="240"/>
      <c r="D38" s="241" t="s">
        <v>271</v>
      </c>
      <c r="E38" s="215">
        <f>E39</f>
        <v>369700</v>
      </c>
      <c r="F38" s="215">
        <f>F39</f>
        <v>369700</v>
      </c>
      <c r="G38" s="215">
        <f>G39</f>
        <v>0</v>
      </c>
    </row>
    <row r="39" spans="1:7" s="219" customFormat="1" ht="54.75" customHeight="1">
      <c r="A39" s="242"/>
      <c r="B39" s="242"/>
      <c r="C39" s="242" t="s">
        <v>272</v>
      </c>
      <c r="D39" s="248" t="s">
        <v>273</v>
      </c>
      <c r="E39" s="218">
        <f>SUM(F39,G39)</f>
        <v>369700</v>
      </c>
      <c r="F39" s="218">
        <v>369700</v>
      </c>
      <c r="G39" s="218">
        <v>0</v>
      </c>
    </row>
    <row r="40" spans="1:7" s="212" customFormat="1" ht="19.5" customHeight="1">
      <c r="A40" s="240"/>
      <c r="B40" s="240" t="s">
        <v>279</v>
      </c>
      <c r="C40" s="240"/>
      <c r="D40" s="241" t="s">
        <v>280</v>
      </c>
      <c r="E40" s="215">
        <f>E41+E42+E43+E44</f>
        <v>89950</v>
      </c>
      <c r="F40" s="215">
        <f>F41+F42+F43+F44</f>
        <v>89950</v>
      </c>
      <c r="G40" s="215">
        <f>G41+G42+G43+G44</f>
        <v>0</v>
      </c>
    </row>
    <row r="41" spans="1:7" s="219" customFormat="1" ht="19.5" customHeight="1">
      <c r="A41" s="242"/>
      <c r="B41" s="242"/>
      <c r="C41" s="242" t="s">
        <v>227</v>
      </c>
      <c r="D41" s="243" t="s">
        <v>228</v>
      </c>
      <c r="E41" s="218">
        <f>SUM(F41,G41)</f>
        <v>40000</v>
      </c>
      <c r="F41" s="218">
        <v>40000</v>
      </c>
      <c r="G41" s="218">
        <v>0</v>
      </c>
    </row>
    <row r="42" spans="1:7" s="219" customFormat="1" ht="70.5" customHeight="1">
      <c r="A42" s="216"/>
      <c r="B42" s="216"/>
      <c r="C42" s="216" t="s">
        <v>248</v>
      </c>
      <c r="D42" s="220" t="s">
        <v>249</v>
      </c>
      <c r="E42" s="218">
        <f>SUM(F42,G42)</f>
        <v>11800</v>
      </c>
      <c r="F42" s="218">
        <v>11800</v>
      </c>
      <c r="G42" s="218">
        <v>0</v>
      </c>
    </row>
    <row r="43" spans="1:7" s="219" customFormat="1" ht="21" customHeight="1">
      <c r="A43" s="216"/>
      <c r="B43" s="216"/>
      <c r="C43" s="216" t="s">
        <v>266</v>
      </c>
      <c r="D43" s="243" t="s">
        <v>267</v>
      </c>
      <c r="E43" s="218">
        <f>SUM(F43,G43)</f>
        <v>32000</v>
      </c>
      <c r="F43" s="218">
        <v>32000</v>
      </c>
      <c r="G43" s="218"/>
    </row>
    <row r="44" spans="1:7" s="219" customFormat="1" ht="54" customHeight="1">
      <c r="A44" s="242"/>
      <c r="B44" s="242"/>
      <c r="C44" s="247" t="s">
        <v>277</v>
      </c>
      <c r="D44" s="248" t="s">
        <v>278</v>
      </c>
      <c r="E44" s="218">
        <f>SUM(F44,G44)</f>
        <v>6150</v>
      </c>
      <c r="F44" s="218">
        <v>6150</v>
      </c>
      <c r="G44" s="218"/>
    </row>
    <row r="45" spans="1:7" s="212" customFormat="1" ht="21" customHeight="1">
      <c r="A45" s="240"/>
      <c r="B45" s="240" t="s">
        <v>427</v>
      </c>
      <c r="C45" s="249"/>
      <c r="D45" s="250" t="s">
        <v>226</v>
      </c>
      <c r="E45" s="215">
        <f aca="true" t="shared" si="2" ref="E45:G49">E46</f>
        <v>195000</v>
      </c>
      <c r="F45" s="215">
        <f t="shared" si="2"/>
        <v>195000</v>
      </c>
      <c r="G45" s="215">
        <f t="shared" si="2"/>
        <v>0</v>
      </c>
    </row>
    <row r="46" spans="1:7" s="219" customFormat="1" ht="54" customHeight="1">
      <c r="A46" s="216"/>
      <c r="B46" s="216"/>
      <c r="C46" s="251">
        <v>2701</v>
      </c>
      <c r="D46" s="227" t="s">
        <v>240</v>
      </c>
      <c r="E46" s="218">
        <f>SUM(F46,G46)</f>
        <v>195000</v>
      </c>
      <c r="F46" s="218">
        <v>195000</v>
      </c>
      <c r="G46" s="218">
        <v>0</v>
      </c>
    </row>
    <row r="47" spans="1:7" s="219" customFormat="1" ht="30" customHeight="1">
      <c r="A47" s="216"/>
      <c r="B47" s="216"/>
      <c r="C47" s="251"/>
      <c r="D47" s="230" t="s">
        <v>234</v>
      </c>
      <c r="E47" s="218"/>
      <c r="F47" s="218"/>
      <c r="G47" s="218"/>
    </row>
    <row r="48" spans="1:7" s="212" customFormat="1" ht="46.5" customHeight="1">
      <c r="A48" s="252" t="s">
        <v>285</v>
      </c>
      <c r="B48" s="244"/>
      <c r="C48" s="257"/>
      <c r="D48" s="253" t="s">
        <v>551</v>
      </c>
      <c r="E48" s="224">
        <f t="shared" si="2"/>
        <v>6900</v>
      </c>
      <c r="F48" s="224">
        <f t="shared" si="2"/>
        <v>6900</v>
      </c>
      <c r="G48" s="224">
        <f t="shared" si="2"/>
        <v>0</v>
      </c>
    </row>
    <row r="49" spans="1:7" s="212" customFormat="1" ht="32.25" customHeight="1">
      <c r="A49" s="240"/>
      <c r="B49" s="240" t="s">
        <v>286</v>
      </c>
      <c r="C49" s="249"/>
      <c r="D49" s="250" t="s">
        <v>17</v>
      </c>
      <c r="E49" s="215">
        <f t="shared" si="2"/>
        <v>6900</v>
      </c>
      <c r="F49" s="215">
        <f t="shared" si="2"/>
        <v>6900</v>
      </c>
      <c r="G49" s="215">
        <f t="shared" si="2"/>
        <v>0</v>
      </c>
    </row>
    <row r="50" spans="1:7" s="219" customFormat="1" ht="54" customHeight="1">
      <c r="A50" s="216"/>
      <c r="B50" s="216"/>
      <c r="C50" s="251">
        <v>2010</v>
      </c>
      <c r="D50" s="220" t="s">
        <v>273</v>
      </c>
      <c r="E50" s="218">
        <f>SUM(F50,G50)</f>
        <v>6900</v>
      </c>
      <c r="F50" s="218">
        <v>6900</v>
      </c>
      <c r="G50" s="218">
        <v>0</v>
      </c>
    </row>
    <row r="51" spans="1:7" s="212" customFormat="1" ht="27" customHeight="1">
      <c r="A51" s="244" t="s">
        <v>287</v>
      </c>
      <c r="B51" s="244"/>
      <c r="C51" s="245"/>
      <c r="D51" s="253" t="s">
        <v>288</v>
      </c>
      <c r="E51" s="224">
        <f>E52+E54</f>
        <v>208000</v>
      </c>
      <c r="F51" s="224">
        <f>F52+F54</f>
        <v>208000</v>
      </c>
      <c r="G51" s="224">
        <f>G52+G54</f>
        <v>0</v>
      </c>
    </row>
    <row r="52" spans="1:7" s="212" customFormat="1" ht="19.5" customHeight="1">
      <c r="A52" s="240"/>
      <c r="B52" s="240" t="s">
        <v>291</v>
      </c>
      <c r="C52" s="245"/>
      <c r="D52" s="241" t="s">
        <v>292</v>
      </c>
      <c r="E52" s="215">
        <f>E53</f>
        <v>8000</v>
      </c>
      <c r="F52" s="215">
        <f>F53</f>
        <v>8000</v>
      </c>
      <c r="G52" s="215">
        <f>G53</f>
        <v>0</v>
      </c>
    </row>
    <row r="53" spans="1:7" s="219" customFormat="1" ht="54" customHeight="1">
      <c r="A53" s="242"/>
      <c r="B53" s="242"/>
      <c r="C53" s="256">
        <v>2010</v>
      </c>
      <c r="D53" s="248" t="s">
        <v>273</v>
      </c>
      <c r="E53" s="218">
        <f>SUM(F53,G53)</f>
        <v>8000</v>
      </c>
      <c r="F53" s="218">
        <v>8000</v>
      </c>
      <c r="G53" s="218">
        <v>0</v>
      </c>
    </row>
    <row r="54" spans="1:7" s="212" customFormat="1" ht="19.5" customHeight="1">
      <c r="A54" s="240"/>
      <c r="B54" s="240" t="s">
        <v>293</v>
      </c>
      <c r="C54" s="249"/>
      <c r="D54" s="250" t="s">
        <v>294</v>
      </c>
      <c r="E54" s="215">
        <f>E55</f>
        <v>200000</v>
      </c>
      <c r="F54" s="215">
        <f>F55</f>
        <v>200000</v>
      </c>
      <c r="G54" s="215">
        <f>G55</f>
        <v>0</v>
      </c>
    </row>
    <row r="55" spans="1:7" s="219" customFormat="1" ht="31.5" customHeight="1">
      <c r="A55" s="242"/>
      <c r="B55" s="242"/>
      <c r="C55" s="247" t="s">
        <v>247</v>
      </c>
      <c r="D55" s="248" t="s">
        <v>45</v>
      </c>
      <c r="E55" s="218">
        <f>SUM(F55,G55)</f>
        <v>200000</v>
      </c>
      <c r="F55" s="218">
        <v>200000</v>
      </c>
      <c r="G55" s="218">
        <v>0</v>
      </c>
    </row>
    <row r="56" spans="1:7" s="212" customFormat="1" ht="54.75" customHeight="1">
      <c r="A56" s="252" t="s">
        <v>295</v>
      </c>
      <c r="B56" s="244"/>
      <c r="C56" s="244"/>
      <c r="D56" s="253" t="s">
        <v>296</v>
      </c>
      <c r="E56" s="224">
        <f>SUM(E57,E60,E67,E77,E83)</f>
        <v>55818778</v>
      </c>
      <c r="F56" s="224">
        <f>SUM(F57,F60,F67,F77,F83)</f>
        <v>55818778</v>
      </c>
      <c r="G56" s="224">
        <f>SUM(G57,G60,G67,G77,G83)</f>
        <v>0</v>
      </c>
    </row>
    <row r="57" spans="1:7" s="212" customFormat="1" ht="20.25" customHeight="1">
      <c r="A57" s="240"/>
      <c r="B57" s="240" t="s">
        <v>297</v>
      </c>
      <c r="C57" s="240"/>
      <c r="D57" s="241" t="s">
        <v>298</v>
      </c>
      <c r="E57" s="215">
        <f>E58+E59</f>
        <v>345500</v>
      </c>
      <c r="F57" s="215">
        <f>F58+F59</f>
        <v>345500</v>
      </c>
      <c r="G57" s="215">
        <f>G58+G59</f>
        <v>0</v>
      </c>
    </row>
    <row r="58" spans="1:7" s="219" customFormat="1" ht="33.75" customHeight="1">
      <c r="A58" s="242"/>
      <c r="B58" s="242"/>
      <c r="C58" s="242" t="s">
        <v>299</v>
      </c>
      <c r="D58" s="248" t="s">
        <v>300</v>
      </c>
      <c r="E58" s="218">
        <f>SUM(F58,G58)</f>
        <v>340000</v>
      </c>
      <c r="F58" s="218">
        <v>340000</v>
      </c>
      <c r="G58" s="218">
        <v>0</v>
      </c>
    </row>
    <row r="59" spans="1:7" s="219" customFormat="1" ht="28.5" customHeight="1">
      <c r="A59" s="242"/>
      <c r="B59" s="242"/>
      <c r="C59" s="247" t="s">
        <v>301</v>
      </c>
      <c r="D59" s="248" t="s">
        <v>302</v>
      </c>
      <c r="E59" s="218">
        <f>SUM(F59,G59)</f>
        <v>5500</v>
      </c>
      <c r="F59" s="218">
        <v>5500</v>
      </c>
      <c r="G59" s="218">
        <v>0</v>
      </c>
    </row>
    <row r="60" spans="1:7" s="212" customFormat="1" ht="55.5" customHeight="1">
      <c r="A60" s="240"/>
      <c r="B60" s="254" t="s">
        <v>303</v>
      </c>
      <c r="C60" s="240"/>
      <c r="D60" s="250" t="s">
        <v>304</v>
      </c>
      <c r="E60" s="215">
        <f>SUM(E61,E62,E63,E64,E65,E66)</f>
        <v>18036000</v>
      </c>
      <c r="F60" s="215">
        <f>SUM(F61,F62,F63,F64,F65,F66)</f>
        <v>18036000</v>
      </c>
      <c r="G60" s="215">
        <f>SUM(G61,G62,G63,G64,G65,G66)</f>
        <v>0</v>
      </c>
    </row>
    <row r="61" spans="1:7" s="219" customFormat="1" ht="19.5" customHeight="1">
      <c r="A61" s="242"/>
      <c r="B61" s="242"/>
      <c r="C61" s="242" t="s">
        <v>305</v>
      </c>
      <c r="D61" s="243" t="s">
        <v>306</v>
      </c>
      <c r="E61" s="218">
        <f aca="true" t="shared" si="3" ref="E61:E66">SUM(F61,G61)</f>
        <v>17550000</v>
      </c>
      <c r="F61" s="218">
        <v>17550000</v>
      </c>
      <c r="G61" s="218">
        <v>0</v>
      </c>
    </row>
    <row r="62" spans="1:7" s="219" customFormat="1" ht="19.5" customHeight="1">
      <c r="A62" s="242"/>
      <c r="B62" s="242"/>
      <c r="C62" s="242" t="s">
        <v>307</v>
      </c>
      <c r="D62" s="243" t="s">
        <v>308</v>
      </c>
      <c r="E62" s="218">
        <f t="shared" si="3"/>
        <v>6000</v>
      </c>
      <c r="F62" s="218">
        <v>6000</v>
      </c>
      <c r="G62" s="218">
        <v>0</v>
      </c>
    </row>
    <row r="63" spans="1:7" s="219" customFormat="1" ht="19.5" customHeight="1">
      <c r="A63" s="242"/>
      <c r="B63" s="242"/>
      <c r="C63" s="242" t="s">
        <v>309</v>
      </c>
      <c r="D63" s="243" t="s">
        <v>310</v>
      </c>
      <c r="E63" s="218">
        <f t="shared" si="3"/>
        <v>58000</v>
      </c>
      <c r="F63" s="218">
        <v>58000</v>
      </c>
      <c r="G63" s="218">
        <v>0</v>
      </c>
    </row>
    <row r="64" spans="1:7" s="219" customFormat="1" ht="19.5" customHeight="1">
      <c r="A64" s="242"/>
      <c r="B64" s="242"/>
      <c r="C64" s="242" t="s">
        <v>311</v>
      </c>
      <c r="D64" s="243" t="s">
        <v>312</v>
      </c>
      <c r="E64" s="218">
        <f t="shared" si="3"/>
        <v>142000</v>
      </c>
      <c r="F64" s="218">
        <v>142000</v>
      </c>
      <c r="G64" s="218">
        <v>0</v>
      </c>
    </row>
    <row r="65" spans="1:7" s="219" customFormat="1" ht="19.5" customHeight="1">
      <c r="A65" s="242"/>
      <c r="B65" s="242"/>
      <c r="C65" s="242" t="s">
        <v>313</v>
      </c>
      <c r="D65" s="243" t="s">
        <v>314</v>
      </c>
      <c r="E65" s="218">
        <f t="shared" si="3"/>
        <v>180000</v>
      </c>
      <c r="F65" s="218">
        <v>180000</v>
      </c>
      <c r="G65" s="218">
        <v>0</v>
      </c>
    </row>
    <row r="66" spans="1:7" s="219" customFormat="1" ht="30" customHeight="1">
      <c r="A66" s="242"/>
      <c r="B66" s="242"/>
      <c r="C66" s="242" t="s">
        <v>301</v>
      </c>
      <c r="D66" s="248" t="s">
        <v>302</v>
      </c>
      <c r="E66" s="218">
        <f t="shared" si="3"/>
        <v>100000</v>
      </c>
      <c r="F66" s="218">
        <v>100000</v>
      </c>
      <c r="G66" s="218">
        <v>0</v>
      </c>
    </row>
    <row r="67" spans="1:7" s="212" customFormat="1" ht="54.75" customHeight="1">
      <c r="A67" s="240"/>
      <c r="B67" s="240" t="s">
        <v>315</v>
      </c>
      <c r="C67" s="240"/>
      <c r="D67" s="250" t="s">
        <v>316</v>
      </c>
      <c r="E67" s="215">
        <f>SUM(E68,E69,E70,E71,E72,E73,E74,E75,E76)</f>
        <v>10233800</v>
      </c>
      <c r="F67" s="215">
        <f>SUM(F68,F69,F70,F71,F72,F73,F74,F75,F76)</f>
        <v>10233800</v>
      </c>
      <c r="G67" s="215">
        <f>SUM(G68,G69,G70,G71,G72,G73,G74,G75,G76)</f>
        <v>0</v>
      </c>
    </row>
    <row r="68" spans="1:7" s="219" customFormat="1" ht="19.5" customHeight="1">
      <c r="A68" s="242"/>
      <c r="B68" s="242"/>
      <c r="C68" s="242" t="s">
        <v>305</v>
      </c>
      <c r="D68" s="243" t="s">
        <v>306</v>
      </c>
      <c r="E68" s="218">
        <f>SUM(F68,G68)</f>
        <v>3650000</v>
      </c>
      <c r="F68" s="218">
        <v>3650000</v>
      </c>
      <c r="G68" s="218">
        <v>0</v>
      </c>
    </row>
    <row r="69" spans="1:7" s="219" customFormat="1" ht="19.5" customHeight="1">
      <c r="A69" s="242"/>
      <c r="B69" s="242"/>
      <c r="C69" s="242" t="s">
        <v>307</v>
      </c>
      <c r="D69" s="243" t="s">
        <v>308</v>
      </c>
      <c r="E69" s="218">
        <f aca="true" t="shared" si="4" ref="E69:E76">SUM(F69,G69)</f>
        <v>41200</v>
      </c>
      <c r="F69" s="218">
        <v>41200</v>
      </c>
      <c r="G69" s="218">
        <v>0</v>
      </c>
    </row>
    <row r="70" spans="1:7" s="219" customFormat="1" ht="19.5" customHeight="1">
      <c r="A70" s="242"/>
      <c r="B70" s="242"/>
      <c r="C70" s="242" t="s">
        <v>309</v>
      </c>
      <c r="D70" s="243" t="s">
        <v>310</v>
      </c>
      <c r="E70" s="218">
        <f t="shared" si="4"/>
        <v>600</v>
      </c>
      <c r="F70" s="218">
        <v>600</v>
      </c>
      <c r="G70" s="218">
        <v>0</v>
      </c>
    </row>
    <row r="71" spans="1:7" s="219" customFormat="1" ht="19.5" customHeight="1">
      <c r="A71" s="242"/>
      <c r="B71" s="242"/>
      <c r="C71" s="242" t="s">
        <v>311</v>
      </c>
      <c r="D71" s="243" t="s">
        <v>312</v>
      </c>
      <c r="E71" s="218">
        <f t="shared" si="4"/>
        <v>97000</v>
      </c>
      <c r="F71" s="218">
        <v>97000</v>
      </c>
      <c r="G71" s="218">
        <v>0</v>
      </c>
    </row>
    <row r="72" spans="1:7" s="219" customFormat="1" ht="19.5" customHeight="1">
      <c r="A72" s="242"/>
      <c r="B72" s="242"/>
      <c r="C72" s="242" t="s">
        <v>317</v>
      </c>
      <c r="D72" s="243" t="s">
        <v>318</v>
      </c>
      <c r="E72" s="218">
        <f t="shared" si="4"/>
        <v>280000</v>
      </c>
      <c r="F72" s="218">
        <v>280000</v>
      </c>
      <c r="G72" s="218">
        <v>0</v>
      </c>
    </row>
    <row r="73" spans="1:7" s="219" customFormat="1" ht="42.75" customHeight="1">
      <c r="A73" s="242"/>
      <c r="B73" s="242"/>
      <c r="C73" s="242" t="s">
        <v>319</v>
      </c>
      <c r="D73" s="248" t="s">
        <v>320</v>
      </c>
      <c r="E73" s="218">
        <f t="shared" si="4"/>
        <v>3400000</v>
      </c>
      <c r="F73" s="218">
        <v>3400000</v>
      </c>
      <c r="G73" s="218">
        <v>0</v>
      </c>
    </row>
    <row r="74" spans="1:7" s="219" customFormat="1" ht="19.5" customHeight="1">
      <c r="A74" s="242"/>
      <c r="B74" s="242"/>
      <c r="C74" s="242" t="s">
        <v>321</v>
      </c>
      <c r="D74" s="243" t="s">
        <v>322</v>
      </c>
      <c r="E74" s="218">
        <f t="shared" si="4"/>
        <v>500000</v>
      </c>
      <c r="F74" s="218">
        <v>500000</v>
      </c>
      <c r="G74" s="218">
        <v>0</v>
      </c>
    </row>
    <row r="75" spans="1:7" s="219" customFormat="1" ht="19.5" customHeight="1">
      <c r="A75" s="242"/>
      <c r="B75" s="242"/>
      <c r="C75" s="242" t="s">
        <v>313</v>
      </c>
      <c r="D75" s="243" t="s">
        <v>314</v>
      </c>
      <c r="E75" s="218">
        <f t="shared" si="4"/>
        <v>2200000</v>
      </c>
      <c r="F75" s="218">
        <v>2200000</v>
      </c>
      <c r="G75" s="218">
        <v>0</v>
      </c>
    </row>
    <row r="76" spans="1:7" s="219" customFormat="1" ht="28.5" customHeight="1">
      <c r="A76" s="242"/>
      <c r="B76" s="242"/>
      <c r="C76" s="242" t="s">
        <v>301</v>
      </c>
      <c r="D76" s="248" t="s">
        <v>302</v>
      </c>
      <c r="E76" s="218">
        <f t="shared" si="4"/>
        <v>65000</v>
      </c>
      <c r="F76" s="218">
        <v>65000</v>
      </c>
      <c r="G76" s="218">
        <v>0</v>
      </c>
    </row>
    <row r="77" spans="1:7" s="212" customFormat="1" ht="43.5" customHeight="1">
      <c r="A77" s="240"/>
      <c r="B77" s="240" t="s">
        <v>323</v>
      </c>
      <c r="C77" s="240"/>
      <c r="D77" s="250" t="s">
        <v>324</v>
      </c>
      <c r="E77" s="215">
        <f>SUM(E78,E79,E80,E81,E82)</f>
        <v>1730000</v>
      </c>
      <c r="F77" s="215">
        <f>SUM(F78,F79,F80,F81,F82)</f>
        <v>1730000</v>
      </c>
      <c r="G77" s="215">
        <f>SUM(G78,G79,G80,G81,G82)</f>
        <v>0</v>
      </c>
    </row>
    <row r="78" spans="1:7" s="219" customFormat="1" ht="19.5" customHeight="1">
      <c r="A78" s="242"/>
      <c r="B78" s="242"/>
      <c r="C78" s="242" t="s">
        <v>325</v>
      </c>
      <c r="D78" s="243" t="s">
        <v>326</v>
      </c>
      <c r="E78" s="218">
        <f>SUM(F78,G78)</f>
        <v>500000</v>
      </c>
      <c r="F78" s="218">
        <v>500000</v>
      </c>
      <c r="G78" s="218">
        <v>0</v>
      </c>
    </row>
    <row r="79" spans="1:7" s="219" customFormat="1" ht="19.5" customHeight="1">
      <c r="A79" s="242"/>
      <c r="B79" s="242"/>
      <c r="C79" s="242" t="s">
        <v>329</v>
      </c>
      <c r="D79" s="243" t="s">
        <v>330</v>
      </c>
      <c r="E79" s="218">
        <f>SUM(F79,G79)</f>
        <v>5000</v>
      </c>
      <c r="F79" s="218">
        <v>5000</v>
      </c>
      <c r="G79" s="218">
        <v>0</v>
      </c>
    </row>
    <row r="80" spans="1:7" s="219" customFormat="1" ht="28.5" customHeight="1">
      <c r="A80" s="242"/>
      <c r="B80" s="242"/>
      <c r="C80" s="242" t="s">
        <v>331</v>
      </c>
      <c r="D80" s="248" t="s">
        <v>332</v>
      </c>
      <c r="E80" s="218">
        <f>SUM(F80,G80)</f>
        <v>1100000</v>
      </c>
      <c r="F80" s="218">
        <v>1100000</v>
      </c>
      <c r="G80" s="218">
        <v>0</v>
      </c>
    </row>
    <row r="81" spans="1:7" s="219" customFormat="1" ht="43.5" customHeight="1">
      <c r="A81" s="242"/>
      <c r="B81" s="242"/>
      <c r="C81" s="242" t="s">
        <v>333</v>
      </c>
      <c r="D81" s="248" t="s">
        <v>334</v>
      </c>
      <c r="E81" s="218">
        <f>SUM(F81,G81)</f>
        <v>110000</v>
      </c>
      <c r="F81" s="218">
        <v>110000</v>
      </c>
      <c r="G81" s="218">
        <v>0</v>
      </c>
    </row>
    <row r="82" spans="1:7" s="219" customFormat="1" ht="19.5" customHeight="1">
      <c r="A82" s="242"/>
      <c r="B82" s="242"/>
      <c r="C82" s="247" t="s">
        <v>335</v>
      </c>
      <c r="D82" s="248" t="s">
        <v>336</v>
      </c>
      <c r="E82" s="218">
        <f>SUM(F82,G82)</f>
        <v>15000</v>
      </c>
      <c r="F82" s="218">
        <v>15000</v>
      </c>
      <c r="G82" s="218">
        <v>0</v>
      </c>
    </row>
    <row r="83" spans="1:7" s="212" customFormat="1" ht="32.25" customHeight="1">
      <c r="A83" s="240"/>
      <c r="B83" s="240" t="s">
        <v>337</v>
      </c>
      <c r="C83" s="240"/>
      <c r="D83" s="250" t="s">
        <v>338</v>
      </c>
      <c r="E83" s="215">
        <f>E84+E85</f>
        <v>25473478</v>
      </c>
      <c r="F83" s="215">
        <f>F84+F85</f>
        <v>25473478</v>
      </c>
      <c r="G83" s="215">
        <f>G84+G85</f>
        <v>0</v>
      </c>
    </row>
    <row r="84" spans="1:7" s="219" customFormat="1" ht="19.5" customHeight="1">
      <c r="A84" s="242"/>
      <c r="B84" s="242"/>
      <c r="C84" s="242" t="s">
        <v>339</v>
      </c>
      <c r="D84" s="243" t="s">
        <v>340</v>
      </c>
      <c r="E84" s="218">
        <f>SUM(F84,G84)</f>
        <v>24173478</v>
      </c>
      <c r="F84" s="218">
        <v>24173478</v>
      </c>
      <c r="G84" s="218">
        <v>0</v>
      </c>
    </row>
    <row r="85" spans="1:7" s="219" customFormat="1" ht="19.5" customHeight="1">
      <c r="A85" s="242"/>
      <c r="B85" s="242"/>
      <c r="C85" s="242" t="s">
        <v>341</v>
      </c>
      <c r="D85" s="243" t="s">
        <v>342</v>
      </c>
      <c r="E85" s="218">
        <f>SUM(F85,G85)</f>
        <v>1300000</v>
      </c>
      <c r="F85" s="218">
        <v>1300000</v>
      </c>
      <c r="G85" s="218">
        <v>0</v>
      </c>
    </row>
    <row r="86" spans="1:7" s="212" customFormat="1" ht="19.5" customHeight="1">
      <c r="A86" s="244" t="s">
        <v>345</v>
      </c>
      <c r="B86" s="244"/>
      <c r="C86" s="244"/>
      <c r="D86" s="246" t="s">
        <v>346</v>
      </c>
      <c r="E86" s="224">
        <f>SUM(E87,E89)</f>
        <v>21477215</v>
      </c>
      <c r="F86" s="224">
        <f>SUM(F87,F89)</f>
        <v>21477215</v>
      </c>
      <c r="G86" s="224">
        <f>SUM(G87,G89)</f>
        <v>0</v>
      </c>
    </row>
    <row r="87" spans="1:7" s="212" customFormat="1" ht="32.25" customHeight="1">
      <c r="A87" s="240"/>
      <c r="B87" s="240" t="s">
        <v>347</v>
      </c>
      <c r="C87" s="240"/>
      <c r="D87" s="250" t="s">
        <v>348</v>
      </c>
      <c r="E87" s="215">
        <f>E88</f>
        <v>14366377</v>
      </c>
      <c r="F87" s="215">
        <f>F88</f>
        <v>14366377</v>
      </c>
      <c r="G87" s="215">
        <f>G88</f>
        <v>0</v>
      </c>
    </row>
    <row r="88" spans="1:7" s="219" customFormat="1" ht="19.5" customHeight="1">
      <c r="A88" s="255"/>
      <c r="B88" s="255"/>
      <c r="C88" s="242" t="s">
        <v>349</v>
      </c>
      <c r="D88" s="248" t="s">
        <v>350</v>
      </c>
      <c r="E88" s="218">
        <f>SUM(F88,G88)</f>
        <v>14366377</v>
      </c>
      <c r="F88" s="218">
        <v>14366377</v>
      </c>
      <c r="G88" s="218">
        <v>0</v>
      </c>
    </row>
    <row r="89" spans="1:7" s="212" customFormat="1" ht="19.5" customHeight="1">
      <c r="A89" s="240"/>
      <c r="B89" s="240" t="s">
        <v>354</v>
      </c>
      <c r="C89" s="240"/>
      <c r="D89" s="241" t="s">
        <v>355</v>
      </c>
      <c r="E89" s="215">
        <f>SUM(E90,E91,E92)</f>
        <v>7110838</v>
      </c>
      <c r="F89" s="215">
        <f>SUM(F90,F91,F92)</f>
        <v>7110838</v>
      </c>
      <c r="G89" s="215">
        <f>SUM(G90,G91,G92)</f>
        <v>0</v>
      </c>
    </row>
    <row r="90" spans="1:7" s="219" customFormat="1" ht="19.5" customHeight="1">
      <c r="A90" s="242"/>
      <c r="B90" s="242"/>
      <c r="C90" s="242" t="s">
        <v>254</v>
      </c>
      <c r="D90" s="243" t="s">
        <v>356</v>
      </c>
      <c r="E90" s="218">
        <f>SUM(F90,G90)</f>
        <v>600000</v>
      </c>
      <c r="F90" s="218">
        <v>600000</v>
      </c>
      <c r="G90" s="218">
        <v>0</v>
      </c>
    </row>
    <row r="91" spans="1:7" s="219" customFormat="1" ht="19.5" customHeight="1">
      <c r="A91" s="242"/>
      <c r="B91" s="242"/>
      <c r="C91" s="242" t="s">
        <v>283</v>
      </c>
      <c r="D91" s="217" t="s">
        <v>284</v>
      </c>
      <c r="E91" s="218">
        <f>SUM(F91,G91)</f>
        <v>4640000</v>
      </c>
      <c r="F91" s="218">
        <v>4640000</v>
      </c>
      <c r="G91" s="218">
        <v>0</v>
      </c>
    </row>
    <row r="92" spans="1:7" s="219" customFormat="1" ht="42" customHeight="1">
      <c r="A92" s="242"/>
      <c r="B92" s="242"/>
      <c r="C92" s="256">
        <v>2030</v>
      </c>
      <c r="D92" s="248" t="s">
        <v>377</v>
      </c>
      <c r="E92" s="218">
        <f>SUM(F92,G92)</f>
        <v>1870838</v>
      </c>
      <c r="F92" s="218">
        <v>1870838</v>
      </c>
      <c r="G92" s="218">
        <v>0</v>
      </c>
    </row>
    <row r="93" spans="1:7" s="219" customFormat="1" ht="21.75" customHeight="1">
      <c r="A93" s="244" t="s">
        <v>433</v>
      </c>
      <c r="B93" s="244"/>
      <c r="C93" s="257"/>
      <c r="D93" s="223" t="s">
        <v>504</v>
      </c>
      <c r="E93" s="224">
        <f aca="true" t="shared" si="5" ref="E93:G97">SUM(E94)</f>
        <v>64000</v>
      </c>
      <c r="F93" s="224">
        <f t="shared" si="5"/>
        <v>64000</v>
      </c>
      <c r="G93" s="224">
        <f t="shared" si="5"/>
        <v>0</v>
      </c>
    </row>
    <row r="94" spans="1:7" s="219" customFormat="1" ht="22.5" customHeight="1">
      <c r="A94" s="240"/>
      <c r="B94" s="240" t="s">
        <v>440</v>
      </c>
      <c r="C94" s="249"/>
      <c r="D94" s="250" t="s">
        <v>226</v>
      </c>
      <c r="E94" s="215">
        <f t="shared" si="5"/>
        <v>64000</v>
      </c>
      <c r="F94" s="215">
        <f t="shared" si="5"/>
        <v>64000</v>
      </c>
      <c r="G94" s="215">
        <f t="shared" si="5"/>
        <v>0</v>
      </c>
    </row>
    <row r="95" spans="1:7" s="219" customFormat="1" ht="42" customHeight="1">
      <c r="A95" s="242"/>
      <c r="B95" s="242"/>
      <c r="C95" s="256">
        <v>2030</v>
      </c>
      <c r="D95" s="248" t="s">
        <v>377</v>
      </c>
      <c r="E95" s="218">
        <f>SUM(F95,G95)</f>
        <v>64000</v>
      </c>
      <c r="F95" s="218">
        <v>64000</v>
      </c>
      <c r="G95" s="218">
        <v>0</v>
      </c>
    </row>
    <row r="96" spans="1:7" s="219" customFormat="1" ht="21.75" customHeight="1">
      <c r="A96" s="244" t="s">
        <v>360</v>
      </c>
      <c r="B96" s="244"/>
      <c r="C96" s="257"/>
      <c r="D96" s="223" t="s">
        <v>361</v>
      </c>
      <c r="E96" s="224">
        <f t="shared" si="5"/>
        <v>3000</v>
      </c>
      <c r="F96" s="224">
        <f t="shared" si="5"/>
        <v>3000</v>
      </c>
      <c r="G96" s="224">
        <f t="shared" si="5"/>
        <v>0</v>
      </c>
    </row>
    <row r="97" spans="1:7" s="219" customFormat="1" ht="22.5" customHeight="1">
      <c r="A97" s="240"/>
      <c r="B97" s="240" t="s">
        <v>445</v>
      </c>
      <c r="C97" s="249"/>
      <c r="D97" s="250" t="s">
        <v>226</v>
      </c>
      <c r="E97" s="215">
        <f t="shared" si="5"/>
        <v>3000</v>
      </c>
      <c r="F97" s="215">
        <f t="shared" si="5"/>
        <v>3000</v>
      </c>
      <c r="G97" s="215">
        <f t="shared" si="5"/>
        <v>0</v>
      </c>
    </row>
    <row r="98" spans="1:7" s="219" customFormat="1" ht="56.25" customHeight="1">
      <c r="A98" s="242"/>
      <c r="B98" s="242"/>
      <c r="C98" s="256">
        <v>2010</v>
      </c>
      <c r="D98" s="248" t="s">
        <v>273</v>
      </c>
      <c r="E98" s="218">
        <f>SUM(F98,G98)</f>
        <v>3000</v>
      </c>
      <c r="F98" s="218">
        <v>3000</v>
      </c>
      <c r="G98" s="218">
        <v>0</v>
      </c>
    </row>
    <row r="99" spans="1:7" s="212" customFormat="1" ht="19.5" customHeight="1">
      <c r="A99" s="244" t="s">
        <v>364</v>
      </c>
      <c r="B99" s="244"/>
      <c r="C99" s="257"/>
      <c r="D99" s="223" t="s">
        <v>365</v>
      </c>
      <c r="E99" s="224">
        <f>SUM(E100,E103,E105,E107,E110,E112,E115)</f>
        <v>9514000</v>
      </c>
      <c r="F99" s="224">
        <f>SUM(F100,F103,F105,F107,F110,F112,F115)</f>
        <v>8114000</v>
      </c>
      <c r="G99" s="224">
        <f>SUM(G100,G103,G105,G107,G110,G112,G115)</f>
        <v>1400000</v>
      </c>
    </row>
    <row r="100" spans="1:7" s="212" customFormat="1" ht="19.5" customHeight="1">
      <c r="A100" s="240"/>
      <c r="B100" s="240" t="s">
        <v>366</v>
      </c>
      <c r="C100" s="249"/>
      <c r="D100" s="250" t="s">
        <v>367</v>
      </c>
      <c r="E100" s="215">
        <f>SUM(E101,E102)</f>
        <v>143000</v>
      </c>
      <c r="F100" s="215">
        <f>SUM(F101,F102)</f>
        <v>143000</v>
      </c>
      <c r="G100" s="215">
        <f>SUM(G101,G102)</f>
        <v>0</v>
      </c>
    </row>
    <row r="101" spans="1:7" s="219" customFormat="1" ht="19.5" customHeight="1">
      <c r="A101" s="242"/>
      <c r="B101" s="242"/>
      <c r="C101" s="247" t="s">
        <v>266</v>
      </c>
      <c r="D101" s="248" t="s">
        <v>267</v>
      </c>
      <c r="E101" s="218">
        <f>SUM(F101,G101)</f>
        <v>12000</v>
      </c>
      <c r="F101" s="218">
        <v>12000</v>
      </c>
      <c r="G101" s="218">
        <v>0</v>
      </c>
    </row>
    <row r="102" spans="1:7" s="219" customFormat="1" ht="57.75" customHeight="1">
      <c r="A102" s="242"/>
      <c r="B102" s="242"/>
      <c r="C102" s="256">
        <v>2010</v>
      </c>
      <c r="D102" s="248" t="s">
        <v>273</v>
      </c>
      <c r="E102" s="218">
        <f>SUM(F102,G102)</f>
        <v>131000</v>
      </c>
      <c r="F102" s="218">
        <v>131000</v>
      </c>
      <c r="G102" s="218">
        <v>0</v>
      </c>
    </row>
    <row r="103" spans="1:7" s="212" customFormat="1" ht="46.5" customHeight="1">
      <c r="A103" s="240"/>
      <c r="B103" s="240" t="s">
        <v>372</v>
      </c>
      <c r="C103" s="249"/>
      <c r="D103" s="274" t="s">
        <v>373</v>
      </c>
      <c r="E103" s="215">
        <f>E104</f>
        <v>5704000</v>
      </c>
      <c r="F103" s="215">
        <f>F104</f>
        <v>5704000</v>
      </c>
      <c r="G103" s="215">
        <f>G104</f>
        <v>0</v>
      </c>
    </row>
    <row r="104" spans="1:7" s="219" customFormat="1" ht="56.25" customHeight="1">
      <c r="A104" s="242"/>
      <c r="B104" s="242"/>
      <c r="C104" s="256">
        <v>2010</v>
      </c>
      <c r="D104" s="248" t="s">
        <v>273</v>
      </c>
      <c r="E104" s="218">
        <f>SUM(F104,G104)</f>
        <v>5704000</v>
      </c>
      <c r="F104" s="218">
        <v>5704000</v>
      </c>
      <c r="G104" s="218">
        <v>0</v>
      </c>
    </row>
    <row r="105" spans="1:7" s="212" customFormat="1" ht="69" customHeight="1">
      <c r="A105" s="240"/>
      <c r="B105" s="240" t="s">
        <v>374</v>
      </c>
      <c r="C105" s="249"/>
      <c r="D105" s="225" t="s">
        <v>718</v>
      </c>
      <c r="E105" s="215">
        <f>E106</f>
        <v>84000</v>
      </c>
      <c r="F105" s="215">
        <f>F106</f>
        <v>84000</v>
      </c>
      <c r="G105" s="215">
        <f>G106</f>
        <v>0</v>
      </c>
    </row>
    <row r="106" spans="1:7" s="219" customFormat="1" ht="54.75" customHeight="1">
      <c r="A106" s="242"/>
      <c r="B106" s="242"/>
      <c r="C106" s="256">
        <v>2010</v>
      </c>
      <c r="D106" s="248" t="s">
        <v>273</v>
      </c>
      <c r="E106" s="218">
        <f>SUM(F106,G106)</f>
        <v>84000</v>
      </c>
      <c r="F106" s="218">
        <v>84000</v>
      </c>
      <c r="G106" s="218">
        <v>0</v>
      </c>
    </row>
    <row r="107" spans="1:7" s="212" customFormat="1" ht="32.25" customHeight="1">
      <c r="A107" s="242"/>
      <c r="B107" s="240" t="s">
        <v>375</v>
      </c>
      <c r="C107" s="256"/>
      <c r="D107" s="225" t="s">
        <v>376</v>
      </c>
      <c r="E107" s="215">
        <f>+E108+E109</f>
        <v>1133000</v>
      </c>
      <c r="F107" s="215">
        <f>+F108+F109</f>
        <v>1133000</v>
      </c>
      <c r="G107" s="215">
        <f>+G108+G109</f>
        <v>0</v>
      </c>
    </row>
    <row r="108" spans="1:7" s="219" customFormat="1" ht="54.75" customHeight="1">
      <c r="A108" s="242"/>
      <c r="B108" s="242"/>
      <c r="C108" s="256">
        <v>2010</v>
      </c>
      <c r="D108" s="248" t="s">
        <v>273</v>
      </c>
      <c r="E108" s="218">
        <f>SUM(F108,G108)</f>
        <v>801000</v>
      </c>
      <c r="F108" s="218">
        <v>801000</v>
      </c>
      <c r="G108" s="218">
        <v>0</v>
      </c>
    </row>
    <row r="109" spans="1:7" s="219" customFormat="1" ht="41.25" customHeight="1">
      <c r="A109" s="242"/>
      <c r="B109" s="242"/>
      <c r="C109" s="256">
        <v>2030</v>
      </c>
      <c r="D109" s="248" t="s">
        <v>377</v>
      </c>
      <c r="E109" s="218">
        <f>SUM(F109,G109)</f>
        <v>332000</v>
      </c>
      <c r="F109" s="218">
        <v>332000</v>
      </c>
      <c r="G109" s="218">
        <v>0</v>
      </c>
    </row>
    <row r="110" spans="1:7" s="212" customFormat="1" ht="19.5" customHeight="1">
      <c r="A110" s="240"/>
      <c r="B110" s="240" t="s">
        <v>378</v>
      </c>
      <c r="C110" s="249"/>
      <c r="D110" s="225" t="s">
        <v>379</v>
      </c>
      <c r="E110" s="215">
        <f>E111</f>
        <v>555000</v>
      </c>
      <c r="F110" s="215">
        <f>F111</f>
        <v>555000</v>
      </c>
      <c r="G110" s="215">
        <f>G111</f>
        <v>0</v>
      </c>
    </row>
    <row r="111" spans="1:7" s="219" customFormat="1" ht="43.5" customHeight="1">
      <c r="A111" s="242"/>
      <c r="B111" s="242"/>
      <c r="C111" s="247" t="s">
        <v>380</v>
      </c>
      <c r="D111" s="248" t="s">
        <v>377</v>
      </c>
      <c r="E111" s="218">
        <f>SUM(F111,G111)</f>
        <v>555000</v>
      </c>
      <c r="F111" s="218">
        <v>555000</v>
      </c>
      <c r="G111" s="218"/>
    </row>
    <row r="112" spans="1:7" s="212" customFormat="1" ht="29.25" customHeight="1">
      <c r="A112" s="240"/>
      <c r="B112" s="240" t="s">
        <v>381</v>
      </c>
      <c r="C112" s="249"/>
      <c r="D112" s="225" t="s">
        <v>382</v>
      </c>
      <c r="E112" s="215">
        <f>E113+E114</f>
        <v>140000</v>
      </c>
      <c r="F112" s="215">
        <f>F113+F114</f>
        <v>140000</v>
      </c>
      <c r="G112" s="215">
        <f>G113+G114</f>
        <v>0</v>
      </c>
    </row>
    <row r="113" spans="1:7" s="219" customFormat="1" ht="19.5" customHeight="1">
      <c r="A113" s="242"/>
      <c r="B113" s="242"/>
      <c r="C113" s="247" t="s">
        <v>266</v>
      </c>
      <c r="D113" s="220" t="s">
        <v>267</v>
      </c>
      <c r="E113" s="218">
        <f>SUM(F113,G113)</f>
        <v>61000</v>
      </c>
      <c r="F113" s="218">
        <v>61000</v>
      </c>
      <c r="G113" s="218">
        <v>0</v>
      </c>
    </row>
    <row r="114" spans="1:7" s="219" customFormat="1" ht="57.75" customHeight="1">
      <c r="A114" s="242"/>
      <c r="B114" s="242"/>
      <c r="C114" s="247" t="s">
        <v>272</v>
      </c>
      <c r="D114" s="248" t="s">
        <v>273</v>
      </c>
      <c r="E114" s="218">
        <f>SUM(F114,G114)</f>
        <v>79000</v>
      </c>
      <c r="F114" s="218">
        <v>79000</v>
      </c>
      <c r="G114" s="218"/>
    </row>
    <row r="115" spans="1:7" s="212" customFormat="1" ht="19.5" customHeight="1">
      <c r="A115" s="240"/>
      <c r="B115" s="240" t="s">
        <v>383</v>
      </c>
      <c r="C115" s="254"/>
      <c r="D115" s="225" t="s">
        <v>226</v>
      </c>
      <c r="E115" s="215">
        <f>SUM(E116,E117)</f>
        <v>1755000</v>
      </c>
      <c r="F115" s="215">
        <f>SUM(F116,F117)</f>
        <v>355000</v>
      </c>
      <c r="G115" s="215">
        <f>SUM(G116,G117)</f>
        <v>1400000</v>
      </c>
    </row>
    <row r="116" spans="1:7" s="219" customFormat="1" ht="44.25" customHeight="1">
      <c r="A116" s="242"/>
      <c r="B116" s="242"/>
      <c r="C116" s="247" t="s">
        <v>380</v>
      </c>
      <c r="D116" s="248" t="s">
        <v>377</v>
      </c>
      <c r="E116" s="218">
        <f>SUM(F116,G116)</f>
        <v>355000</v>
      </c>
      <c r="F116" s="218">
        <v>355000</v>
      </c>
      <c r="G116" s="218">
        <v>0</v>
      </c>
    </row>
    <row r="117" spans="1:7" s="219" customFormat="1" ht="63" customHeight="1">
      <c r="A117" s="242"/>
      <c r="B117" s="242"/>
      <c r="C117" s="247" t="s">
        <v>669</v>
      </c>
      <c r="D117" s="259" t="s">
        <v>233</v>
      </c>
      <c r="E117" s="218">
        <f>SUM(F117,G117)</f>
        <v>1400000</v>
      </c>
      <c r="F117" s="218">
        <v>0</v>
      </c>
      <c r="G117" s="218">
        <v>1400000</v>
      </c>
    </row>
    <row r="118" spans="1:7" s="212" customFormat="1" ht="19.5" customHeight="1">
      <c r="A118" s="244" t="s">
        <v>388</v>
      </c>
      <c r="B118" s="244"/>
      <c r="C118" s="244"/>
      <c r="D118" s="253" t="s">
        <v>389</v>
      </c>
      <c r="E118" s="224">
        <f>SUM(E119,E122,E124)</f>
        <v>8340200</v>
      </c>
      <c r="F118" s="224">
        <f>SUM(F119,F122,F124)</f>
        <v>5611200</v>
      </c>
      <c r="G118" s="224">
        <f>SUM(G119,G122,G124)</f>
        <v>2729000</v>
      </c>
    </row>
    <row r="119" spans="1:7" s="212" customFormat="1" ht="21.75" customHeight="1">
      <c r="A119" s="240"/>
      <c r="B119" s="240" t="s">
        <v>457</v>
      </c>
      <c r="C119" s="249"/>
      <c r="D119" s="250" t="s">
        <v>522</v>
      </c>
      <c r="E119" s="215">
        <f>E120</f>
        <v>2729000</v>
      </c>
      <c r="F119" s="215">
        <f>F120</f>
        <v>0</v>
      </c>
      <c r="G119" s="215">
        <f>G120</f>
        <v>2729000</v>
      </c>
    </row>
    <row r="120" spans="1:7" s="212" customFormat="1" ht="54" customHeight="1">
      <c r="A120" s="260"/>
      <c r="B120" s="260"/>
      <c r="C120" s="247" t="s">
        <v>617</v>
      </c>
      <c r="D120" s="259" t="s">
        <v>233</v>
      </c>
      <c r="E120" s="221">
        <f>SUM(F120,G120)</f>
        <v>2729000</v>
      </c>
      <c r="F120" s="221">
        <v>0</v>
      </c>
      <c r="G120" s="218">
        <v>2729000</v>
      </c>
    </row>
    <row r="121" spans="1:7" s="212" customFormat="1" ht="67.5" customHeight="1">
      <c r="A121" s="261"/>
      <c r="B121" s="261"/>
      <c r="C121" s="262"/>
      <c r="D121" s="230" t="s">
        <v>717</v>
      </c>
      <c r="E121" s="228"/>
      <c r="F121" s="228"/>
      <c r="G121" s="228"/>
    </row>
    <row r="122" spans="1:7" s="212" customFormat="1" ht="32.25" customHeight="1">
      <c r="A122" s="240"/>
      <c r="B122" s="240" t="s">
        <v>390</v>
      </c>
      <c r="C122" s="249"/>
      <c r="D122" s="250" t="s">
        <v>391</v>
      </c>
      <c r="E122" s="215">
        <f>E123</f>
        <v>12000</v>
      </c>
      <c r="F122" s="215">
        <f>F123</f>
        <v>12000</v>
      </c>
      <c r="G122" s="215">
        <f>G123</f>
        <v>0</v>
      </c>
    </row>
    <row r="123" spans="1:7" s="219" customFormat="1" ht="19.5" customHeight="1">
      <c r="A123" s="242"/>
      <c r="B123" s="242"/>
      <c r="C123" s="247" t="s">
        <v>392</v>
      </c>
      <c r="D123" s="248" t="s">
        <v>393</v>
      </c>
      <c r="E123" s="263">
        <f>SUM(F123,G123)</f>
        <v>12000</v>
      </c>
      <c r="F123" s="263">
        <v>12000</v>
      </c>
      <c r="G123" s="263">
        <v>0</v>
      </c>
    </row>
    <row r="124" spans="1:7" s="212" customFormat="1" ht="19.5" customHeight="1">
      <c r="A124" s="240"/>
      <c r="B124" s="240" t="s">
        <v>394</v>
      </c>
      <c r="C124" s="240"/>
      <c r="D124" s="241" t="s">
        <v>226</v>
      </c>
      <c r="E124" s="215">
        <f>E125+E126</f>
        <v>5599200</v>
      </c>
      <c r="F124" s="215">
        <f>F125+F126</f>
        <v>5599200</v>
      </c>
      <c r="G124" s="215">
        <f>G125+G126</f>
        <v>0</v>
      </c>
    </row>
    <row r="125" spans="1:7" s="219" customFormat="1" ht="69.75" customHeight="1">
      <c r="A125" s="242"/>
      <c r="B125" s="242"/>
      <c r="C125" s="247" t="s">
        <v>248</v>
      </c>
      <c r="D125" s="248" t="s">
        <v>249</v>
      </c>
      <c r="E125" s="218">
        <f>SUM(F125,G125)</f>
        <v>2200</v>
      </c>
      <c r="F125" s="218">
        <v>2200</v>
      </c>
      <c r="G125" s="218">
        <v>0</v>
      </c>
    </row>
    <row r="126" spans="1:7" s="219" customFormat="1" ht="19.5" customHeight="1">
      <c r="A126" s="242"/>
      <c r="B126" s="242"/>
      <c r="C126" s="242" t="s">
        <v>283</v>
      </c>
      <c r="D126" s="243" t="s">
        <v>284</v>
      </c>
      <c r="E126" s="218">
        <f>SUM(F126,G126)</f>
        <v>5597000</v>
      </c>
      <c r="F126" s="218">
        <v>5597000</v>
      </c>
      <c r="G126" s="218">
        <v>0</v>
      </c>
    </row>
    <row r="127" spans="1:7" s="219" customFormat="1" ht="21.75" customHeight="1">
      <c r="A127" s="235" t="s">
        <v>465</v>
      </c>
      <c r="B127" s="235"/>
      <c r="C127" s="235"/>
      <c r="D127" s="267" t="s">
        <v>528</v>
      </c>
      <c r="E127" s="239">
        <f aca="true" t="shared" si="6" ref="E127:G128">SUM(E128)</f>
        <v>993000</v>
      </c>
      <c r="F127" s="239">
        <f t="shared" si="6"/>
        <v>0</v>
      </c>
      <c r="G127" s="239">
        <f t="shared" si="6"/>
        <v>993000</v>
      </c>
    </row>
    <row r="128" spans="1:7" s="219" customFormat="1" ht="20.25" customHeight="1">
      <c r="A128" s="213"/>
      <c r="B128" s="213" t="s">
        <v>466</v>
      </c>
      <c r="C128" s="213"/>
      <c r="D128" s="268" t="s">
        <v>529</v>
      </c>
      <c r="E128" s="215">
        <f t="shared" si="6"/>
        <v>993000</v>
      </c>
      <c r="F128" s="215">
        <f t="shared" si="6"/>
        <v>0</v>
      </c>
      <c r="G128" s="215">
        <f t="shared" si="6"/>
        <v>993000</v>
      </c>
    </row>
    <row r="129" spans="1:7" s="219" customFormat="1" ht="55.5" customHeight="1">
      <c r="A129" s="270"/>
      <c r="B129" s="270"/>
      <c r="C129" s="270" t="s">
        <v>669</v>
      </c>
      <c r="D129" s="271" t="s">
        <v>233</v>
      </c>
      <c r="E129" s="264">
        <f>SUM(F129,G129)</f>
        <v>993000</v>
      </c>
      <c r="F129" s="264">
        <v>0</v>
      </c>
      <c r="G129" s="264">
        <v>993000</v>
      </c>
    </row>
    <row r="130" spans="1:7" s="265" customFormat="1" ht="26.25" customHeight="1">
      <c r="A130" s="380" t="s">
        <v>396</v>
      </c>
      <c r="B130" s="381"/>
      <c r="C130" s="381"/>
      <c r="D130" s="381"/>
      <c r="E130" s="269">
        <f>SUM(E131,E139,E142,E149,E158,E161,E167,E176,E179,E184)</f>
        <v>82461874</v>
      </c>
      <c r="F130" s="269">
        <f>SUM(F131,F139,F142,F149,F158,F161,F167,F176,F179,F184)</f>
        <v>56523874</v>
      </c>
      <c r="G130" s="269">
        <f>SUM(G131,G139,G142,G149,G158,G161,G167,G176,G179,G184)</f>
        <v>25938000</v>
      </c>
    </row>
    <row r="131" spans="1:7" s="219" customFormat="1" ht="21.75" customHeight="1">
      <c r="A131" s="209" t="s">
        <v>231</v>
      </c>
      <c r="B131" s="209"/>
      <c r="C131" s="209"/>
      <c r="D131" s="267" t="s">
        <v>232</v>
      </c>
      <c r="E131" s="211">
        <f>SUM(E132,E135)</f>
        <v>25938000</v>
      </c>
      <c r="F131" s="211">
        <f>SUM(F132,F135)</f>
        <v>0</v>
      </c>
      <c r="G131" s="211">
        <f>SUM(G132,G135)</f>
        <v>25938000</v>
      </c>
    </row>
    <row r="132" spans="1:7" s="219" customFormat="1" ht="20.25" customHeight="1">
      <c r="A132" s="213"/>
      <c r="B132" s="213" t="s">
        <v>558</v>
      </c>
      <c r="C132" s="213"/>
      <c r="D132" s="268" t="s">
        <v>559</v>
      </c>
      <c r="E132" s="215">
        <f>SUM(E133)</f>
        <v>1231000</v>
      </c>
      <c r="F132" s="215">
        <f>SUM(F133)</f>
        <v>0</v>
      </c>
      <c r="G132" s="215">
        <f>SUM(G133)</f>
        <v>1231000</v>
      </c>
    </row>
    <row r="133" spans="1:7" s="219" customFormat="1" ht="55.5" customHeight="1">
      <c r="A133" s="216"/>
      <c r="B133" s="216"/>
      <c r="C133" s="216" t="s">
        <v>617</v>
      </c>
      <c r="D133" s="248" t="s">
        <v>233</v>
      </c>
      <c r="E133" s="218">
        <f>SUM(F133,G133)</f>
        <v>1231000</v>
      </c>
      <c r="F133" s="218">
        <v>0</v>
      </c>
      <c r="G133" s="218">
        <v>1231000</v>
      </c>
    </row>
    <row r="134" spans="1:7" s="219" customFormat="1" ht="66" customHeight="1">
      <c r="A134" s="216"/>
      <c r="B134" s="216"/>
      <c r="C134" s="216"/>
      <c r="D134" s="230" t="s">
        <v>717</v>
      </c>
      <c r="E134" s="221"/>
      <c r="F134" s="221"/>
      <c r="G134" s="218"/>
    </row>
    <row r="135" spans="1:7" s="212" customFormat="1" ht="22.5" customHeight="1">
      <c r="A135" s="213"/>
      <c r="B135" s="213" t="s">
        <v>468</v>
      </c>
      <c r="C135" s="213"/>
      <c r="D135" s="225" t="s">
        <v>8</v>
      </c>
      <c r="E135" s="215">
        <f>SUM(E136,E137)</f>
        <v>24707000</v>
      </c>
      <c r="F135" s="215">
        <f>SUM(F136,F137)</f>
        <v>0</v>
      </c>
      <c r="G135" s="215">
        <f>SUM(G136,G137)</f>
        <v>24707000</v>
      </c>
    </row>
    <row r="136" spans="1:7" s="219" customFormat="1" ht="61.5" customHeight="1">
      <c r="A136" s="216"/>
      <c r="B136" s="216"/>
      <c r="C136" s="216" t="s">
        <v>669</v>
      </c>
      <c r="D136" s="248" t="s">
        <v>233</v>
      </c>
      <c r="E136" s="218">
        <f>SUM(F136:G136)</f>
        <v>3320000</v>
      </c>
      <c r="F136" s="218">
        <v>0</v>
      </c>
      <c r="G136" s="218">
        <v>3320000</v>
      </c>
    </row>
    <row r="137" spans="1:7" s="219" customFormat="1" ht="55.5" customHeight="1">
      <c r="A137" s="216"/>
      <c r="B137" s="216"/>
      <c r="C137" s="216" t="s">
        <v>617</v>
      </c>
      <c r="D137" s="248" t="s">
        <v>233</v>
      </c>
      <c r="E137" s="218">
        <f>SUM(F137:G137)</f>
        <v>21387000</v>
      </c>
      <c r="F137" s="218">
        <v>0</v>
      </c>
      <c r="G137" s="218">
        <v>21387000</v>
      </c>
    </row>
    <row r="138" spans="1:7" s="219" customFormat="1" ht="68.25" customHeight="1">
      <c r="A138" s="216"/>
      <c r="B138" s="216"/>
      <c r="C138" s="216"/>
      <c r="D138" s="230" t="s">
        <v>717</v>
      </c>
      <c r="E138" s="218"/>
      <c r="F138" s="218"/>
      <c r="G138" s="218"/>
    </row>
    <row r="139" spans="1:7" s="212" customFormat="1" ht="19.5" customHeight="1">
      <c r="A139" s="222" t="s">
        <v>241</v>
      </c>
      <c r="B139" s="222"/>
      <c r="C139" s="222"/>
      <c r="D139" s="275" t="s">
        <v>242</v>
      </c>
      <c r="E139" s="224">
        <f aca="true" t="shared" si="7" ref="E139:G140">E140</f>
        <v>49500</v>
      </c>
      <c r="F139" s="224">
        <f t="shared" si="7"/>
        <v>49500</v>
      </c>
      <c r="G139" s="224">
        <f t="shared" si="7"/>
        <v>0</v>
      </c>
    </row>
    <row r="140" spans="1:7" s="212" customFormat="1" ht="19.5" customHeight="1">
      <c r="A140" s="216"/>
      <c r="B140" s="213" t="s">
        <v>243</v>
      </c>
      <c r="C140" s="213"/>
      <c r="D140" s="214" t="s">
        <v>244</v>
      </c>
      <c r="E140" s="215">
        <f t="shared" si="7"/>
        <v>49500</v>
      </c>
      <c r="F140" s="215">
        <f t="shared" si="7"/>
        <v>49500</v>
      </c>
      <c r="G140" s="215">
        <f t="shared" si="7"/>
        <v>0</v>
      </c>
    </row>
    <row r="141" spans="1:7" s="219" customFormat="1" ht="54.75" customHeight="1">
      <c r="A141" s="242"/>
      <c r="B141" s="242"/>
      <c r="C141" s="256">
        <v>2110</v>
      </c>
      <c r="D141" s="248" t="s">
        <v>222</v>
      </c>
      <c r="E141" s="218">
        <f>SUM(F141,G141)</f>
        <v>49500</v>
      </c>
      <c r="F141" s="218">
        <v>49500</v>
      </c>
      <c r="G141" s="218">
        <v>0</v>
      </c>
    </row>
    <row r="142" spans="1:7" s="212" customFormat="1" ht="19.5" customHeight="1">
      <c r="A142" s="244" t="s">
        <v>256</v>
      </c>
      <c r="B142" s="244"/>
      <c r="C142" s="245"/>
      <c r="D142" s="246" t="s">
        <v>257</v>
      </c>
      <c r="E142" s="224">
        <f>SUM(E143,E145,E147)</f>
        <v>412200</v>
      </c>
      <c r="F142" s="224">
        <f>SUM(F143,F145,F147)</f>
        <v>412200</v>
      </c>
      <c r="G142" s="224">
        <f>SUM(G143,G145,G147)</f>
        <v>0</v>
      </c>
    </row>
    <row r="143" spans="1:7" s="212" customFormat="1" ht="19.5" customHeight="1">
      <c r="A143" s="240"/>
      <c r="B143" s="240" t="s">
        <v>258</v>
      </c>
      <c r="C143" s="240"/>
      <c r="D143" s="241" t="s">
        <v>259</v>
      </c>
      <c r="E143" s="215">
        <f>E144</f>
        <v>45000</v>
      </c>
      <c r="F143" s="215">
        <f>F144</f>
        <v>45000</v>
      </c>
      <c r="G143" s="215">
        <f>G144</f>
        <v>0</v>
      </c>
    </row>
    <row r="144" spans="1:7" s="219" customFormat="1" ht="55.5" customHeight="1">
      <c r="A144" s="242"/>
      <c r="B144" s="242"/>
      <c r="C144" s="242" t="s">
        <v>221</v>
      </c>
      <c r="D144" s="248" t="s">
        <v>222</v>
      </c>
      <c r="E144" s="218">
        <f>SUM(F144,G144)</f>
        <v>45000</v>
      </c>
      <c r="F144" s="218">
        <v>45000</v>
      </c>
      <c r="G144" s="218">
        <v>0</v>
      </c>
    </row>
    <row r="145" spans="1:7" s="212" customFormat="1" ht="19.5" customHeight="1">
      <c r="A145" s="240"/>
      <c r="B145" s="240" t="s">
        <v>260</v>
      </c>
      <c r="C145" s="240"/>
      <c r="D145" s="250" t="s">
        <v>261</v>
      </c>
      <c r="E145" s="215">
        <f>E146</f>
        <v>11000</v>
      </c>
      <c r="F145" s="215">
        <f>F146</f>
        <v>11000</v>
      </c>
      <c r="G145" s="215">
        <f>G146</f>
        <v>0</v>
      </c>
    </row>
    <row r="146" spans="1:7" s="219" customFormat="1" ht="55.5" customHeight="1">
      <c r="A146" s="242"/>
      <c r="B146" s="242"/>
      <c r="C146" s="242" t="s">
        <v>221</v>
      </c>
      <c r="D146" s="220" t="s">
        <v>222</v>
      </c>
      <c r="E146" s="218">
        <f>SUM(F146,G146)</f>
        <v>11000</v>
      </c>
      <c r="F146" s="218">
        <v>11000</v>
      </c>
      <c r="G146" s="218">
        <v>0</v>
      </c>
    </row>
    <row r="147" spans="1:7" s="212" customFormat="1" ht="19.5" customHeight="1">
      <c r="A147" s="240"/>
      <c r="B147" s="240" t="s">
        <v>262</v>
      </c>
      <c r="C147" s="240"/>
      <c r="D147" s="241" t="s">
        <v>263</v>
      </c>
      <c r="E147" s="215">
        <f>E148</f>
        <v>356200</v>
      </c>
      <c r="F147" s="215">
        <f>F148</f>
        <v>356200</v>
      </c>
      <c r="G147" s="215">
        <f>G148</f>
        <v>0</v>
      </c>
    </row>
    <row r="148" spans="1:7" s="219" customFormat="1" ht="56.25" customHeight="1">
      <c r="A148" s="242"/>
      <c r="B148" s="242"/>
      <c r="C148" s="242" t="s">
        <v>221</v>
      </c>
      <c r="D148" s="220" t="s">
        <v>222</v>
      </c>
      <c r="E148" s="218">
        <f>SUM(F148,G148)</f>
        <v>356200</v>
      </c>
      <c r="F148" s="218">
        <v>356200</v>
      </c>
      <c r="G148" s="218">
        <v>0</v>
      </c>
    </row>
    <row r="149" spans="1:7" s="212" customFormat="1" ht="19.5" customHeight="1">
      <c r="A149" s="244" t="s">
        <v>268</v>
      </c>
      <c r="B149" s="244"/>
      <c r="C149" s="244"/>
      <c r="D149" s="246" t="s">
        <v>269</v>
      </c>
      <c r="E149" s="224">
        <f>SUM(E150,E152,E155)</f>
        <v>779876</v>
      </c>
      <c r="F149" s="224">
        <f>SUM(F150,F152,F155)</f>
        <v>779876</v>
      </c>
      <c r="G149" s="224">
        <f>SUM(G150,G152,G155)</f>
        <v>0</v>
      </c>
    </row>
    <row r="150" spans="1:7" s="212" customFormat="1" ht="19.5" customHeight="1">
      <c r="A150" s="240"/>
      <c r="B150" s="240" t="s">
        <v>270</v>
      </c>
      <c r="C150" s="240"/>
      <c r="D150" s="241" t="s">
        <v>271</v>
      </c>
      <c r="E150" s="215">
        <f>E151</f>
        <v>82100</v>
      </c>
      <c r="F150" s="215">
        <f>F151</f>
        <v>82100</v>
      </c>
      <c r="G150" s="215">
        <f>G151</f>
        <v>0</v>
      </c>
    </row>
    <row r="151" spans="1:7" s="219" customFormat="1" ht="54.75" customHeight="1">
      <c r="A151" s="242"/>
      <c r="B151" s="242"/>
      <c r="C151" s="242" t="s">
        <v>221</v>
      </c>
      <c r="D151" s="220" t="s">
        <v>222</v>
      </c>
      <c r="E151" s="218">
        <f>SUM(F151,G151)</f>
        <v>82100</v>
      </c>
      <c r="F151" s="218">
        <v>82100</v>
      </c>
      <c r="G151" s="218">
        <v>0</v>
      </c>
    </row>
    <row r="152" spans="1:7" s="212" customFormat="1" ht="19.5" customHeight="1">
      <c r="A152" s="240"/>
      <c r="B152" s="240" t="s">
        <v>275</v>
      </c>
      <c r="C152" s="240"/>
      <c r="D152" s="241" t="s">
        <v>276</v>
      </c>
      <c r="E152" s="215">
        <f>E153+E154</f>
        <v>677776</v>
      </c>
      <c r="F152" s="215">
        <f>F153+F154</f>
        <v>677776</v>
      </c>
      <c r="G152" s="215">
        <f>G153+G154</f>
        <v>0</v>
      </c>
    </row>
    <row r="153" spans="1:7" s="219" customFormat="1" ht="69.75" customHeight="1">
      <c r="A153" s="216"/>
      <c r="B153" s="216"/>
      <c r="C153" s="216" t="s">
        <v>248</v>
      </c>
      <c r="D153" s="220" t="s">
        <v>249</v>
      </c>
      <c r="E153" s="218">
        <f>SUM(F153,G153)</f>
        <v>20026</v>
      </c>
      <c r="F153" s="218">
        <v>20026</v>
      </c>
      <c r="G153" s="218">
        <v>0</v>
      </c>
    </row>
    <row r="154" spans="1:7" s="219" customFormat="1" ht="54.75" customHeight="1">
      <c r="A154" s="242"/>
      <c r="B154" s="242"/>
      <c r="C154" s="242" t="s">
        <v>277</v>
      </c>
      <c r="D154" s="248" t="s">
        <v>278</v>
      </c>
      <c r="E154" s="218">
        <f>SUM(F154,G154)</f>
        <v>657750</v>
      </c>
      <c r="F154" s="218">
        <v>657750</v>
      </c>
      <c r="G154" s="218">
        <v>0</v>
      </c>
    </row>
    <row r="155" spans="1:7" s="212" customFormat="1" ht="19.5" customHeight="1">
      <c r="A155" s="240"/>
      <c r="B155" s="240" t="s">
        <v>281</v>
      </c>
      <c r="C155" s="245"/>
      <c r="D155" s="241" t="s">
        <v>282</v>
      </c>
      <c r="E155" s="215">
        <f>E156+E157</f>
        <v>20000</v>
      </c>
      <c r="F155" s="215">
        <f>F156+F157</f>
        <v>20000</v>
      </c>
      <c r="G155" s="215">
        <f>G156+G157</f>
        <v>0</v>
      </c>
    </row>
    <row r="156" spans="1:7" s="219" customFormat="1" ht="56.25" customHeight="1">
      <c r="A156" s="242"/>
      <c r="B156" s="242"/>
      <c r="C156" s="256">
        <v>2110</v>
      </c>
      <c r="D156" s="220" t="s">
        <v>222</v>
      </c>
      <c r="E156" s="218">
        <f>SUM(F156,G156)</f>
        <v>17000</v>
      </c>
      <c r="F156" s="218">
        <v>17000</v>
      </c>
      <c r="G156" s="218">
        <v>0</v>
      </c>
    </row>
    <row r="157" spans="1:7" s="219" customFormat="1" ht="58.5" customHeight="1">
      <c r="A157" s="242"/>
      <c r="B157" s="242"/>
      <c r="C157" s="256">
        <v>2120</v>
      </c>
      <c r="D157" s="248" t="s">
        <v>274</v>
      </c>
      <c r="E157" s="218">
        <f>SUM(F157,G157)</f>
        <v>3000</v>
      </c>
      <c r="F157" s="218">
        <v>3000</v>
      </c>
      <c r="G157" s="218">
        <v>0</v>
      </c>
    </row>
    <row r="158" spans="1:7" s="212" customFormat="1" ht="28.5" customHeight="1">
      <c r="A158" s="244" t="s">
        <v>287</v>
      </c>
      <c r="B158" s="244"/>
      <c r="C158" s="245"/>
      <c r="D158" s="253" t="s">
        <v>288</v>
      </c>
      <c r="E158" s="224">
        <f aca="true" t="shared" si="8" ref="E158:G159">E159</f>
        <v>3558000</v>
      </c>
      <c r="F158" s="224">
        <f t="shared" si="8"/>
        <v>3558000</v>
      </c>
      <c r="G158" s="224">
        <f t="shared" si="8"/>
        <v>0</v>
      </c>
    </row>
    <row r="159" spans="1:7" s="212" customFormat="1" ht="19.5" customHeight="1">
      <c r="A159" s="240"/>
      <c r="B159" s="240" t="s">
        <v>289</v>
      </c>
      <c r="C159" s="245"/>
      <c r="D159" s="250" t="s">
        <v>290</v>
      </c>
      <c r="E159" s="215">
        <f t="shared" si="8"/>
        <v>3558000</v>
      </c>
      <c r="F159" s="215">
        <f t="shared" si="8"/>
        <v>3558000</v>
      </c>
      <c r="G159" s="215">
        <f t="shared" si="8"/>
        <v>0</v>
      </c>
    </row>
    <row r="160" spans="1:7" s="219" customFormat="1" ht="55.5" customHeight="1">
      <c r="A160" s="242"/>
      <c r="B160" s="242"/>
      <c r="C160" s="256">
        <v>2110</v>
      </c>
      <c r="D160" s="220" t="s">
        <v>222</v>
      </c>
      <c r="E160" s="218">
        <f>SUM(F160,G160)</f>
        <v>3558000</v>
      </c>
      <c r="F160" s="218">
        <v>3558000</v>
      </c>
      <c r="G160" s="218">
        <v>0</v>
      </c>
    </row>
    <row r="161" spans="1:7" s="212" customFormat="1" ht="57.75" customHeight="1">
      <c r="A161" s="252" t="s">
        <v>295</v>
      </c>
      <c r="B161" s="244"/>
      <c r="C161" s="244"/>
      <c r="D161" s="253" t="s">
        <v>296</v>
      </c>
      <c r="E161" s="224">
        <f>E162+E164</f>
        <v>7626511</v>
      </c>
      <c r="F161" s="224">
        <f>F162+F164</f>
        <v>7626511</v>
      </c>
      <c r="G161" s="224">
        <f>G162+G164</f>
        <v>0</v>
      </c>
    </row>
    <row r="162" spans="1:7" s="212" customFormat="1" ht="42.75" customHeight="1">
      <c r="A162" s="240"/>
      <c r="B162" s="240" t="s">
        <v>323</v>
      </c>
      <c r="C162" s="240"/>
      <c r="D162" s="250" t="s">
        <v>324</v>
      </c>
      <c r="E162" s="215">
        <f>E163</f>
        <v>678740</v>
      </c>
      <c r="F162" s="215">
        <f>F163</f>
        <v>678740</v>
      </c>
      <c r="G162" s="215">
        <f>G163</f>
        <v>0</v>
      </c>
    </row>
    <row r="163" spans="1:7" s="219" customFormat="1" ht="19.5" customHeight="1">
      <c r="A163" s="242"/>
      <c r="B163" s="242"/>
      <c r="C163" s="242" t="s">
        <v>327</v>
      </c>
      <c r="D163" s="243" t="s">
        <v>328</v>
      </c>
      <c r="E163" s="218">
        <f>SUM(F163,G163)</f>
        <v>678740</v>
      </c>
      <c r="F163" s="218">
        <v>678740</v>
      </c>
      <c r="G163" s="218">
        <v>0</v>
      </c>
    </row>
    <row r="164" spans="1:7" s="212" customFormat="1" ht="32.25" customHeight="1">
      <c r="A164" s="240"/>
      <c r="B164" s="240" t="s">
        <v>343</v>
      </c>
      <c r="C164" s="240"/>
      <c r="D164" s="250" t="s">
        <v>344</v>
      </c>
      <c r="E164" s="215">
        <f>E165+E166</f>
        <v>6947771</v>
      </c>
      <c r="F164" s="215">
        <f>F165+F166</f>
        <v>6947771</v>
      </c>
      <c r="G164" s="215">
        <f>G165+G166</f>
        <v>0</v>
      </c>
    </row>
    <row r="165" spans="1:7" s="219" customFormat="1" ht="19.5" customHeight="1">
      <c r="A165" s="242"/>
      <c r="B165" s="242"/>
      <c r="C165" s="242" t="s">
        <v>339</v>
      </c>
      <c r="D165" s="248" t="s">
        <v>340</v>
      </c>
      <c r="E165" s="218">
        <f>SUM(F165,G165)</f>
        <v>6747771</v>
      </c>
      <c r="F165" s="218">
        <v>6747771</v>
      </c>
      <c r="G165" s="218">
        <v>0</v>
      </c>
    </row>
    <row r="166" spans="1:7" s="219" customFormat="1" ht="19.5" customHeight="1">
      <c r="A166" s="242"/>
      <c r="B166" s="242"/>
      <c r="C166" s="242" t="s">
        <v>341</v>
      </c>
      <c r="D166" s="243" t="s">
        <v>342</v>
      </c>
      <c r="E166" s="218">
        <f>SUM(F166,G166)</f>
        <v>200000</v>
      </c>
      <c r="F166" s="218">
        <v>200000</v>
      </c>
      <c r="G166" s="218">
        <v>0</v>
      </c>
    </row>
    <row r="167" spans="1:7" s="212" customFormat="1" ht="19.5" customHeight="1">
      <c r="A167" s="244" t="s">
        <v>345</v>
      </c>
      <c r="B167" s="244"/>
      <c r="C167" s="244"/>
      <c r="D167" s="246" t="s">
        <v>346</v>
      </c>
      <c r="E167" s="224">
        <f>SUM(E168,E170,E172,E174)</f>
        <v>42816491</v>
      </c>
      <c r="F167" s="224">
        <f>SUM(F168,F170,F172,F174)</f>
        <v>42816491</v>
      </c>
      <c r="G167" s="224">
        <f>SUM(G168,G170,G172,G174)</f>
        <v>0</v>
      </c>
    </row>
    <row r="168" spans="1:7" s="212" customFormat="1" ht="32.25" customHeight="1">
      <c r="A168" s="240"/>
      <c r="B168" s="240" t="s">
        <v>347</v>
      </c>
      <c r="C168" s="240"/>
      <c r="D168" s="250" t="s">
        <v>348</v>
      </c>
      <c r="E168" s="215">
        <f>E169</f>
        <v>17319692</v>
      </c>
      <c r="F168" s="215">
        <f>F169</f>
        <v>17319692</v>
      </c>
      <c r="G168" s="215">
        <f>G169</f>
        <v>0</v>
      </c>
    </row>
    <row r="169" spans="1:7" s="219" customFormat="1" ht="19.5" customHeight="1">
      <c r="A169" s="255"/>
      <c r="B169" s="255"/>
      <c r="C169" s="242" t="s">
        <v>349</v>
      </c>
      <c r="D169" s="248" t="s">
        <v>350</v>
      </c>
      <c r="E169" s="218">
        <f>SUM(F169,G169)</f>
        <v>17319692</v>
      </c>
      <c r="F169" s="218">
        <v>17319692</v>
      </c>
      <c r="G169" s="218">
        <v>0</v>
      </c>
    </row>
    <row r="170" spans="1:7" s="212" customFormat="1" ht="32.25" customHeight="1">
      <c r="A170" s="240"/>
      <c r="B170" s="240" t="s">
        <v>351</v>
      </c>
      <c r="C170" s="240"/>
      <c r="D170" s="250" t="s">
        <v>352</v>
      </c>
      <c r="E170" s="215">
        <f>E171</f>
        <v>22000000</v>
      </c>
      <c r="F170" s="215">
        <f>F171</f>
        <v>22000000</v>
      </c>
      <c r="G170" s="215">
        <f>G171</f>
        <v>0</v>
      </c>
    </row>
    <row r="171" spans="1:7" s="219" customFormat="1" ht="57" customHeight="1">
      <c r="A171" s="242"/>
      <c r="B171" s="242"/>
      <c r="C171" s="242" t="s">
        <v>353</v>
      </c>
      <c r="D171" s="248" t="s">
        <v>719</v>
      </c>
      <c r="E171" s="218">
        <f>SUM(F171,G171)</f>
        <v>22000000</v>
      </c>
      <c r="F171" s="218">
        <v>22000000</v>
      </c>
      <c r="G171" s="218">
        <v>0</v>
      </c>
    </row>
    <row r="172" spans="1:7" s="212" customFormat="1" ht="30" customHeight="1">
      <c r="A172" s="240"/>
      <c r="B172" s="240" t="s">
        <v>9</v>
      </c>
      <c r="C172" s="240"/>
      <c r="D172" s="250" t="s">
        <v>10</v>
      </c>
      <c r="E172" s="215">
        <f>SUM(E173)</f>
        <v>7357</v>
      </c>
      <c r="F172" s="215">
        <f>SUM(F173)</f>
        <v>7357</v>
      </c>
      <c r="G172" s="215">
        <f>SUM(G173)</f>
        <v>0</v>
      </c>
    </row>
    <row r="173" spans="1:7" s="219" customFormat="1" ht="24" customHeight="1">
      <c r="A173" s="242"/>
      <c r="B173" s="242"/>
      <c r="C173" s="247" t="s">
        <v>349</v>
      </c>
      <c r="D173" s="248" t="s">
        <v>357</v>
      </c>
      <c r="E173" s="218">
        <f>SUM(F173,G173)</f>
        <v>7357</v>
      </c>
      <c r="F173" s="218">
        <v>7357</v>
      </c>
      <c r="G173" s="218">
        <v>0</v>
      </c>
    </row>
    <row r="174" spans="1:7" s="212" customFormat="1" ht="28.5" customHeight="1">
      <c r="A174" s="240"/>
      <c r="B174" s="240" t="s">
        <v>358</v>
      </c>
      <c r="C174" s="254"/>
      <c r="D174" s="250" t="s">
        <v>359</v>
      </c>
      <c r="E174" s="215">
        <f>E175</f>
        <v>3489442</v>
      </c>
      <c r="F174" s="215">
        <f>F175</f>
        <v>3489442</v>
      </c>
      <c r="G174" s="215">
        <f>G175</f>
        <v>0</v>
      </c>
    </row>
    <row r="175" spans="1:7" s="219" customFormat="1" ht="20.25" customHeight="1">
      <c r="A175" s="242"/>
      <c r="B175" s="242"/>
      <c r="C175" s="247" t="s">
        <v>349</v>
      </c>
      <c r="D175" s="248" t="s">
        <v>357</v>
      </c>
      <c r="E175" s="218">
        <f>SUM(F175,G175)</f>
        <v>3489442</v>
      </c>
      <c r="F175" s="218">
        <v>3489442</v>
      </c>
      <c r="G175" s="218">
        <v>0</v>
      </c>
    </row>
    <row r="176" spans="1:7" s="212" customFormat="1" ht="19.5" customHeight="1">
      <c r="A176" s="244" t="s">
        <v>360</v>
      </c>
      <c r="B176" s="244"/>
      <c r="C176" s="245"/>
      <c r="D176" s="246" t="s">
        <v>361</v>
      </c>
      <c r="E176" s="224">
        <f aca="true" t="shared" si="9" ref="E176:G177">E177</f>
        <v>654000</v>
      </c>
      <c r="F176" s="224">
        <f t="shared" si="9"/>
        <v>654000</v>
      </c>
      <c r="G176" s="224">
        <f t="shared" si="9"/>
        <v>0</v>
      </c>
    </row>
    <row r="177" spans="1:7" s="212" customFormat="1" ht="46.5" customHeight="1">
      <c r="A177" s="240"/>
      <c r="B177" s="254" t="s">
        <v>362</v>
      </c>
      <c r="C177" s="245"/>
      <c r="D177" s="250" t="s">
        <v>363</v>
      </c>
      <c r="E177" s="215">
        <f t="shared" si="9"/>
        <v>654000</v>
      </c>
      <c r="F177" s="215">
        <f t="shared" si="9"/>
        <v>654000</v>
      </c>
      <c r="G177" s="215">
        <f t="shared" si="9"/>
        <v>0</v>
      </c>
    </row>
    <row r="178" spans="1:7" s="219" customFormat="1" ht="58.5" customHeight="1">
      <c r="A178" s="242"/>
      <c r="B178" s="242"/>
      <c r="C178" s="256">
        <v>2110</v>
      </c>
      <c r="D178" s="220" t="s">
        <v>222</v>
      </c>
      <c r="E178" s="218">
        <f>SUM(F178,G178)</f>
        <v>654000</v>
      </c>
      <c r="F178" s="218">
        <v>654000</v>
      </c>
      <c r="G178" s="218">
        <v>0</v>
      </c>
    </row>
    <row r="179" spans="1:7" s="212" customFormat="1" ht="19.5" customHeight="1">
      <c r="A179" s="244" t="s">
        <v>364</v>
      </c>
      <c r="B179" s="244"/>
      <c r="C179" s="257"/>
      <c r="D179" s="223" t="s">
        <v>365</v>
      </c>
      <c r="E179" s="224">
        <f>SUM(E180,E182)</f>
        <v>397509</v>
      </c>
      <c r="F179" s="224">
        <f>SUM(F180,F182)</f>
        <v>397509</v>
      </c>
      <c r="G179" s="224">
        <f>SUM(G180,G182)</f>
        <v>0</v>
      </c>
    </row>
    <row r="180" spans="1:7" s="212" customFormat="1" ht="19.5" customHeight="1">
      <c r="A180" s="240"/>
      <c r="B180" s="240" t="s">
        <v>366</v>
      </c>
      <c r="C180" s="249"/>
      <c r="D180" s="250" t="s">
        <v>367</v>
      </c>
      <c r="E180" s="215">
        <f>SUM(E181)</f>
        <v>315000</v>
      </c>
      <c r="F180" s="215">
        <f>SUM(F181)</f>
        <v>315000</v>
      </c>
      <c r="G180" s="215">
        <f>SUM(G181)</f>
        <v>0</v>
      </c>
    </row>
    <row r="181" spans="1:7" s="212" customFormat="1" ht="55.5" customHeight="1">
      <c r="A181" s="242"/>
      <c r="B181" s="242"/>
      <c r="C181" s="256">
        <v>2110</v>
      </c>
      <c r="D181" s="220" t="s">
        <v>222</v>
      </c>
      <c r="E181" s="218">
        <f>SUM(F181,G181)</f>
        <v>315000</v>
      </c>
      <c r="F181" s="218">
        <v>315000</v>
      </c>
      <c r="G181" s="218">
        <v>0</v>
      </c>
    </row>
    <row r="182" spans="1:7" s="212" customFormat="1" ht="19.5" customHeight="1">
      <c r="A182" s="240"/>
      <c r="B182" s="240" t="s">
        <v>368</v>
      </c>
      <c r="C182" s="249"/>
      <c r="D182" s="250" t="s">
        <v>369</v>
      </c>
      <c r="E182" s="215">
        <f>E183</f>
        <v>82509</v>
      </c>
      <c r="F182" s="215">
        <f>F183</f>
        <v>82509</v>
      </c>
      <c r="G182" s="215">
        <f>G183</f>
        <v>0</v>
      </c>
    </row>
    <row r="183" spans="1:7" s="219" customFormat="1" ht="54" customHeight="1">
      <c r="A183" s="242"/>
      <c r="B183" s="242"/>
      <c r="C183" s="242" t="s">
        <v>370</v>
      </c>
      <c r="D183" s="248" t="s">
        <v>371</v>
      </c>
      <c r="E183" s="218">
        <f>SUM(F183,G183)</f>
        <v>82509</v>
      </c>
      <c r="F183" s="218">
        <v>82509</v>
      </c>
      <c r="G183" s="218">
        <v>0</v>
      </c>
    </row>
    <row r="184" spans="1:7" s="212" customFormat="1" ht="28.5" customHeight="1">
      <c r="A184" s="244" t="s">
        <v>384</v>
      </c>
      <c r="B184" s="244"/>
      <c r="C184" s="244"/>
      <c r="D184" s="253" t="s">
        <v>385</v>
      </c>
      <c r="E184" s="224">
        <f>SUM(E185,E187,E189)</f>
        <v>229787</v>
      </c>
      <c r="F184" s="224">
        <f>SUM(F185,F187,F189)</f>
        <v>229787</v>
      </c>
      <c r="G184" s="224">
        <f>SUM(G185,G187,G189)</f>
        <v>0</v>
      </c>
    </row>
    <row r="185" spans="1:7" s="212" customFormat="1" ht="19.5" customHeight="1">
      <c r="A185" s="240"/>
      <c r="B185" s="254" t="s">
        <v>386</v>
      </c>
      <c r="C185" s="245"/>
      <c r="D185" s="250" t="s">
        <v>387</v>
      </c>
      <c r="E185" s="215">
        <f>E186</f>
        <v>33000</v>
      </c>
      <c r="F185" s="215">
        <f>F186</f>
        <v>33000</v>
      </c>
      <c r="G185" s="215">
        <f>G186</f>
        <v>0</v>
      </c>
    </row>
    <row r="186" spans="1:7" s="219" customFormat="1" ht="56.25" customHeight="1">
      <c r="A186" s="242"/>
      <c r="B186" s="242"/>
      <c r="C186" s="256">
        <v>2110</v>
      </c>
      <c r="D186" s="220" t="s">
        <v>222</v>
      </c>
      <c r="E186" s="218">
        <f>SUM(F186,G186)</f>
        <v>33000</v>
      </c>
      <c r="F186" s="218">
        <v>33000</v>
      </c>
      <c r="G186" s="218">
        <v>0</v>
      </c>
    </row>
    <row r="187" spans="1:7" s="212" customFormat="1" ht="21" customHeight="1">
      <c r="A187" s="240"/>
      <c r="B187" s="254" t="s">
        <v>481</v>
      </c>
      <c r="C187" s="245"/>
      <c r="D187" s="250" t="s">
        <v>545</v>
      </c>
      <c r="E187" s="215">
        <f>E188</f>
        <v>110000</v>
      </c>
      <c r="F187" s="215">
        <f>F188</f>
        <v>110000</v>
      </c>
      <c r="G187" s="215">
        <f>G188</f>
        <v>0</v>
      </c>
    </row>
    <row r="188" spans="1:7" s="219" customFormat="1" ht="57.75" customHeight="1">
      <c r="A188" s="242"/>
      <c r="B188" s="242"/>
      <c r="C188" s="256">
        <v>2690</v>
      </c>
      <c r="D188" s="220" t="s">
        <v>14</v>
      </c>
      <c r="E188" s="218">
        <f>SUM(F188,G188)</f>
        <v>110000</v>
      </c>
      <c r="F188" s="218">
        <v>110000</v>
      </c>
      <c r="G188" s="218">
        <v>0</v>
      </c>
    </row>
    <row r="189" spans="1:7" s="212" customFormat="1" ht="21" customHeight="1">
      <c r="A189" s="240"/>
      <c r="B189" s="254" t="s">
        <v>449</v>
      </c>
      <c r="C189" s="245"/>
      <c r="D189" s="250" t="s">
        <v>226</v>
      </c>
      <c r="E189" s="215">
        <f>SUM(E190)</f>
        <v>86787</v>
      </c>
      <c r="F189" s="215">
        <f>SUM(F190)</f>
        <v>86787</v>
      </c>
      <c r="G189" s="215">
        <f>SUM(G190)</f>
        <v>0</v>
      </c>
    </row>
    <row r="190" spans="1:7" s="219" customFormat="1" ht="33" customHeight="1">
      <c r="A190" s="260"/>
      <c r="B190" s="260"/>
      <c r="C190" s="256">
        <v>2008</v>
      </c>
      <c r="D190" s="220" t="s">
        <v>670</v>
      </c>
      <c r="E190" s="218">
        <f>SUM(F190,G190)</f>
        <v>86787</v>
      </c>
      <c r="F190" s="218">
        <v>86787</v>
      </c>
      <c r="G190" s="218"/>
    </row>
    <row r="191" spans="1:7" s="219" customFormat="1" ht="65.25" customHeight="1">
      <c r="A191" s="272"/>
      <c r="B191" s="266"/>
      <c r="C191" s="273"/>
      <c r="D191" s="230" t="s">
        <v>717</v>
      </c>
      <c r="E191" s="228"/>
      <c r="F191" s="228"/>
      <c r="G191" s="228"/>
    </row>
    <row r="192" spans="1:8" s="265" customFormat="1" ht="22.5" customHeight="1">
      <c r="A192" s="382" t="s">
        <v>397</v>
      </c>
      <c r="B192" s="383"/>
      <c r="C192" s="383"/>
      <c r="D192" s="384"/>
      <c r="E192" s="207">
        <f>E130+E7</f>
        <v>216963417</v>
      </c>
      <c r="F192" s="207">
        <f>F130+F7</f>
        <v>151970417</v>
      </c>
      <c r="G192" s="207">
        <f>G130+G7</f>
        <v>64993000</v>
      </c>
      <c r="H192" s="276">
        <f>SUM(F192:G192)</f>
        <v>216963417</v>
      </c>
    </row>
    <row r="193" ht="12.75">
      <c r="E193" s="2"/>
    </row>
  </sheetData>
  <sheetProtection password="CF53" sheet="1" formatCells="0" formatColumns="0" formatRows="0" insertColumns="0" insertRows="0" insertHyperlinks="0" deleteColumns="0" deleteRows="0" sort="0" autoFilter="0" pivotTables="0"/>
  <mergeCells count="10">
    <mergeCell ref="A1:G1"/>
    <mergeCell ref="A7:D7"/>
    <mergeCell ref="A130:D130"/>
    <mergeCell ref="E4:E5"/>
    <mergeCell ref="F4:G4"/>
    <mergeCell ref="A192:D192"/>
    <mergeCell ref="A4:A5"/>
    <mergeCell ref="B4:B5"/>
    <mergeCell ref="C4:C5"/>
    <mergeCell ref="D4:D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 xml:space="preserve">&amp;R&amp;9Załącznik nr &amp;A
do uchwały Nr XLVII/394/2008   
Rady Miasta Świnoujścia 
z dnia 19 grudnia 2008 roku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J36"/>
  <sheetViews>
    <sheetView showGridLines="0" view="pageLayout" zoomScaleSheetLayoutView="100" workbookViewId="0" topLeftCell="A1">
      <selection activeCell="C6" sqref="C6"/>
    </sheetView>
  </sheetViews>
  <sheetFormatPr defaultColWidth="9.00390625" defaultRowHeight="12.75"/>
  <cols>
    <col min="1" max="1" width="5.625" style="4" bestFit="1" customWidth="1"/>
    <col min="2" max="2" width="63.125" style="4" customWidth="1"/>
    <col min="3" max="3" width="17.75390625" style="4" customWidth="1"/>
    <col min="4" max="16384" width="9.125" style="4" customWidth="1"/>
  </cols>
  <sheetData>
    <row r="1" spans="1:10" s="22" customFormat="1" ht="19.5" customHeight="1">
      <c r="A1" s="375" t="s">
        <v>215</v>
      </c>
      <c r="B1" s="375"/>
      <c r="C1" s="375"/>
      <c r="D1" s="20"/>
      <c r="E1" s="20"/>
      <c r="F1" s="20"/>
      <c r="G1" s="20"/>
      <c r="H1" s="20"/>
      <c r="I1" s="20"/>
      <c r="J1" s="20"/>
    </row>
    <row r="2" spans="1:7" s="22" customFormat="1" ht="19.5" customHeight="1">
      <c r="A2" s="375" t="s">
        <v>645</v>
      </c>
      <c r="B2" s="375"/>
      <c r="C2" s="375"/>
      <c r="D2" s="20"/>
      <c r="E2" s="20"/>
      <c r="F2" s="20"/>
      <c r="G2" s="20"/>
    </row>
    <row r="3" s="22" customFormat="1" ht="12.75"/>
    <row r="4" spans="1:3" s="44" customFormat="1" ht="12.75">
      <c r="A4" s="44" t="s">
        <v>611</v>
      </c>
      <c r="C4" s="123" t="s">
        <v>168</v>
      </c>
    </row>
    <row r="5" spans="1:10" s="22" customFormat="1" ht="19.5" customHeight="1">
      <c r="A5" s="69" t="s">
        <v>182</v>
      </c>
      <c r="B5" s="69" t="s">
        <v>134</v>
      </c>
      <c r="C5" s="69" t="s">
        <v>722</v>
      </c>
      <c r="D5" s="124"/>
      <c r="E5" s="124"/>
      <c r="F5" s="124"/>
      <c r="G5" s="124"/>
      <c r="H5" s="124"/>
      <c r="I5" s="125"/>
      <c r="J5" s="125"/>
    </row>
    <row r="6" spans="1:10" s="22" customFormat="1" ht="19.5" customHeight="1">
      <c r="A6" s="100" t="s">
        <v>145</v>
      </c>
      <c r="B6" s="126" t="s">
        <v>184</v>
      </c>
      <c r="C6" s="33">
        <v>163522</v>
      </c>
      <c r="D6" s="124"/>
      <c r="E6" s="124"/>
      <c r="F6" s="124"/>
      <c r="G6" s="124"/>
      <c r="H6" s="124"/>
      <c r="I6" s="125"/>
      <c r="J6" s="125"/>
    </row>
    <row r="7" spans="1:10" s="22" customFormat="1" ht="19.5" customHeight="1">
      <c r="A7" s="100" t="s">
        <v>149</v>
      </c>
      <c r="B7" s="126" t="s">
        <v>144</v>
      </c>
      <c r="C7" s="33">
        <f>C8+C9</f>
        <v>323000</v>
      </c>
      <c r="D7" s="124"/>
      <c r="E7" s="124"/>
      <c r="F7" s="124"/>
      <c r="G7" s="124"/>
      <c r="H7" s="124"/>
      <c r="I7" s="125"/>
      <c r="J7" s="125"/>
    </row>
    <row r="8" spans="1:10" s="145" customFormat="1" ht="19.5" customHeight="1">
      <c r="A8" s="328" t="s">
        <v>266</v>
      </c>
      <c r="B8" s="147" t="s">
        <v>405</v>
      </c>
      <c r="C8" s="148">
        <v>310000</v>
      </c>
      <c r="D8" s="143"/>
      <c r="E8" s="143"/>
      <c r="F8" s="143"/>
      <c r="G8" s="143"/>
      <c r="H8" s="143"/>
      <c r="I8" s="144"/>
      <c r="J8" s="144"/>
    </row>
    <row r="9" spans="1:10" s="145" customFormat="1" ht="19.5" customHeight="1">
      <c r="A9" s="336" t="s">
        <v>254</v>
      </c>
      <c r="B9" s="337" t="s">
        <v>255</v>
      </c>
      <c r="C9" s="338">
        <v>13000</v>
      </c>
      <c r="D9" s="143"/>
      <c r="E9" s="143"/>
      <c r="F9" s="143"/>
      <c r="G9" s="143"/>
      <c r="H9" s="143"/>
      <c r="I9" s="144"/>
      <c r="J9" s="144"/>
    </row>
    <row r="10" spans="1:10" s="22" customFormat="1" ht="19.5" customHeight="1">
      <c r="A10" s="100" t="s">
        <v>150</v>
      </c>
      <c r="B10" s="126" t="s">
        <v>143</v>
      </c>
      <c r="C10" s="33">
        <f>C11+C24</f>
        <v>486522</v>
      </c>
      <c r="D10" s="124"/>
      <c r="E10" s="124"/>
      <c r="F10" s="124"/>
      <c r="G10" s="124"/>
      <c r="H10" s="124"/>
      <c r="I10" s="125"/>
      <c r="J10" s="125"/>
    </row>
    <row r="11" spans="1:10" s="22" customFormat="1" ht="19.5" customHeight="1">
      <c r="A11" s="27" t="s">
        <v>174</v>
      </c>
      <c r="B11" s="129" t="s">
        <v>163</v>
      </c>
      <c r="C11" s="29">
        <f>SUM(C12,C13,C14,C15,C16,C17,C18,C19,C20,C21,C22,C23)</f>
        <v>466522</v>
      </c>
      <c r="D11" s="124"/>
      <c r="E11" s="124"/>
      <c r="F11" s="124"/>
      <c r="G11" s="124"/>
      <c r="H11" s="124"/>
      <c r="I11" s="125"/>
      <c r="J11" s="125"/>
    </row>
    <row r="12" spans="1:10" s="34" customFormat="1" ht="15.75" customHeight="1">
      <c r="A12" s="150">
        <v>2960</v>
      </c>
      <c r="B12" s="151" t="s">
        <v>406</v>
      </c>
      <c r="C12" s="152">
        <v>64600</v>
      </c>
      <c r="D12" s="133"/>
      <c r="E12" s="133"/>
      <c r="F12" s="133"/>
      <c r="G12" s="133"/>
      <c r="H12" s="133"/>
      <c r="I12" s="134"/>
      <c r="J12" s="134"/>
    </row>
    <row r="13" spans="1:10" s="34" customFormat="1" ht="15.75" customHeight="1">
      <c r="A13" s="150">
        <v>4110</v>
      </c>
      <c r="B13" s="151" t="s">
        <v>53</v>
      </c>
      <c r="C13" s="152">
        <v>1700</v>
      </c>
      <c r="D13" s="133"/>
      <c r="E13" s="133"/>
      <c r="F13" s="133"/>
      <c r="G13" s="133"/>
      <c r="H13" s="133"/>
      <c r="I13" s="134"/>
      <c r="J13" s="134"/>
    </row>
    <row r="14" spans="1:10" s="145" customFormat="1" ht="15.75" customHeight="1">
      <c r="A14" s="146">
        <v>4120</v>
      </c>
      <c r="B14" s="147" t="s">
        <v>54</v>
      </c>
      <c r="C14" s="148">
        <v>250</v>
      </c>
      <c r="D14" s="143"/>
      <c r="E14" s="143"/>
      <c r="F14" s="143"/>
      <c r="G14" s="143"/>
      <c r="H14" s="143"/>
      <c r="I14" s="144"/>
      <c r="J14" s="144"/>
    </row>
    <row r="15" spans="1:10" s="145" customFormat="1" ht="15.75" customHeight="1">
      <c r="A15" s="146">
        <v>4170</v>
      </c>
      <c r="B15" s="147" t="s">
        <v>408</v>
      </c>
      <c r="C15" s="148">
        <v>10000</v>
      </c>
      <c r="D15" s="143"/>
      <c r="E15" s="143"/>
      <c r="F15" s="143"/>
      <c r="G15" s="143"/>
      <c r="H15" s="143"/>
      <c r="I15" s="144"/>
      <c r="J15" s="144"/>
    </row>
    <row r="16" spans="1:10" s="145" customFormat="1" ht="15.75" customHeight="1">
      <c r="A16" s="140">
        <v>4210</v>
      </c>
      <c r="B16" s="141" t="s">
        <v>402</v>
      </c>
      <c r="C16" s="142">
        <v>25000</v>
      </c>
      <c r="D16" s="143"/>
      <c r="E16" s="143"/>
      <c r="F16" s="143"/>
      <c r="G16" s="143"/>
      <c r="H16" s="143"/>
      <c r="I16" s="144"/>
      <c r="J16" s="144"/>
    </row>
    <row r="17" spans="1:10" s="145" customFormat="1" ht="15.75" customHeight="1">
      <c r="A17" s="140">
        <v>4240</v>
      </c>
      <c r="B17" s="141" t="s">
        <v>403</v>
      </c>
      <c r="C17" s="142">
        <v>1000</v>
      </c>
      <c r="D17" s="143"/>
      <c r="E17" s="143"/>
      <c r="F17" s="143"/>
      <c r="G17" s="143"/>
      <c r="H17" s="143"/>
      <c r="I17" s="144"/>
      <c r="J17" s="144"/>
    </row>
    <row r="18" spans="1:10" s="145" customFormat="1" ht="15.75" customHeight="1">
      <c r="A18" s="140">
        <v>4270</v>
      </c>
      <c r="B18" s="141" t="s">
        <v>407</v>
      </c>
      <c r="C18" s="142">
        <v>4000</v>
      </c>
      <c r="D18" s="143"/>
      <c r="E18" s="143"/>
      <c r="F18" s="143"/>
      <c r="G18" s="143"/>
      <c r="H18" s="143"/>
      <c r="I18" s="144"/>
      <c r="J18" s="144"/>
    </row>
    <row r="19" spans="1:10" s="145" customFormat="1" ht="15.75" customHeight="1">
      <c r="A19" s="140">
        <v>4300</v>
      </c>
      <c r="B19" s="141" t="s">
        <v>398</v>
      </c>
      <c r="C19" s="142">
        <v>321972</v>
      </c>
      <c r="D19" s="143"/>
      <c r="E19" s="143"/>
      <c r="F19" s="143"/>
      <c r="G19" s="143"/>
      <c r="H19" s="143"/>
      <c r="I19" s="144"/>
      <c r="J19" s="144"/>
    </row>
    <row r="20" spans="1:10" s="145" customFormat="1" ht="15.75" customHeight="1">
      <c r="A20" s="140">
        <v>4430</v>
      </c>
      <c r="B20" s="141" t="s">
        <v>409</v>
      </c>
      <c r="C20" s="142">
        <v>1000</v>
      </c>
      <c r="D20" s="143"/>
      <c r="E20" s="143"/>
      <c r="F20" s="143"/>
      <c r="G20" s="143"/>
      <c r="H20" s="143"/>
      <c r="I20" s="144"/>
      <c r="J20" s="144"/>
    </row>
    <row r="21" spans="1:10" s="145" customFormat="1" ht="15.75" customHeight="1">
      <c r="A21" s="140">
        <v>4700</v>
      </c>
      <c r="B21" s="141" t="s">
        <v>57</v>
      </c>
      <c r="C21" s="142">
        <v>7000</v>
      </c>
      <c r="D21" s="143"/>
      <c r="E21" s="143"/>
      <c r="F21" s="143"/>
      <c r="G21" s="143"/>
      <c r="H21" s="143"/>
      <c r="I21" s="144"/>
      <c r="J21" s="144"/>
    </row>
    <row r="22" spans="1:10" s="145" customFormat="1" ht="30" customHeight="1">
      <c r="A22" s="140">
        <v>4740</v>
      </c>
      <c r="B22" s="149" t="s">
        <v>55</v>
      </c>
      <c r="C22" s="142">
        <v>15000</v>
      </c>
      <c r="D22" s="143"/>
      <c r="E22" s="143"/>
      <c r="F22" s="143"/>
      <c r="G22" s="143"/>
      <c r="H22" s="143"/>
      <c r="I22" s="144"/>
      <c r="J22" s="144"/>
    </row>
    <row r="23" spans="1:10" s="145" customFormat="1" ht="18.75" customHeight="1">
      <c r="A23" s="140">
        <v>4750</v>
      </c>
      <c r="B23" s="141" t="s">
        <v>56</v>
      </c>
      <c r="C23" s="142">
        <v>15000</v>
      </c>
      <c r="D23" s="143"/>
      <c r="E23" s="143"/>
      <c r="F23" s="143"/>
      <c r="G23" s="143"/>
      <c r="H23" s="143"/>
      <c r="I23" s="144"/>
      <c r="J23" s="144"/>
    </row>
    <row r="24" spans="1:10" s="22" customFormat="1" ht="19.5" customHeight="1">
      <c r="A24" s="30" t="s">
        <v>174</v>
      </c>
      <c r="B24" s="128" t="s">
        <v>166</v>
      </c>
      <c r="C24" s="32">
        <f>C25</f>
        <v>20000</v>
      </c>
      <c r="D24" s="124"/>
      <c r="E24" s="124"/>
      <c r="F24" s="124"/>
      <c r="G24" s="124"/>
      <c r="H24" s="124"/>
      <c r="I24" s="125"/>
      <c r="J24" s="125"/>
    </row>
    <row r="25" spans="1:10" s="34" customFormat="1" ht="18.75" customHeight="1">
      <c r="A25" s="130">
        <v>6120</v>
      </c>
      <c r="B25" s="131" t="s">
        <v>410</v>
      </c>
      <c r="C25" s="132">
        <v>20000</v>
      </c>
      <c r="D25" s="133"/>
      <c r="E25" s="133"/>
      <c r="F25" s="133"/>
      <c r="G25" s="133"/>
      <c r="H25" s="133"/>
      <c r="I25" s="134"/>
      <c r="J25" s="134"/>
    </row>
    <row r="26" spans="1:10" s="22" customFormat="1" ht="19.5" customHeight="1">
      <c r="A26" s="100" t="s">
        <v>164</v>
      </c>
      <c r="B26" s="126" t="s">
        <v>186</v>
      </c>
      <c r="C26" s="33">
        <f>C6+C7-C10</f>
        <v>0</v>
      </c>
      <c r="D26" s="124"/>
      <c r="E26" s="124"/>
      <c r="F26" s="124"/>
      <c r="G26" s="124"/>
      <c r="H26" s="124"/>
      <c r="I26" s="125"/>
      <c r="J26" s="125"/>
    </row>
    <row r="27" spans="1:10" ht="15">
      <c r="A27" s="15"/>
      <c r="B27" s="15"/>
      <c r="C27" s="15"/>
      <c r="D27" s="15"/>
      <c r="E27" s="15"/>
      <c r="F27" s="15"/>
      <c r="G27" s="15"/>
      <c r="H27" s="15"/>
      <c r="I27" s="16"/>
      <c r="J27" s="16"/>
    </row>
    <row r="28" spans="1:3" s="18" customFormat="1" ht="12.75">
      <c r="A28" s="486"/>
      <c r="B28" s="487"/>
      <c r="C28" s="487"/>
    </row>
    <row r="29" spans="1:10" ht="15">
      <c r="A29" s="15"/>
      <c r="B29" s="15"/>
      <c r="C29" s="15"/>
      <c r="D29" s="15"/>
      <c r="E29" s="15"/>
      <c r="F29" s="15"/>
      <c r="G29" s="15"/>
      <c r="H29" s="15"/>
      <c r="I29" s="16"/>
      <c r="J29" s="16"/>
    </row>
    <row r="30" spans="1:10" ht="15">
      <c r="A30" s="15"/>
      <c r="B30" s="15"/>
      <c r="C30" s="15"/>
      <c r="D30" s="15"/>
      <c r="E30" s="15"/>
      <c r="F30" s="15"/>
      <c r="G30" s="15"/>
      <c r="H30" s="15"/>
      <c r="I30" s="16"/>
      <c r="J30" s="16"/>
    </row>
    <row r="31" spans="1:10" ht="15">
      <c r="A31" s="15"/>
      <c r="B31" s="15"/>
      <c r="C31" s="15"/>
      <c r="D31" s="15"/>
      <c r="E31" s="15"/>
      <c r="F31" s="15"/>
      <c r="G31" s="15"/>
      <c r="H31" s="15"/>
      <c r="I31" s="16"/>
      <c r="J31" s="16"/>
    </row>
    <row r="32" spans="1:10" ht="15">
      <c r="A32" s="15"/>
      <c r="B32" s="15"/>
      <c r="C32" s="15"/>
      <c r="D32" s="15"/>
      <c r="E32" s="15"/>
      <c r="F32" s="15"/>
      <c r="G32" s="15"/>
      <c r="H32" s="15"/>
      <c r="I32" s="16"/>
      <c r="J32" s="16"/>
    </row>
    <row r="33" spans="1:10" ht="15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5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5">
      <c r="A36" s="16"/>
      <c r="B36" s="16"/>
      <c r="C36" s="16"/>
      <c r="D36" s="16"/>
      <c r="E36" s="16"/>
      <c r="F36" s="16"/>
      <c r="G36" s="16"/>
      <c r="H36" s="16"/>
      <c r="I36" s="16"/>
      <c r="J36" s="16"/>
    </row>
  </sheetData>
  <sheetProtection password="CF53" sheet="1"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28:C28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&amp;A
 do uchwały Nr XLVII/394/2008 
Rady Miasta Świnoujścia
z dnia 19 grudnia 2008 roku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F40"/>
  <sheetViews>
    <sheetView view="pageBreakPreview" zoomScaleSheetLayoutView="100" zoomScalePageLayoutView="0" workbookViewId="0" topLeftCell="A1">
      <pane ySplit="5" topLeftCell="BM6" activePane="bottomLeft" state="frozen"/>
      <selection pane="topLeft" activeCell="C20" sqref="C20"/>
      <selection pane="bottomLeft" activeCell="G13" sqref="G13"/>
    </sheetView>
  </sheetViews>
  <sheetFormatPr defaultColWidth="9.00390625" defaultRowHeight="12.75"/>
  <cols>
    <col min="1" max="1" width="4.00390625" style="4" customWidth="1"/>
    <col min="2" max="2" width="8.125" style="4" customWidth="1"/>
    <col min="3" max="3" width="9.875" style="4" customWidth="1"/>
    <col min="4" max="4" width="44.75390625" style="4" customWidth="1"/>
    <col min="5" max="5" width="20.375" style="4" customWidth="1"/>
    <col min="6" max="16384" width="9.125" style="4" customWidth="1"/>
  </cols>
  <sheetData>
    <row r="1" spans="1:5" s="22" customFormat="1" ht="19.5" customHeight="1">
      <c r="A1" s="428" t="s">
        <v>646</v>
      </c>
      <c r="B1" s="428"/>
      <c r="C1" s="428"/>
      <c r="D1" s="428"/>
      <c r="E1" s="428"/>
    </row>
    <row r="2" spans="4:5" s="22" customFormat="1" ht="19.5" customHeight="1">
      <c r="D2" s="20"/>
      <c r="E2" s="20"/>
    </row>
    <row r="3" s="22" customFormat="1" ht="19.5" customHeight="1">
      <c r="E3" s="102" t="s">
        <v>168</v>
      </c>
    </row>
    <row r="4" spans="1:5" s="22" customFormat="1" ht="19.5" customHeight="1">
      <c r="A4" s="69" t="s">
        <v>182</v>
      </c>
      <c r="B4" s="69" t="s">
        <v>136</v>
      </c>
      <c r="C4" s="69" t="s">
        <v>137</v>
      </c>
      <c r="D4" s="69" t="s">
        <v>172</v>
      </c>
      <c r="E4" s="69" t="s">
        <v>171</v>
      </c>
    </row>
    <row r="5" spans="1:5" s="22" customFormat="1" ht="7.5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</row>
    <row r="6" spans="1:5" s="22" customFormat="1" ht="30" customHeight="1">
      <c r="A6" s="488" t="s">
        <v>51</v>
      </c>
      <c r="B6" s="489"/>
      <c r="C6" s="489"/>
      <c r="D6" s="489"/>
      <c r="E6" s="116">
        <f>SUM(E7,E8,E9,E10,E11,E12,E13,E14,E15,E16,E17,E18,E19)</f>
        <v>9230652</v>
      </c>
    </row>
    <row r="7" spans="1:6" s="22" customFormat="1" ht="30" customHeight="1">
      <c r="A7" s="30" t="s">
        <v>146</v>
      </c>
      <c r="B7" s="30">
        <v>801</v>
      </c>
      <c r="C7" s="30">
        <v>80101</v>
      </c>
      <c r="D7" s="74" t="s">
        <v>737</v>
      </c>
      <c r="E7" s="117">
        <v>289424</v>
      </c>
      <c r="F7" s="192">
        <f>SUM(E7:E8)</f>
        <v>306385</v>
      </c>
    </row>
    <row r="8" spans="1:5" s="22" customFormat="1" ht="30" customHeight="1">
      <c r="A8" s="30" t="s">
        <v>147</v>
      </c>
      <c r="B8" s="30">
        <v>801</v>
      </c>
      <c r="C8" s="30">
        <v>80101</v>
      </c>
      <c r="D8" s="31" t="s">
        <v>64</v>
      </c>
      <c r="E8" s="117">
        <v>16961</v>
      </c>
    </row>
    <row r="9" spans="1:5" s="22" customFormat="1" ht="30" customHeight="1">
      <c r="A9" s="30" t="s">
        <v>148</v>
      </c>
      <c r="B9" s="30">
        <v>801</v>
      </c>
      <c r="C9" s="30">
        <v>80103</v>
      </c>
      <c r="D9" s="74" t="s">
        <v>737</v>
      </c>
      <c r="E9" s="117">
        <v>73338</v>
      </c>
    </row>
    <row r="10" spans="1:5" s="22" customFormat="1" ht="30" customHeight="1">
      <c r="A10" s="30" t="s">
        <v>135</v>
      </c>
      <c r="B10" s="30">
        <v>801</v>
      </c>
      <c r="C10" s="30">
        <v>80104</v>
      </c>
      <c r="D10" s="31" t="s">
        <v>657</v>
      </c>
      <c r="E10" s="117">
        <v>5403152</v>
      </c>
    </row>
    <row r="11" spans="1:5" s="22" customFormat="1" ht="30" customHeight="1">
      <c r="A11" s="30" t="s">
        <v>152</v>
      </c>
      <c r="B11" s="30">
        <v>801</v>
      </c>
      <c r="C11" s="30">
        <v>80104</v>
      </c>
      <c r="D11" s="31" t="s">
        <v>664</v>
      </c>
      <c r="E11" s="117">
        <v>90756</v>
      </c>
    </row>
    <row r="12" spans="1:6" s="22" customFormat="1" ht="30" customHeight="1">
      <c r="A12" s="30" t="s">
        <v>155</v>
      </c>
      <c r="B12" s="30">
        <v>801</v>
      </c>
      <c r="C12" s="30">
        <v>80110</v>
      </c>
      <c r="D12" s="74" t="s">
        <v>580</v>
      </c>
      <c r="E12" s="117">
        <v>189616</v>
      </c>
      <c r="F12" s="192">
        <f>SUM(E12:E14)</f>
        <v>310572</v>
      </c>
    </row>
    <row r="13" spans="1:5" s="22" customFormat="1" ht="30" customHeight="1">
      <c r="A13" s="30" t="s">
        <v>157</v>
      </c>
      <c r="B13" s="30">
        <v>801</v>
      </c>
      <c r="C13" s="30">
        <v>80110</v>
      </c>
      <c r="D13" s="31" t="s">
        <v>579</v>
      </c>
      <c r="E13" s="117">
        <v>101994</v>
      </c>
    </row>
    <row r="14" spans="1:5" s="22" customFormat="1" ht="30" customHeight="1">
      <c r="A14" s="30" t="s">
        <v>160</v>
      </c>
      <c r="B14" s="30">
        <v>801</v>
      </c>
      <c r="C14" s="30">
        <v>80110</v>
      </c>
      <c r="D14" s="31" t="s">
        <v>65</v>
      </c>
      <c r="E14" s="117">
        <v>18962</v>
      </c>
    </row>
    <row r="15" spans="1:5" s="22" customFormat="1" ht="30" customHeight="1">
      <c r="A15" s="30" t="s">
        <v>560</v>
      </c>
      <c r="B15" s="30">
        <v>801</v>
      </c>
      <c r="C15" s="30">
        <v>80110</v>
      </c>
      <c r="D15" s="74" t="s">
        <v>725</v>
      </c>
      <c r="E15" s="117">
        <v>217784</v>
      </c>
    </row>
    <row r="16" spans="1:5" s="22" customFormat="1" ht="30" customHeight="1">
      <c r="A16" s="30" t="s">
        <v>561</v>
      </c>
      <c r="B16" s="30">
        <v>851</v>
      </c>
      <c r="C16" s="30">
        <v>85154</v>
      </c>
      <c r="D16" s="74" t="s">
        <v>677</v>
      </c>
      <c r="E16" s="117">
        <v>5200</v>
      </c>
    </row>
    <row r="17" spans="1:5" s="22" customFormat="1" ht="30" customHeight="1">
      <c r="A17" s="30" t="s">
        <v>562</v>
      </c>
      <c r="B17" s="30">
        <v>921</v>
      </c>
      <c r="C17" s="30">
        <v>92109</v>
      </c>
      <c r="D17" s="31" t="s">
        <v>576</v>
      </c>
      <c r="E17" s="117">
        <v>1325000</v>
      </c>
    </row>
    <row r="18" spans="1:5" s="22" customFormat="1" ht="30" customHeight="1">
      <c r="A18" s="30" t="s">
        <v>563</v>
      </c>
      <c r="B18" s="30">
        <v>921</v>
      </c>
      <c r="C18" s="30">
        <v>92116</v>
      </c>
      <c r="D18" s="31" t="s">
        <v>577</v>
      </c>
      <c r="E18" s="117">
        <v>1106000</v>
      </c>
    </row>
    <row r="19" spans="1:5" s="22" customFormat="1" ht="30" customHeight="1">
      <c r="A19" s="30" t="s">
        <v>564</v>
      </c>
      <c r="B19" s="30">
        <v>921</v>
      </c>
      <c r="C19" s="30">
        <v>92118</v>
      </c>
      <c r="D19" s="31" t="s">
        <v>619</v>
      </c>
      <c r="E19" s="117">
        <v>392465</v>
      </c>
    </row>
    <row r="20" spans="1:5" s="22" customFormat="1" ht="30" customHeight="1">
      <c r="A20" s="488" t="s">
        <v>52</v>
      </c>
      <c r="B20" s="489"/>
      <c r="C20" s="489"/>
      <c r="D20" s="489"/>
      <c r="E20" s="116">
        <f>SUM(E21,E22,E23,E24,E25,E26,E27,E28,E29,E30,E31,E32,E33,E34)</f>
        <v>3560770</v>
      </c>
    </row>
    <row r="21" spans="1:6" s="107" customFormat="1" ht="50.25" customHeight="1">
      <c r="A21" s="105" t="s">
        <v>146</v>
      </c>
      <c r="B21" s="105">
        <v>801</v>
      </c>
      <c r="C21" s="105">
        <v>80120</v>
      </c>
      <c r="D21" s="106" t="s">
        <v>582</v>
      </c>
      <c r="E21" s="118">
        <v>224280</v>
      </c>
      <c r="F21" s="193">
        <f>SUM(E21:E27)</f>
        <v>1139005</v>
      </c>
    </row>
    <row r="22" spans="1:5" s="107" customFormat="1" ht="43.5" customHeight="1">
      <c r="A22" s="57" t="s">
        <v>147</v>
      </c>
      <c r="B22" s="57">
        <v>801</v>
      </c>
      <c r="C22" s="57">
        <v>80120</v>
      </c>
      <c r="D22" s="341" t="s">
        <v>581</v>
      </c>
      <c r="E22" s="342">
        <v>307604</v>
      </c>
    </row>
    <row r="23" spans="1:5" s="107" customFormat="1" ht="50.25" customHeight="1">
      <c r="A23" s="339" t="s">
        <v>148</v>
      </c>
      <c r="B23" s="339">
        <v>801</v>
      </c>
      <c r="C23" s="339">
        <v>80120</v>
      </c>
      <c r="D23" s="108" t="s">
        <v>583</v>
      </c>
      <c r="E23" s="340">
        <v>141156</v>
      </c>
    </row>
    <row r="24" spans="1:5" s="107" customFormat="1" ht="50.25" customHeight="1">
      <c r="A24" s="105" t="s">
        <v>135</v>
      </c>
      <c r="B24" s="105">
        <v>801</v>
      </c>
      <c r="C24" s="105">
        <v>80120</v>
      </c>
      <c r="D24" s="106" t="s">
        <v>665</v>
      </c>
      <c r="E24" s="118">
        <v>192340</v>
      </c>
    </row>
    <row r="25" spans="1:5" s="107" customFormat="1" ht="50.25" customHeight="1">
      <c r="A25" s="30" t="s">
        <v>152</v>
      </c>
      <c r="B25" s="30">
        <v>801</v>
      </c>
      <c r="C25" s="30">
        <v>80120</v>
      </c>
      <c r="D25" s="106" t="s">
        <v>666</v>
      </c>
      <c r="E25" s="117">
        <v>132714</v>
      </c>
    </row>
    <row r="26" spans="1:5" s="107" customFormat="1" ht="50.25" customHeight="1">
      <c r="A26" s="105" t="s">
        <v>155</v>
      </c>
      <c r="B26" s="105">
        <v>801</v>
      </c>
      <c r="C26" s="105">
        <v>80120</v>
      </c>
      <c r="D26" s="108" t="s">
        <v>667</v>
      </c>
      <c r="E26" s="118">
        <v>71530</v>
      </c>
    </row>
    <row r="27" spans="1:5" s="107" customFormat="1" ht="50.25" customHeight="1">
      <c r="A27" s="105" t="s">
        <v>157</v>
      </c>
      <c r="B27" s="105">
        <v>801</v>
      </c>
      <c r="C27" s="105">
        <v>80120</v>
      </c>
      <c r="D27" s="109" t="s">
        <v>726</v>
      </c>
      <c r="E27" s="118">
        <v>69381</v>
      </c>
    </row>
    <row r="28" spans="1:6" s="107" customFormat="1" ht="38.25" customHeight="1">
      <c r="A28" s="105" t="s">
        <v>160</v>
      </c>
      <c r="B28" s="105">
        <v>801</v>
      </c>
      <c r="C28" s="105">
        <v>80130</v>
      </c>
      <c r="D28" s="109" t="s">
        <v>584</v>
      </c>
      <c r="E28" s="118">
        <v>616471</v>
      </c>
      <c r="F28" s="193">
        <f>SUM(E28:E29)</f>
        <v>949168</v>
      </c>
    </row>
    <row r="29" spans="1:6" s="107" customFormat="1" ht="38.25" customHeight="1">
      <c r="A29" s="105" t="s">
        <v>560</v>
      </c>
      <c r="B29" s="105">
        <v>801</v>
      </c>
      <c r="C29" s="105">
        <v>80130</v>
      </c>
      <c r="D29" s="109" t="s">
        <v>585</v>
      </c>
      <c r="E29" s="118">
        <v>332697</v>
      </c>
      <c r="F29" s="193"/>
    </row>
    <row r="30" spans="1:5" s="107" customFormat="1" ht="38.25" customHeight="1">
      <c r="A30" s="105" t="s">
        <v>561</v>
      </c>
      <c r="B30" s="105">
        <v>801</v>
      </c>
      <c r="C30" s="105">
        <v>80130</v>
      </c>
      <c r="D30" s="110" t="s">
        <v>668</v>
      </c>
      <c r="E30" s="118">
        <v>56034</v>
      </c>
    </row>
    <row r="31" spans="1:5" s="107" customFormat="1" ht="35.25" customHeight="1">
      <c r="A31" s="105" t="s">
        <v>562</v>
      </c>
      <c r="B31" s="105">
        <v>851</v>
      </c>
      <c r="C31" s="105">
        <v>85111</v>
      </c>
      <c r="D31" s="111" t="s">
        <v>727</v>
      </c>
      <c r="E31" s="118">
        <v>500000</v>
      </c>
    </row>
    <row r="32" spans="1:5" s="107" customFormat="1" ht="35.25" customHeight="1">
      <c r="A32" s="105" t="s">
        <v>563</v>
      </c>
      <c r="B32" s="105">
        <v>851</v>
      </c>
      <c r="C32" s="105">
        <v>85117</v>
      </c>
      <c r="D32" s="111" t="s">
        <v>578</v>
      </c>
      <c r="E32" s="118">
        <v>67140</v>
      </c>
    </row>
    <row r="33" spans="1:5" s="107" customFormat="1" ht="35.25" customHeight="1">
      <c r="A33" s="105" t="s">
        <v>564</v>
      </c>
      <c r="B33" s="105">
        <v>853</v>
      </c>
      <c r="C33" s="105">
        <v>85311</v>
      </c>
      <c r="D33" s="111" t="s">
        <v>44</v>
      </c>
      <c r="E33" s="118">
        <v>50302</v>
      </c>
    </row>
    <row r="34" spans="1:5" s="107" customFormat="1" ht="51" customHeight="1">
      <c r="A34" s="105" t="s">
        <v>565</v>
      </c>
      <c r="B34" s="105">
        <v>854</v>
      </c>
      <c r="C34" s="105">
        <v>85419</v>
      </c>
      <c r="D34" s="111" t="s">
        <v>58</v>
      </c>
      <c r="E34" s="118">
        <v>799121</v>
      </c>
    </row>
    <row r="35" spans="1:5" s="112" customFormat="1" ht="30" customHeight="1">
      <c r="A35" s="400" t="s">
        <v>217</v>
      </c>
      <c r="B35" s="401"/>
      <c r="C35" s="401"/>
      <c r="D35" s="402"/>
      <c r="E35" s="119">
        <f>SUM(E6,E20)</f>
        <v>12791422</v>
      </c>
    </row>
    <row r="37" ht="12.75">
      <c r="A37" s="19"/>
    </row>
    <row r="38" ht="12.75">
      <c r="A38" s="17"/>
    </row>
    <row r="40" ht="12.75">
      <c r="A40" s="17"/>
    </row>
  </sheetData>
  <sheetProtection password="CF53" sheet="1" formatCells="0" formatColumns="0" formatRows="0" insertColumns="0" insertRows="0" insertHyperlinks="0" deleteColumns="0" deleteRows="0" sort="0" autoFilter="0" pivotTables="0"/>
  <mergeCells count="4">
    <mergeCell ref="A1:E1"/>
    <mergeCell ref="A35:D35"/>
    <mergeCell ref="A20:D20"/>
    <mergeCell ref="A6:D6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&amp;A
do uchwały  Nr XLVII/394/2008
Rady Miasta Świnoujścia
z dnia 19 grudnia 2008 roku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F13"/>
  <sheetViews>
    <sheetView view="pageBreakPreview"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3.375" style="101" customWidth="1"/>
    <col min="2" max="2" width="6.25390625" style="101" customWidth="1"/>
    <col min="3" max="3" width="8.375" style="101" customWidth="1"/>
    <col min="4" max="4" width="23.875" style="21" customWidth="1"/>
    <col min="5" max="5" width="37.625" style="21" customWidth="1"/>
    <col min="6" max="6" width="17.625" style="21" customWidth="1"/>
    <col min="7" max="16384" width="9.125" style="21" customWidth="1"/>
  </cols>
  <sheetData>
    <row r="1" spans="1:6" ht="19.5" customHeight="1">
      <c r="A1" s="403" t="s">
        <v>647</v>
      </c>
      <c r="B1" s="403"/>
      <c r="C1" s="403"/>
      <c r="D1" s="403"/>
      <c r="E1" s="403"/>
      <c r="F1" s="403"/>
    </row>
    <row r="2" spans="4:6" ht="19.5" customHeight="1">
      <c r="D2" s="20"/>
      <c r="E2" s="20"/>
      <c r="F2" s="20"/>
    </row>
    <row r="3" spans="4:6" ht="19.5" customHeight="1">
      <c r="D3" s="22"/>
      <c r="E3" s="22"/>
      <c r="F3" s="102" t="s">
        <v>168</v>
      </c>
    </row>
    <row r="4" spans="1:6" ht="19.5" customHeight="1">
      <c r="A4" s="404" t="s">
        <v>182</v>
      </c>
      <c r="B4" s="404" t="s">
        <v>136</v>
      </c>
      <c r="C4" s="404" t="s">
        <v>137</v>
      </c>
      <c r="D4" s="405" t="s">
        <v>187</v>
      </c>
      <c r="E4" s="405" t="s">
        <v>188</v>
      </c>
      <c r="F4" s="405" t="s">
        <v>169</v>
      </c>
    </row>
    <row r="5" spans="1:6" ht="19.5" customHeight="1">
      <c r="A5" s="404"/>
      <c r="B5" s="404"/>
      <c r="C5" s="404"/>
      <c r="D5" s="405"/>
      <c r="E5" s="405"/>
      <c r="F5" s="405"/>
    </row>
    <row r="6" spans="1:6" ht="19.5" customHeight="1">
      <c r="A6" s="404"/>
      <c r="B6" s="404"/>
      <c r="C6" s="404"/>
      <c r="D6" s="405"/>
      <c r="E6" s="405"/>
      <c r="F6" s="405"/>
    </row>
    <row r="7" spans="1:6" ht="7.5" customHeigh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</row>
    <row r="8" spans="1:6" ht="30" customHeight="1">
      <c r="A8" s="488" t="s">
        <v>214</v>
      </c>
      <c r="B8" s="489"/>
      <c r="C8" s="489"/>
      <c r="D8" s="489"/>
      <c r="E8" s="489"/>
      <c r="F8" s="490"/>
    </row>
    <row r="9" spans="1:6" s="22" customFormat="1" ht="78" customHeight="1">
      <c r="A9" s="30" t="s">
        <v>146</v>
      </c>
      <c r="B9" s="30">
        <v>700</v>
      </c>
      <c r="C9" s="30">
        <v>70001</v>
      </c>
      <c r="D9" s="74" t="s">
        <v>573</v>
      </c>
      <c r="E9" s="74" t="s">
        <v>638</v>
      </c>
      <c r="F9" s="117">
        <v>400000</v>
      </c>
    </row>
    <row r="10" spans="1:6" s="22" customFormat="1" ht="102" customHeight="1">
      <c r="A10" s="30" t="s">
        <v>147</v>
      </c>
      <c r="B10" s="30">
        <v>926</v>
      </c>
      <c r="C10" s="30">
        <v>92605</v>
      </c>
      <c r="D10" s="74" t="s">
        <v>574</v>
      </c>
      <c r="E10" s="74" t="s">
        <v>808</v>
      </c>
      <c r="F10" s="117">
        <v>830000</v>
      </c>
    </row>
    <row r="11" spans="1:6" s="22" customFormat="1" ht="30" customHeight="1">
      <c r="A11" s="400" t="s">
        <v>575</v>
      </c>
      <c r="B11" s="401"/>
      <c r="C11" s="401"/>
      <c r="D11" s="402"/>
      <c r="E11" s="103"/>
      <c r="F11" s="33">
        <f>SUM(F9,F10)</f>
        <v>1230000</v>
      </c>
    </row>
    <row r="13" ht="12.75">
      <c r="A13" s="104"/>
    </row>
  </sheetData>
  <sheetProtection password="CF53" sheet="1" formatCells="0" formatColumns="0" formatRows="0" insertColumns="0" insertRows="0" insertHyperlinks="0" deleteColumns="0" deleteRows="0" sort="0" autoFilter="0" pivotTables="0"/>
  <mergeCells count="9">
    <mergeCell ref="A8:F8"/>
    <mergeCell ref="A11:D11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r:id="rId1"/>
  <headerFooter alignWithMargins="0">
    <oddHeader xml:space="preserve">&amp;R&amp;9Załącznik nr &amp;A
do uchwały Nr XLVII/394/2008
Rady Miasta Świnoujścia
z dnia 19 grudnia 2008 roku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0"/>
  </sheetPr>
  <dimension ref="A1:F21"/>
  <sheetViews>
    <sheetView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5.25390625" style="21" customWidth="1"/>
    <col min="2" max="2" width="9.125" style="21" customWidth="1"/>
    <col min="3" max="3" width="11.00390625" style="21" customWidth="1"/>
    <col min="4" max="4" width="43.875" style="21" customWidth="1"/>
    <col min="5" max="5" width="13.75390625" style="21" customWidth="1"/>
    <col min="6" max="6" width="12.00390625" style="21" customWidth="1"/>
    <col min="7" max="16384" width="9.125" style="21" customWidth="1"/>
  </cols>
  <sheetData>
    <row r="1" spans="1:5" ht="48.75" customHeight="1">
      <c r="A1" s="493" t="s">
        <v>648</v>
      </c>
      <c r="B1" s="493"/>
      <c r="C1" s="493"/>
      <c r="D1" s="493"/>
      <c r="E1" s="493"/>
    </row>
    <row r="2" spans="4:5" ht="19.5" customHeight="1">
      <c r="D2" s="20"/>
      <c r="E2" s="20"/>
    </row>
    <row r="3" spans="4:6" ht="19.5" customHeight="1">
      <c r="D3" s="22"/>
      <c r="E3" s="70"/>
      <c r="F3" s="70" t="s">
        <v>168</v>
      </c>
    </row>
    <row r="4" spans="1:6" ht="42.75" customHeight="1">
      <c r="A4" s="69" t="s">
        <v>182</v>
      </c>
      <c r="B4" s="69" t="s">
        <v>136</v>
      </c>
      <c r="C4" s="69" t="s">
        <v>137</v>
      </c>
      <c r="D4" s="69" t="s">
        <v>170</v>
      </c>
      <c r="E4" s="36" t="s">
        <v>596</v>
      </c>
      <c r="F4" s="36" t="s">
        <v>600</v>
      </c>
    </row>
    <row r="5" spans="1:6" s="72" customFormat="1" ht="7.5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30" customHeight="1">
      <c r="A6" s="488" t="s">
        <v>51</v>
      </c>
      <c r="B6" s="489"/>
      <c r="C6" s="489"/>
      <c r="D6" s="489"/>
      <c r="E6" s="91">
        <f>SUM(E7,E8,E9,E10,E11,E12,E13)</f>
        <v>1440</v>
      </c>
      <c r="F6" s="91">
        <f>SUM(F7,F8,F10,F11,F12,F13)</f>
        <v>2783500</v>
      </c>
    </row>
    <row r="7" spans="1:6" s="96" customFormat="1" ht="28.5" customHeight="1">
      <c r="A7" s="92" t="s">
        <v>146</v>
      </c>
      <c r="B7" s="93">
        <v>700</v>
      </c>
      <c r="C7" s="94">
        <v>70001</v>
      </c>
      <c r="D7" s="95" t="s">
        <v>622</v>
      </c>
      <c r="E7" s="83"/>
      <c r="F7" s="84">
        <v>600000</v>
      </c>
    </row>
    <row r="8" spans="1:6" s="96" customFormat="1" ht="28.5" customHeight="1">
      <c r="A8" s="92" t="s">
        <v>147</v>
      </c>
      <c r="B8" s="81">
        <v>801</v>
      </c>
      <c r="C8" s="343">
        <v>80104</v>
      </c>
      <c r="D8" s="95" t="s">
        <v>729</v>
      </c>
      <c r="E8" s="83"/>
      <c r="F8" s="84">
        <v>885000</v>
      </c>
    </row>
    <row r="9" spans="1:6" s="96" customFormat="1" ht="28.5" customHeight="1">
      <c r="A9" s="92" t="s">
        <v>148</v>
      </c>
      <c r="B9" s="81">
        <v>851</v>
      </c>
      <c r="C9" s="343">
        <v>85153</v>
      </c>
      <c r="D9" s="95" t="s">
        <v>809</v>
      </c>
      <c r="E9" s="83">
        <v>1440</v>
      </c>
      <c r="F9" s="84"/>
    </row>
    <row r="10" spans="1:6" s="85" customFormat="1" ht="28.5" customHeight="1">
      <c r="A10" s="92" t="s">
        <v>135</v>
      </c>
      <c r="B10" s="81">
        <v>921</v>
      </c>
      <c r="C10" s="82">
        <v>92109</v>
      </c>
      <c r="D10" s="83" t="s">
        <v>597</v>
      </c>
      <c r="E10" s="84"/>
      <c r="F10" s="84">
        <v>900000</v>
      </c>
    </row>
    <row r="11" spans="1:6" s="85" customFormat="1" ht="28.5" customHeight="1">
      <c r="A11" s="92" t="s">
        <v>152</v>
      </c>
      <c r="B11" s="81">
        <v>921</v>
      </c>
      <c r="C11" s="82">
        <v>92116</v>
      </c>
      <c r="D11" s="83" t="s">
        <v>656</v>
      </c>
      <c r="E11" s="84"/>
      <c r="F11" s="84">
        <v>49000</v>
      </c>
    </row>
    <row r="12" spans="1:6" s="85" customFormat="1" ht="28.5" customHeight="1">
      <c r="A12" s="92" t="s">
        <v>155</v>
      </c>
      <c r="B12" s="81">
        <v>921</v>
      </c>
      <c r="C12" s="82">
        <v>92118</v>
      </c>
      <c r="D12" s="83" t="s">
        <v>598</v>
      </c>
      <c r="E12" s="84"/>
      <c r="F12" s="84">
        <v>109500</v>
      </c>
    </row>
    <row r="13" spans="1:6" s="22" customFormat="1" ht="30" customHeight="1">
      <c r="A13" s="92" t="s">
        <v>157</v>
      </c>
      <c r="B13" s="30">
        <v>926</v>
      </c>
      <c r="C13" s="78">
        <v>92605</v>
      </c>
      <c r="D13" s="80" t="s">
        <v>621</v>
      </c>
      <c r="E13" s="84"/>
      <c r="F13" s="84">
        <v>240000</v>
      </c>
    </row>
    <row r="14" spans="1:6" s="22" customFormat="1" ht="30" customHeight="1">
      <c r="A14" s="488" t="s">
        <v>52</v>
      </c>
      <c r="B14" s="489"/>
      <c r="C14" s="489"/>
      <c r="D14" s="489"/>
      <c r="E14" s="116">
        <f>SUM(E15,E16,E17,E18)</f>
        <v>966310</v>
      </c>
      <c r="F14" s="116">
        <f>SUM(F15,F16,F17,F18)</f>
        <v>69050</v>
      </c>
    </row>
    <row r="15" spans="1:6" s="22" customFormat="1" ht="32.25" customHeight="1">
      <c r="A15" s="73" t="s">
        <v>146</v>
      </c>
      <c r="B15" s="51">
        <v>754</v>
      </c>
      <c r="C15" s="51">
        <v>75405</v>
      </c>
      <c r="D15" s="97" t="s">
        <v>60</v>
      </c>
      <c r="E15" s="120">
        <v>100000</v>
      </c>
      <c r="F15" s="120"/>
    </row>
    <row r="16" spans="1:6" s="85" customFormat="1" ht="30" customHeight="1">
      <c r="A16" s="73" t="s">
        <v>147</v>
      </c>
      <c r="B16" s="93">
        <v>851</v>
      </c>
      <c r="C16" s="82">
        <v>85117</v>
      </c>
      <c r="D16" s="99" t="s">
        <v>601</v>
      </c>
      <c r="E16" s="84"/>
      <c r="F16" s="84">
        <v>69050</v>
      </c>
    </row>
    <row r="17" spans="1:6" s="22" customFormat="1" ht="30" customHeight="1">
      <c r="A17" s="73" t="s">
        <v>148</v>
      </c>
      <c r="B17" s="73">
        <v>852</v>
      </c>
      <c r="C17" s="51">
        <v>85201</v>
      </c>
      <c r="D17" s="74" t="s">
        <v>589</v>
      </c>
      <c r="E17" s="117">
        <v>744295</v>
      </c>
      <c r="F17" s="117"/>
    </row>
    <row r="18" spans="1:6" s="22" customFormat="1" ht="30" customHeight="1">
      <c r="A18" s="73" t="s">
        <v>135</v>
      </c>
      <c r="B18" s="51">
        <v>852</v>
      </c>
      <c r="C18" s="51">
        <v>85204</v>
      </c>
      <c r="D18" s="74" t="s">
        <v>59</v>
      </c>
      <c r="E18" s="117">
        <v>122015</v>
      </c>
      <c r="F18" s="117"/>
    </row>
    <row r="19" spans="1:6" ht="30" customHeight="1">
      <c r="A19" s="400" t="s">
        <v>217</v>
      </c>
      <c r="B19" s="401"/>
      <c r="C19" s="401"/>
      <c r="D19" s="402"/>
      <c r="E19" s="121">
        <f>SUM(E6,E14)</f>
        <v>967750</v>
      </c>
      <c r="F19" s="121">
        <f>SUM(F6,F14)</f>
        <v>2852550</v>
      </c>
    </row>
    <row r="20" spans="1:6" s="44" customFormat="1" ht="33" customHeight="1">
      <c r="A20" s="484" t="s">
        <v>613</v>
      </c>
      <c r="B20" s="484"/>
      <c r="C20" s="484"/>
      <c r="D20" s="484"/>
      <c r="E20" s="491">
        <f>E19+F19</f>
        <v>3820300</v>
      </c>
      <c r="F20" s="492"/>
    </row>
    <row r="21" ht="12.75">
      <c r="A21" s="34"/>
    </row>
  </sheetData>
  <sheetProtection password="CF53" sheet="1" formatCells="0" formatColumns="0" formatRows="0" insertColumns="0" insertRows="0" insertHyperlinks="0" deleteColumns="0" deleteRows="0" sort="0" autoFilter="0" pivotTables="0"/>
  <mergeCells count="6">
    <mergeCell ref="A20:D20"/>
    <mergeCell ref="E20:F20"/>
    <mergeCell ref="A1:E1"/>
    <mergeCell ref="A19:D19"/>
    <mergeCell ref="A14:D14"/>
    <mergeCell ref="A6:D6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&amp;A
do uchwały Nr XLVII/394/2008 
Rady Miasta Świnoujścia
z dnia 19 grudnia 2008 roku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</sheetPr>
  <dimension ref="A1:F11"/>
  <sheetViews>
    <sheetView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5.25390625" style="21" customWidth="1"/>
    <col min="2" max="2" width="9.125" style="21" customWidth="1"/>
    <col min="3" max="3" width="11.00390625" style="21" customWidth="1"/>
    <col min="4" max="4" width="43.875" style="21" customWidth="1"/>
    <col min="5" max="5" width="13.75390625" style="21" customWidth="1"/>
    <col min="6" max="6" width="12.00390625" style="21" customWidth="1"/>
    <col min="7" max="16384" width="9.125" style="21" customWidth="1"/>
  </cols>
  <sheetData>
    <row r="1" spans="1:5" ht="48.75" customHeight="1">
      <c r="A1" s="493" t="s">
        <v>736</v>
      </c>
      <c r="B1" s="493"/>
      <c r="C1" s="493"/>
      <c r="D1" s="493"/>
      <c r="E1" s="493"/>
    </row>
    <row r="2" spans="4:5" ht="19.5" customHeight="1">
      <c r="D2" s="20"/>
      <c r="E2" s="20"/>
    </row>
    <row r="3" spans="4:6" ht="19.5" customHeight="1">
      <c r="D3" s="22"/>
      <c r="E3" s="70"/>
      <c r="F3" s="70" t="s">
        <v>168</v>
      </c>
    </row>
    <row r="4" spans="1:6" ht="42.75" customHeight="1">
      <c r="A4" s="69" t="s">
        <v>182</v>
      </c>
      <c r="B4" s="69" t="s">
        <v>136</v>
      </c>
      <c r="C4" s="69" t="s">
        <v>137</v>
      </c>
      <c r="D4" s="69" t="s">
        <v>170</v>
      </c>
      <c r="E4" s="36" t="s">
        <v>596</v>
      </c>
      <c r="F4" s="36" t="s">
        <v>600</v>
      </c>
    </row>
    <row r="5" spans="1:6" s="72" customFormat="1" ht="7.5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30" customHeight="1">
      <c r="A6" s="488" t="s">
        <v>51</v>
      </c>
      <c r="B6" s="489"/>
      <c r="C6" s="489"/>
      <c r="D6" s="489"/>
      <c r="E6" s="91">
        <f>SUM(E7)</f>
        <v>131000</v>
      </c>
      <c r="F6" s="91">
        <f>SUM(F7)</f>
        <v>0</v>
      </c>
    </row>
    <row r="7" spans="1:6" s="85" customFormat="1" ht="28.5" customHeight="1">
      <c r="A7" s="73" t="s">
        <v>146</v>
      </c>
      <c r="B7" s="81">
        <v>852</v>
      </c>
      <c r="C7" s="82">
        <v>85203</v>
      </c>
      <c r="D7" s="83" t="s">
        <v>591</v>
      </c>
      <c r="E7" s="84">
        <v>131000</v>
      </c>
      <c r="F7" s="84"/>
    </row>
    <row r="8" spans="1:6" s="22" customFormat="1" ht="30" customHeight="1">
      <c r="A8" s="488" t="s">
        <v>52</v>
      </c>
      <c r="B8" s="489"/>
      <c r="C8" s="489"/>
      <c r="D8" s="489"/>
      <c r="E8" s="116">
        <f>SUM(E9)</f>
        <v>33000</v>
      </c>
      <c r="F8" s="116">
        <f>SUM(F9)</f>
        <v>0</v>
      </c>
    </row>
    <row r="9" spans="1:6" s="22" customFormat="1" ht="32.25" customHeight="1">
      <c r="A9" s="73" t="s">
        <v>146</v>
      </c>
      <c r="B9" s="51">
        <v>853</v>
      </c>
      <c r="C9" s="51">
        <v>85321</v>
      </c>
      <c r="D9" s="97" t="s">
        <v>387</v>
      </c>
      <c r="E9" s="120">
        <v>33000</v>
      </c>
      <c r="F9" s="120"/>
    </row>
    <row r="10" spans="1:6" ht="30" customHeight="1">
      <c r="A10" s="400" t="s">
        <v>217</v>
      </c>
      <c r="B10" s="401"/>
      <c r="C10" s="401"/>
      <c r="D10" s="402"/>
      <c r="E10" s="121">
        <f>SUM(E6,E8)</f>
        <v>164000</v>
      </c>
      <c r="F10" s="121">
        <f>SUM(F6,F8)</f>
        <v>0</v>
      </c>
    </row>
    <row r="11" ht="12.75">
      <c r="A11" s="34"/>
    </row>
  </sheetData>
  <sheetProtection password="CF53" sheet="1" formatCells="0" formatColumns="0" formatRows="0" insertColumns="0" insertRows="0" insertHyperlinks="0" deleteColumns="0" deleteRows="0" sort="0" autoFilter="0" pivotTables="0"/>
  <mergeCells count="4">
    <mergeCell ref="A1:E1"/>
    <mergeCell ref="A10:D10"/>
    <mergeCell ref="A8:D8"/>
    <mergeCell ref="A6:D6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&amp;A
do uchwały Nr XLVII/394/2008 
Rady Miasta Świnoujścia
z dnia 19 grudnia 2008 roku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0"/>
  </sheetPr>
  <dimension ref="A1:H21"/>
  <sheetViews>
    <sheetView view="pageBreakPreview" zoomScaleSheetLayoutView="100" zoomScalePageLayoutView="0" workbookViewId="0" topLeftCell="A3">
      <selection activeCell="E13" sqref="E13"/>
    </sheetView>
  </sheetViews>
  <sheetFormatPr defaultColWidth="9.00390625" defaultRowHeight="12.75"/>
  <cols>
    <col min="1" max="1" width="5.25390625" style="21" customWidth="1"/>
    <col min="2" max="2" width="9.125" style="21" customWidth="1"/>
    <col min="3" max="3" width="11.00390625" style="21" customWidth="1"/>
    <col min="4" max="4" width="43.875" style="21" customWidth="1"/>
    <col min="5" max="5" width="13.25390625" style="21" customWidth="1"/>
    <col min="6" max="6" width="13.625" style="21" customWidth="1"/>
    <col min="7" max="7" width="9.125" style="21" customWidth="1"/>
    <col min="8" max="8" width="21.00390625" style="21" customWidth="1"/>
    <col min="9" max="16384" width="9.125" style="21" customWidth="1"/>
  </cols>
  <sheetData>
    <row r="1" spans="1:5" ht="40.5" customHeight="1">
      <c r="A1" s="493" t="s">
        <v>649</v>
      </c>
      <c r="B1" s="493"/>
      <c r="C1" s="493"/>
      <c r="D1" s="493"/>
      <c r="E1" s="493"/>
    </row>
    <row r="2" spans="4:5" ht="15.75" customHeight="1">
      <c r="D2" s="20"/>
      <c r="E2" s="20"/>
    </row>
    <row r="3" spans="4:6" ht="19.5" customHeight="1">
      <c r="D3" s="22"/>
      <c r="E3" s="70"/>
      <c r="F3" s="70" t="s">
        <v>168</v>
      </c>
    </row>
    <row r="4" spans="1:6" ht="37.5" customHeight="1">
      <c r="A4" s="69" t="s">
        <v>182</v>
      </c>
      <c r="B4" s="69" t="s">
        <v>136</v>
      </c>
      <c r="C4" s="69" t="s">
        <v>137</v>
      </c>
      <c r="D4" s="69" t="s">
        <v>170</v>
      </c>
      <c r="E4" s="36" t="s">
        <v>596</v>
      </c>
      <c r="F4" s="36" t="s">
        <v>600</v>
      </c>
    </row>
    <row r="5" spans="1:6" s="72" customFormat="1" ht="10.5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71">
        <v>6</v>
      </c>
    </row>
    <row r="6" spans="1:6" ht="26.25" customHeight="1">
      <c r="A6" s="488" t="s">
        <v>51</v>
      </c>
      <c r="B6" s="489"/>
      <c r="C6" s="489"/>
      <c r="D6" s="489"/>
      <c r="E6" s="122">
        <f>SUM(E7,E8,E9,E10,E11,E12,E13,E14,E15,E16,E17,E18)</f>
        <v>1884086</v>
      </c>
      <c r="F6" s="116">
        <f>SUM(F7,F8,F9,F10,F11,F12,F13,F14,F15,F16,F17,F18)</f>
        <v>0</v>
      </c>
    </row>
    <row r="7" spans="1:6" ht="28.5" customHeight="1">
      <c r="A7" s="73" t="s">
        <v>146</v>
      </c>
      <c r="B7" s="30">
        <v>750</v>
      </c>
      <c r="C7" s="51">
        <v>75095</v>
      </c>
      <c r="D7" s="31" t="s">
        <v>620</v>
      </c>
      <c r="E7" s="84">
        <v>6436</v>
      </c>
      <c r="F7" s="84"/>
    </row>
    <row r="8" spans="1:6" ht="28.5" customHeight="1">
      <c r="A8" s="73" t="s">
        <v>147</v>
      </c>
      <c r="B8" s="30">
        <v>801</v>
      </c>
      <c r="C8" s="51">
        <v>80113</v>
      </c>
      <c r="D8" s="31" t="s">
        <v>509</v>
      </c>
      <c r="E8" s="84">
        <v>11000</v>
      </c>
      <c r="F8" s="84"/>
    </row>
    <row r="9" spans="1:6" s="22" customFormat="1" ht="28.5" customHeight="1">
      <c r="A9" s="73" t="s">
        <v>148</v>
      </c>
      <c r="B9" s="30">
        <v>801</v>
      </c>
      <c r="C9" s="30">
        <v>80195</v>
      </c>
      <c r="D9" s="31" t="s">
        <v>588</v>
      </c>
      <c r="E9" s="117">
        <v>26000</v>
      </c>
      <c r="F9" s="117"/>
    </row>
    <row r="10" spans="1:6" s="22" customFormat="1" ht="28.5" customHeight="1">
      <c r="A10" s="73" t="s">
        <v>135</v>
      </c>
      <c r="B10" s="30">
        <v>851</v>
      </c>
      <c r="C10" s="30">
        <v>85149</v>
      </c>
      <c r="D10" s="31" t="s">
        <v>510</v>
      </c>
      <c r="E10" s="117">
        <v>9200</v>
      </c>
      <c r="F10" s="117"/>
    </row>
    <row r="11" spans="1:6" s="22" customFormat="1" ht="44.25" customHeight="1">
      <c r="A11" s="73" t="s">
        <v>152</v>
      </c>
      <c r="B11" s="30">
        <v>851</v>
      </c>
      <c r="C11" s="30">
        <v>85152</v>
      </c>
      <c r="D11" s="74" t="s">
        <v>586</v>
      </c>
      <c r="E11" s="117">
        <v>8000</v>
      </c>
      <c r="F11" s="117"/>
    </row>
    <row r="12" spans="1:6" s="22" customFormat="1" ht="39.75" customHeight="1">
      <c r="A12" s="73" t="s">
        <v>155</v>
      </c>
      <c r="B12" s="30">
        <v>851</v>
      </c>
      <c r="C12" s="75">
        <v>85153</v>
      </c>
      <c r="D12" s="76" t="s">
        <v>728</v>
      </c>
      <c r="E12" s="84">
        <v>5200</v>
      </c>
      <c r="F12" s="84"/>
    </row>
    <row r="13" spans="1:6" s="22" customFormat="1" ht="30" customHeight="1">
      <c r="A13" s="73" t="s">
        <v>157</v>
      </c>
      <c r="B13" s="77">
        <v>851</v>
      </c>
      <c r="C13" s="78">
        <v>85154</v>
      </c>
      <c r="D13" s="79" t="s">
        <v>590</v>
      </c>
      <c r="E13" s="84">
        <v>143100</v>
      </c>
      <c r="F13" s="84"/>
    </row>
    <row r="14" spans="1:6" s="22" customFormat="1" ht="30" customHeight="1">
      <c r="A14" s="73" t="s">
        <v>160</v>
      </c>
      <c r="B14" s="77">
        <v>851</v>
      </c>
      <c r="C14" s="78">
        <v>85195</v>
      </c>
      <c r="D14" s="80" t="s">
        <v>592</v>
      </c>
      <c r="E14" s="84">
        <v>20000</v>
      </c>
      <c r="F14" s="84"/>
    </row>
    <row r="15" spans="1:6" s="22" customFormat="1" ht="28.5" customHeight="1">
      <c r="A15" s="73" t="s">
        <v>560</v>
      </c>
      <c r="B15" s="77">
        <v>853</v>
      </c>
      <c r="C15" s="78">
        <v>85395</v>
      </c>
      <c r="D15" s="79" t="s">
        <v>587</v>
      </c>
      <c r="E15" s="84">
        <v>600000</v>
      </c>
      <c r="F15" s="84"/>
    </row>
    <row r="16" spans="1:6" s="22" customFormat="1" ht="30" customHeight="1">
      <c r="A16" s="73" t="s">
        <v>561</v>
      </c>
      <c r="B16" s="77">
        <v>921</v>
      </c>
      <c r="C16" s="78">
        <v>92195</v>
      </c>
      <c r="D16" s="80" t="s">
        <v>66</v>
      </c>
      <c r="E16" s="84">
        <v>56800</v>
      </c>
      <c r="F16" s="84"/>
    </row>
    <row r="17" spans="1:6" s="22" customFormat="1" ht="28.5" customHeight="1">
      <c r="A17" s="73" t="s">
        <v>562</v>
      </c>
      <c r="B17" s="77">
        <v>921</v>
      </c>
      <c r="C17" s="78">
        <v>92195</v>
      </c>
      <c r="D17" s="80" t="s">
        <v>599</v>
      </c>
      <c r="E17" s="84">
        <v>198350</v>
      </c>
      <c r="F17" s="84"/>
    </row>
    <row r="18" spans="1:6" s="22" customFormat="1" ht="28.5" customHeight="1">
      <c r="A18" s="73" t="s">
        <v>563</v>
      </c>
      <c r="B18" s="30">
        <v>926</v>
      </c>
      <c r="C18" s="78">
        <v>92605</v>
      </c>
      <c r="D18" s="79" t="s">
        <v>530</v>
      </c>
      <c r="E18" s="84">
        <v>800000</v>
      </c>
      <c r="F18" s="84"/>
    </row>
    <row r="19" spans="1:6" ht="31.5" customHeight="1">
      <c r="A19" s="400" t="s">
        <v>203</v>
      </c>
      <c r="B19" s="401"/>
      <c r="C19" s="401"/>
      <c r="D19" s="402"/>
      <c r="E19" s="491">
        <f>SUM(E7:F18)</f>
        <v>1884086</v>
      </c>
      <c r="F19" s="494"/>
    </row>
    <row r="21" spans="1:8" s="88" customFormat="1" ht="12.75">
      <c r="A21" s="86"/>
      <c r="B21" s="87"/>
      <c r="C21" s="87"/>
      <c r="E21" s="89"/>
      <c r="H21" s="90"/>
    </row>
  </sheetData>
  <sheetProtection password="CF53" sheet="1" formatCells="0" formatColumns="0" formatRows="0" insertColumns="0" insertRows="0" insertHyperlinks="0" deleteColumns="0" deleteRows="0" sort="0" autoFilter="0" pivotTables="0"/>
  <mergeCells count="4">
    <mergeCell ref="A1:E1"/>
    <mergeCell ref="A19:D19"/>
    <mergeCell ref="A6:D6"/>
    <mergeCell ref="E19:F19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r:id="rId1"/>
  <headerFooter alignWithMargins="0">
    <oddHeader xml:space="preserve">&amp;R&amp;9Załącznik nr &amp;A
do uchwały Nr XLVII/394/2008 
Rady Miasta Świnoujścia
z dnia 19 grudnia 2008 roku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0"/>
  </sheetPr>
  <dimension ref="A1:I44"/>
  <sheetViews>
    <sheetView defaultGridColor="0" view="pageBreakPreview" zoomScaleSheetLayoutView="100" zoomScalePageLayoutView="0" colorId="8" workbookViewId="0" topLeftCell="A1">
      <pane ySplit="6" topLeftCell="I30" activePane="bottomLeft" state="frozen"/>
      <selection pane="topLeft" activeCell="C20" sqref="C20"/>
      <selection pane="bottomLeft" activeCell="G19" sqref="G19"/>
    </sheetView>
  </sheetViews>
  <sheetFormatPr defaultColWidth="9.00390625" defaultRowHeight="12.75"/>
  <cols>
    <col min="1" max="1" width="5.625" style="9" bestFit="1" customWidth="1"/>
    <col min="2" max="2" width="8.875" style="9" bestFit="1" customWidth="1"/>
    <col min="3" max="3" width="14.25390625" style="9" customWidth="1"/>
    <col min="4" max="4" width="14.875" style="9" customWidth="1"/>
    <col min="5" max="5" width="13.625" style="9" customWidth="1"/>
    <col min="6" max="6" width="15.625" style="11" customWidth="1"/>
    <col min="7" max="7" width="15.75390625" style="11" customWidth="1"/>
    <col min="8" max="8" width="12.25390625" style="11" customWidth="1"/>
    <col min="9" max="9" width="15.875" style="11" customWidth="1"/>
    <col min="10" max="16384" width="9.125" style="11" customWidth="1"/>
  </cols>
  <sheetData>
    <row r="1" spans="1:9" s="21" customFormat="1" ht="48.75" customHeight="1">
      <c r="A1" s="502" t="s">
        <v>650</v>
      </c>
      <c r="B1" s="502"/>
      <c r="C1" s="502"/>
      <c r="D1" s="502"/>
      <c r="E1" s="502"/>
      <c r="F1" s="502"/>
      <c r="G1" s="502"/>
      <c r="H1" s="502"/>
      <c r="I1" s="502"/>
    </row>
    <row r="2" spans="1:9" s="21" customFormat="1" ht="12.75">
      <c r="A2" s="52"/>
      <c r="B2" s="52"/>
      <c r="C2" s="52"/>
      <c r="D2" s="52"/>
      <c r="E2" s="52"/>
      <c r="F2" s="53"/>
      <c r="G2" s="53"/>
      <c r="H2" s="53"/>
      <c r="I2" s="54" t="s">
        <v>168</v>
      </c>
    </row>
    <row r="3" spans="1:9" s="55" customFormat="1" ht="20.25" customHeight="1">
      <c r="A3" s="404" t="s">
        <v>136</v>
      </c>
      <c r="B3" s="473" t="s">
        <v>137</v>
      </c>
      <c r="C3" s="405" t="s">
        <v>199</v>
      </c>
      <c r="D3" s="405" t="s">
        <v>123</v>
      </c>
      <c r="E3" s="405" t="s">
        <v>190</v>
      </c>
      <c r="F3" s="405"/>
      <c r="G3" s="405"/>
      <c r="H3" s="405"/>
      <c r="I3" s="405"/>
    </row>
    <row r="4" spans="1:9" s="55" customFormat="1" ht="20.25" customHeight="1">
      <c r="A4" s="404"/>
      <c r="B4" s="503"/>
      <c r="C4" s="404"/>
      <c r="D4" s="405"/>
      <c r="E4" s="405" t="s">
        <v>197</v>
      </c>
      <c r="F4" s="405" t="s">
        <v>140</v>
      </c>
      <c r="G4" s="405"/>
      <c r="H4" s="405"/>
      <c r="I4" s="405" t="s">
        <v>198</v>
      </c>
    </row>
    <row r="5" spans="1:9" s="55" customFormat="1" ht="39.75" customHeight="1">
      <c r="A5" s="404"/>
      <c r="B5" s="474"/>
      <c r="C5" s="404"/>
      <c r="D5" s="405"/>
      <c r="E5" s="405"/>
      <c r="F5" s="36" t="s">
        <v>194</v>
      </c>
      <c r="G5" s="36" t="s">
        <v>195</v>
      </c>
      <c r="H5" s="36" t="s">
        <v>196</v>
      </c>
      <c r="I5" s="405"/>
    </row>
    <row r="6" spans="1:9" s="21" customFormat="1" ht="9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</row>
    <row r="7" spans="1:9" s="21" customFormat="1" ht="15.75" customHeight="1">
      <c r="A7" s="488" t="s">
        <v>51</v>
      </c>
      <c r="B7" s="489"/>
      <c r="C7" s="489"/>
      <c r="D7" s="489"/>
      <c r="E7" s="489"/>
      <c r="F7" s="489"/>
      <c r="G7" s="489"/>
      <c r="H7" s="489"/>
      <c r="I7" s="490"/>
    </row>
    <row r="8" spans="1:9" s="43" customFormat="1" ht="15.75" customHeight="1">
      <c r="A8" s="56">
        <v>750</v>
      </c>
      <c r="B8" s="56"/>
      <c r="C8" s="42">
        <f>C9</f>
        <v>369700</v>
      </c>
      <c r="D8" s="42">
        <f aca="true" t="shared" si="0" ref="D8:I8">D9</f>
        <v>369700</v>
      </c>
      <c r="E8" s="42">
        <f t="shared" si="0"/>
        <v>369700</v>
      </c>
      <c r="F8" s="42">
        <f t="shared" si="0"/>
        <v>310127</v>
      </c>
      <c r="G8" s="42">
        <f t="shared" si="0"/>
        <v>52998</v>
      </c>
      <c r="H8" s="42">
        <f t="shared" si="0"/>
        <v>0</v>
      </c>
      <c r="I8" s="42">
        <f t="shared" si="0"/>
        <v>0</v>
      </c>
    </row>
    <row r="9" spans="1:9" s="21" customFormat="1" ht="15.75" customHeight="1">
      <c r="A9" s="30"/>
      <c r="B9" s="30">
        <v>75011</v>
      </c>
      <c r="C9" s="32">
        <v>369700</v>
      </c>
      <c r="D9" s="32">
        <f>E9+I9</f>
        <v>369700</v>
      </c>
      <c r="E9" s="32">
        <v>369700</v>
      </c>
      <c r="F9" s="32">
        <v>310127</v>
      </c>
      <c r="G9" s="32">
        <v>52998</v>
      </c>
      <c r="H9" s="32"/>
      <c r="I9" s="32"/>
    </row>
    <row r="10" spans="1:9" s="43" customFormat="1" ht="15.75" customHeight="1">
      <c r="A10" s="56">
        <v>751</v>
      </c>
      <c r="B10" s="56"/>
      <c r="C10" s="42">
        <f>C11</f>
        <v>6900</v>
      </c>
      <c r="D10" s="42">
        <f aca="true" t="shared" si="1" ref="D10:I10">D11</f>
        <v>6900</v>
      </c>
      <c r="E10" s="42">
        <f t="shared" si="1"/>
        <v>6900</v>
      </c>
      <c r="F10" s="42">
        <f t="shared" si="1"/>
        <v>5865</v>
      </c>
      <c r="G10" s="42">
        <f t="shared" si="1"/>
        <v>1035</v>
      </c>
      <c r="H10" s="42">
        <f t="shared" si="1"/>
        <v>0</v>
      </c>
      <c r="I10" s="42">
        <f t="shared" si="1"/>
        <v>0</v>
      </c>
    </row>
    <row r="11" spans="1:9" s="21" customFormat="1" ht="15.75" customHeight="1">
      <c r="A11" s="30"/>
      <c r="B11" s="30">
        <v>75101</v>
      </c>
      <c r="C11" s="32">
        <v>6900</v>
      </c>
      <c r="D11" s="32">
        <f>E11+I11</f>
        <v>6900</v>
      </c>
      <c r="E11" s="32">
        <v>6900</v>
      </c>
      <c r="F11" s="32">
        <v>5865</v>
      </c>
      <c r="G11" s="32">
        <v>1035</v>
      </c>
      <c r="H11" s="32"/>
      <c r="I11" s="32"/>
    </row>
    <row r="12" spans="1:9" s="43" customFormat="1" ht="15.75" customHeight="1">
      <c r="A12" s="56">
        <v>754</v>
      </c>
      <c r="B12" s="56"/>
      <c r="C12" s="42">
        <f>C13</f>
        <v>8000</v>
      </c>
      <c r="D12" s="42">
        <f aca="true" t="shared" si="2" ref="D12:I12">D13</f>
        <v>8000</v>
      </c>
      <c r="E12" s="42">
        <f t="shared" si="2"/>
        <v>8000</v>
      </c>
      <c r="F12" s="42">
        <f t="shared" si="2"/>
        <v>0</v>
      </c>
      <c r="G12" s="42">
        <f t="shared" si="2"/>
        <v>0</v>
      </c>
      <c r="H12" s="42">
        <f t="shared" si="2"/>
        <v>0</v>
      </c>
      <c r="I12" s="42">
        <f t="shared" si="2"/>
        <v>0</v>
      </c>
    </row>
    <row r="13" spans="1:9" s="21" customFormat="1" ht="15.75" customHeight="1">
      <c r="A13" s="30"/>
      <c r="B13" s="30">
        <v>75414</v>
      </c>
      <c r="C13" s="32">
        <v>8000</v>
      </c>
      <c r="D13" s="32">
        <f>E13+I13</f>
        <v>8000</v>
      </c>
      <c r="E13" s="32">
        <v>8000</v>
      </c>
      <c r="F13" s="32"/>
      <c r="G13" s="32"/>
      <c r="H13" s="32"/>
      <c r="I13" s="32"/>
    </row>
    <row r="14" spans="1:9" s="43" customFormat="1" ht="15.75" customHeight="1">
      <c r="A14" s="56">
        <v>851</v>
      </c>
      <c r="B14" s="56"/>
      <c r="C14" s="42">
        <f aca="true" t="shared" si="3" ref="C14:H14">SUM(C15)</f>
        <v>3000</v>
      </c>
      <c r="D14" s="42">
        <f t="shared" si="3"/>
        <v>3000</v>
      </c>
      <c r="E14" s="42">
        <f t="shared" si="3"/>
        <v>3000</v>
      </c>
      <c r="F14" s="42">
        <f t="shared" si="3"/>
        <v>2628</v>
      </c>
      <c r="G14" s="42">
        <f t="shared" si="3"/>
        <v>233</v>
      </c>
      <c r="H14" s="42">
        <f t="shared" si="3"/>
        <v>0</v>
      </c>
      <c r="I14" s="42">
        <f>I15+I16+I17+I18+I19</f>
        <v>0</v>
      </c>
    </row>
    <row r="15" spans="1:9" s="21" customFormat="1" ht="15.75" customHeight="1">
      <c r="A15" s="30"/>
      <c r="B15" s="30">
        <v>85195</v>
      </c>
      <c r="C15" s="32">
        <v>3000</v>
      </c>
      <c r="D15" s="32">
        <f>E15+I15</f>
        <v>3000</v>
      </c>
      <c r="E15" s="32">
        <v>3000</v>
      </c>
      <c r="F15" s="32">
        <v>2628</v>
      </c>
      <c r="G15" s="32">
        <v>233</v>
      </c>
      <c r="H15" s="32"/>
      <c r="I15" s="32"/>
    </row>
    <row r="16" spans="1:9" s="43" customFormat="1" ht="15.75" customHeight="1">
      <c r="A16" s="56">
        <v>852</v>
      </c>
      <c r="B16" s="56"/>
      <c r="C16" s="42">
        <f>C17+C18+C19+C20+C21</f>
        <v>6799000</v>
      </c>
      <c r="D16" s="42">
        <f aca="true" t="shared" si="4" ref="D16:I16">D17+D18+D19+D20+D21</f>
        <v>6799000</v>
      </c>
      <c r="E16" s="42">
        <f>SUM(E17,E18,E19,E20,E21)</f>
        <v>6799000</v>
      </c>
      <c r="F16" s="42">
        <f t="shared" si="4"/>
        <v>178292</v>
      </c>
      <c r="G16" s="42">
        <f t="shared" si="4"/>
        <v>31629</v>
      </c>
      <c r="H16" s="42">
        <f t="shared" si="4"/>
        <v>131000</v>
      </c>
      <c r="I16" s="42">
        <f t="shared" si="4"/>
        <v>0</v>
      </c>
    </row>
    <row r="17" spans="1:9" s="21" customFormat="1" ht="15.75" customHeight="1">
      <c r="A17" s="30"/>
      <c r="B17" s="30">
        <v>85203</v>
      </c>
      <c r="C17" s="32">
        <v>131000</v>
      </c>
      <c r="D17" s="32">
        <f>E17+I17</f>
        <v>131000</v>
      </c>
      <c r="E17" s="32">
        <v>131000</v>
      </c>
      <c r="F17" s="32"/>
      <c r="G17" s="32"/>
      <c r="H17" s="32">
        <v>131000</v>
      </c>
      <c r="I17" s="32"/>
    </row>
    <row r="18" spans="1:9" s="21" customFormat="1" ht="15.75" customHeight="1">
      <c r="A18" s="30"/>
      <c r="B18" s="30">
        <v>85212</v>
      </c>
      <c r="C18" s="32">
        <v>5704000</v>
      </c>
      <c r="D18" s="32">
        <f>E18+I18</f>
        <v>5704000</v>
      </c>
      <c r="E18" s="32">
        <v>5704000</v>
      </c>
      <c r="F18" s="32">
        <v>116093</v>
      </c>
      <c r="G18" s="32">
        <v>20770</v>
      </c>
      <c r="H18" s="32"/>
      <c r="I18" s="32"/>
    </row>
    <row r="19" spans="1:9" s="21" customFormat="1" ht="15.75" customHeight="1">
      <c r="A19" s="30"/>
      <c r="B19" s="30">
        <v>85213</v>
      </c>
      <c r="C19" s="32">
        <v>84000</v>
      </c>
      <c r="D19" s="32">
        <f>E19+I19</f>
        <v>84000</v>
      </c>
      <c r="E19" s="32">
        <v>84000</v>
      </c>
      <c r="F19" s="32"/>
      <c r="G19" s="32"/>
      <c r="H19" s="32"/>
      <c r="I19" s="32"/>
    </row>
    <row r="20" spans="1:9" s="21" customFormat="1" ht="15.75" customHeight="1">
      <c r="A20" s="30"/>
      <c r="B20" s="30">
        <v>85214</v>
      </c>
      <c r="C20" s="32">
        <v>801000</v>
      </c>
      <c r="D20" s="32">
        <f>E20+I20</f>
        <v>801000</v>
      </c>
      <c r="E20" s="32">
        <v>801000</v>
      </c>
      <c r="F20" s="32"/>
      <c r="G20" s="32"/>
      <c r="H20" s="32"/>
      <c r="I20" s="32"/>
    </row>
    <row r="21" spans="1:9" s="21" customFormat="1" ht="15.75" customHeight="1">
      <c r="A21" s="57"/>
      <c r="B21" s="57">
        <v>85228</v>
      </c>
      <c r="C21" s="58">
        <v>79000</v>
      </c>
      <c r="D21" s="58">
        <f>E21+I21</f>
        <v>79000</v>
      </c>
      <c r="E21" s="58">
        <v>79000</v>
      </c>
      <c r="F21" s="58">
        <v>62199</v>
      </c>
      <c r="G21" s="58">
        <v>10859</v>
      </c>
      <c r="H21" s="58"/>
      <c r="I21" s="58"/>
    </row>
    <row r="22" spans="1:9" s="43" customFormat="1" ht="15.75" customHeight="1">
      <c r="A22" s="400" t="s">
        <v>654</v>
      </c>
      <c r="B22" s="401"/>
      <c r="C22" s="33">
        <f aca="true" t="shared" si="5" ref="C22:I22">SUM(C8,C10,C12,C14,C16)</f>
        <v>7186600</v>
      </c>
      <c r="D22" s="59">
        <f t="shared" si="5"/>
        <v>7186600</v>
      </c>
      <c r="E22" s="59">
        <f t="shared" si="5"/>
        <v>7186600</v>
      </c>
      <c r="F22" s="59">
        <f t="shared" si="5"/>
        <v>496912</v>
      </c>
      <c r="G22" s="59">
        <f t="shared" si="5"/>
        <v>85895</v>
      </c>
      <c r="H22" s="59">
        <f t="shared" si="5"/>
        <v>131000</v>
      </c>
      <c r="I22" s="59">
        <f t="shared" si="5"/>
        <v>0</v>
      </c>
    </row>
    <row r="23" spans="1:9" ht="15.75" customHeight="1">
      <c r="A23" s="499" t="s">
        <v>52</v>
      </c>
      <c r="B23" s="500"/>
      <c r="C23" s="500"/>
      <c r="D23" s="500"/>
      <c r="E23" s="500"/>
      <c r="F23" s="500"/>
      <c r="G23" s="500"/>
      <c r="H23" s="500"/>
      <c r="I23" s="501"/>
    </row>
    <row r="24" spans="1:9" s="43" customFormat="1" ht="15.75" customHeight="1">
      <c r="A24" s="60" t="s">
        <v>241</v>
      </c>
      <c r="B24" s="60"/>
      <c r="C24" s="42">
        <f>C25</f>
        <v>49500</v>
      </c>
      <c r="D24" s="42">
        <f aca="true" t="shared" si="6" ref="D24:I24">D25</f>
        <v>49500</v>
      </c>
      <c r="E24" s="42">
        <f t="shared" si="6"/>
        <v>49500</v>
      </c>
      <c r="F24" s="42">
        <f t="shared" si="6"/>
        <v>0</v>
      </c>
      <c r="G24" s="42">
        <f t="shared" si="6"/>
        <v>0</v>
      </c>
      <c r="H24" s="42">
        <f t="shared" si="6"/>
        <v>0</v>
      </c>
      <c r="I24" s="42">
        <f t="shared" si="6"/>
        <v>0</v>
      </c>
    </row>
    <row r="25" spans="1:9" s="21" customFormat="1" ht="15.75" customHeight="1">
      <c r="A25" s="45"/>
      <c r="B25" s="45" t="s">
        <v>243</v>
      </c>
      <c r="C25" s="32">
        <v>49500</v>
      </c>
      <c r="D25" s="32">
        <f>E25+I25</f>
        <v>49500</v>
      </c>
      <c r="E25" s="32">
        <v>49500</v>
      </c>
      <c r="F25" s="32"/>
      <c r="G25" s="32"/>
      <c r="H25" s="32"/>
      <c r="I25" s="32"/>
    </row>
    <row r="26" spans="1:9" s="43" customFormat="1" ht="15.75" customHeight="1">
      <c r="A26" s="60" t="s">
        <v>256</v>
      </c>
      <c r="B26" s="60"/>
      <c r="C26" s="42">
        <f>C27+C28+C29</f>
        <v>412200</v>
      </c>
      <c r="D26" s="42">
        <f aca="true" t="shared" si="7" ref="D26:I26">D27+D28+D29</f>
        <v>412200</v>
      </c>
      <c r="E26" s="42">
        <f t="shared" si="7"/>
        <v>412200</v>
      </c>
      <c r="F26" s="42">
        <f t="shared" si="7"/>
        <v>272044</v>
      </c>
      <c r="G26" s="42">
        <f t="shared" si="7"/>
        <v>47056</v>
      </c>
      <c r="H26" s="42">
        <f t="shared" si="7"/>
        <v>0</v>
      </c>
      <c r="I26" s="42">
        <f t="shared" si="7"/>
        <v>0</v>
      </c>
    </row>
    <row r="27" spans="1:9" s="21" customFormat="1" ht="15.75" customHeight="1">
      <c r="A27" s="67"/>
      <c r="B27" s="67" t="s">
        <v>258</v>
      </c>
      <c r="C27" s="58">
        <v>45000</v>
      </c>
      <c r="D27" s="58">
        <f>E27+I27</f>
        <v>45000</v>
      </c>
      <c r="E27" s="58">
        <v>45000</v>
      </c>
      <c r="F27" s="58"/>
      <c r="G27" s="58"/>
      <c r="H27" s="58"/>
      <c r="I27" s="58"/>
    </row>
    <row r="28" spans="1:9" s="21" customFormat="1" ht="15.75" customHeight="1">
      <c r="A28" s="127"/>
      <c r="B28" s="127" t="s">
        <v>260</v>
      </c>
      <c r="C28" s="98">
        <v>11000</v>
      </c>
      <c r="D28" s="98">
        <f>E28+I28</f>
        <v>11000</v>
      </c>
      <c r="E28" s="98">
        <v>11000</v>
      </c>
      <c r="F28" s="98"/>
      <c r="G28" s="98"/>
      <c r="H28" s="98"/>
      <c r="I28" s="98"/>
    </row>
    <row r="29" spans="1:9" s="21" customFormat="1" ht="15.75" customHeight="1">
      <c r="A29" s="63"/>
      <c r="B29" s="63" t="s">
        <v>262</v>
      </c>
      <c r="C29" s="64">
        <v>356200</v>
      </c>
      <c r="D29" s="64">
        <f>E29+I29</f>
        <v>356200</v>
      </c>
      <c r="E29" s="64">
        <v>356200</v>
      </c>
      <c r="F29" s="64">
        <v>272044</v>
      </c>
      <c r="G29" s="64">
        <v>47056</v>
      </c>
      <c r="H29" s="64"/>
      <c r="I29" s="64"/>
    </row>
    <row r="30" spans="1:9" s="43" customFormat="1" ht="15.75" customHeight="1">
      <c r="A30" s="65" t="s">
        <v>268</v>
      </c>
      <c r="B30" s="65"/>
      <c r="C30" s="66">
        <f>C31+C32</f>
        <v>99100</v>
      </c>
      <c r="D30" s="66">
        <f aca="true" t="shared" si="8" ref="D30:I30">D31+D32</f>
        <v>99100</v>
      </c>
      <c r="E30" s="66">
        <f t="shared" si="8"/>
        <v>99100</v>
      </c>
      <c r="F30" s="66">
        <f t="shared" si="8"/>
        <v>77731</v>
      </c>
      <c r="G30" s="66">
        <f t="shared" si="8"/>
        <v>12594</v>
      </c>
      <c r="H30" s="66">
        <f t="shared" si="8"/>
        <v>0</v>
      </c>
      <c r="I30" s="66">
        <f t="shared" si="8"/>
        <v>0</v>
      </c>
    </row>
    <row r="31" spans="1:9" s="21" customFormat="1" ht="15.75" customHeight="1">
      <c r="A31" s="61"/>
      <c r="B31" s="61" t="s">
        <v>270</v>
      </c>
      <c r="C31" s="62">
        <v>82100</v>
      </c>
      <c r="D31" s="62">
        <f>E31+I31</f>
        <v>82100</v>
      </c>
      <c r="E31" s="62">
        <v>82100</v>
      </c>
      <c r="F31" s="62">
        <v>68131</v>
      </c>
      <c r="G31" s="62">
        <v>12109</v>
      </c>
      <c r="H31" s="62"/>
      <c r="I31" s="62"/>
    </row>
    <row r="32" spans="1:9" s="21" customFormat="1" ht="15.75" customHeight="1">
      <c r="A32" s="61"/>
      <c r="B32" s="61" t="s">
        <v>281</v>
      </c>
      <c r="C32" s="62">
        <v>17000</v>
      </c>
      <c r="D32" s="62">
        <f>E32+I32</f>
        <v>17000</v>
      </c>
      <c r="E32" s="62">
        <v>17000</v>
      </c>
      <c r="F32" s="62">
        <v>9600</v>
      </c>
      <c r="G32" s="62">
        <v>485</v>
      </c>
      <c r="H32" s="62"/>
      <c r="I32" s="62"/>
    </row>
    <row r="33" spans="1:9" s="43" customFormat="1" ht="15.75" customHeight="1">
      <c r="A33" s="65" t="s">
        <v>287</v>
      </c>
      <c r="B33" s="65"/>
      <c r="C33" s="66">
        <f>C34</f>
        <v>3558000</v>
      </c>
      <c r="D33" s="66">
        <f aca="true" t="shared" si="9" ref="D33:I33">D34</f>
        <v>3558000</v>
      </c>
      <c r="E33" s="66">
        <f t="shared" si="9"/>
        <v>3558000</v>
      </c>
      <c r="F33" s="66">
        <f t="shared" si="9"/>
        <v>2872524</v>
      </c>
      <c r="G33" s="66">
        <f t="shared" si="9"/>
        <v>9315</v>
      </c>
      <c r="H33" s="66">
        <f t="shared" si="9"/>
        <v>0</v>
      </c>
      <c r="I33" s="66">
        <f t="shared" si="9"/>
        <v>0</v>
      </c>
    </row>
    <row r="34" spans="1:9" s="21" customFormat="1" ht="15.75" customHeight="1">
      <c r="A34" s="61"/>
      <c r="B34" s="61" t="s">
        <v>289</v>
      </c>
      <c r="C34" s="62">
        <v>3558000</v>
      </c>
      <c r="D34" s="62">
        <f>E34+I34</f>
        <v>3558000</v>
      </c>
      <c r="E34" s="62">
        <v>3558000</v>
      </c>
      <c r="F34" s="62">
        <v>2872524</v>
      </c>
      <c r="G34" s="62">
        <v>9315</v>
      </c>
      <c r="H34" s="62"/>
      <c r="I34" s="62"/>
    </row>
    <row r="35" spans="1:9" s="43" customFormat="1" ht="15.75" customHeight="1">
      <c r="A35" s="65" t="s">
        <v>360</v>
      </c>
      <c r="B35" s="65"/>
      <c r="C35" s="66">
        <f>C36</f>
        <v>654000</v>
      </c>
      <c r="D35" s="66">
        <f aca="true" t="shared" si="10" ref="D35:I35">D36</f>
        <v>654000</v>
      </c>
      <c r="E35" s="66">
        <f t="shared" si="10"/>
        <v>654000</v>
      </c>
      <c r="F35" s="66">
        <f t="shared" si="10"/>
        <v>0</v>
      </c>
      <c r="G35" s="66">
        <f t="shared" si="10"/>
        <v>0</v>
      </c>
      <c r="H35" s="66">
        <f t="shared" si="10"/>
        <v>0</v>
      </c>
      <c r="I35" s="66">
        <f t="shared" si="10"/>
        <v>0</v>
      </c>
    </row>
    <row r="36" spans="1:9" s="21" customFormat="1" ht="15.75" customHeight="1">
      <c r="A36" s="61"/>
      <c r="B36" s="61" t="s">
        <v>362</v>
      </c>
      <c r="C36" s="62">
        <v>654000</v>
      </c>
      <c r="D36" s="62">
        <f>E36+I36</f>
        <v>654000</v>
      </c>
      <c r="E36" s="62">
        <v>654000</v>
      </c>
      <c r="F36" s="62"/>
      <c r="G36" s="62"/>
      <c r="H36" s="62"/>
      <c r="I36" s="62"/>
    </row>
    <row r="37" spans="1:9" s="21" customFormat="1" ht="15.75" customHeight="1">
      <c r="A37" s="65" t="s">
        <v>364</v>
      </c>
      <c r="B37" s="65"/>
      <c r="C37" s="66">
        <f>SUM(C38)</f>
        <v>315000</v>
      </c>
      <c r="D37" s="66">
        <f aca="true" t="shared" si="11" ref="D37:I39">D38</f>
        <v>315000</v>
      </c>
      <c r="E37" s="66">
        <f t="shared" si="11"/>
        <v>315000</v>
      </c>
      <c r="F37" s="66">
        <f t="shared" si="11"/>
        <v>208203</v>
      </c>
      <c r="G37" s="66">
        <f t="shared" si="11"/>
        <v>31186</v>
      </c>
      <c r="H37" s="66">
        <f t="shared" si="11"/>
        <v>0</v>
      </c>
      <c r="I37" s="66">
        <f t="shared" si="11"/>
        <v>0</v>
      </c>
    </row>
    <row r="38" spans="1:9" s="21" customFormat="1" ht="15.75" customHeight="1">
      <c r="A38" s="61"/>
      <c r="B38" s="61" t="s">
        <v>366</v>
      </c>
      <c r="C38" s="62">
        <v>315000</v>
      </c>
      <c r="D38" s="62">
        <f>E38+I38</f>
        <v>315000</v>
      </c>
      <c r="E38" s="62">
        <v>315000</v>
      </c>
      <c r="F38" s="62">
        <v>208203</v>
      </c>
      <c r="G38" s="62">
        <v>31186</v>
      </c>
      <c r="H38" s="62"/>
      <c r="I38" s="62"/>
    </row>
    <row r="39" spans="1:9" s="43" customFormat="1" ht="15.75" customHeight="1">
      <c r="A39" s="65" t="s">
        <v>384</v>
      </c>
      <c r="B39" s="65"/>
      <c r="C39" s="66">
        <f>SUM(C40)</f>
        <v>33000</v>
      </c>
      <c r="D39" s="66">
        <f t="shared" si="11"/>
        <v>33000</v>
      </c>
      <c r="E39" s="66">
        <f t="shared" si="11"/>
        <v>33000</v>
      </c>
      <c r="F39" s="66">
        <f t="shared" si="11"/>
        <v>0</v>
      </c>
      <c r="G39" s="66">
        <f t="shared" si="11"/>
        <v>0</v>
      </c>
      <c r="H39" s="66">
        <f t="shared" si="11"/>
        <v>33000</v>
      </c>
      <c r="I39" s="66">
        <f t="shared" si="11"/>
        <v>0</v>
      </c>
    </row>
    <row r="40" spans="1:9" s="21" customFormat="1" ht="15.75" customHeight="1">
      <c r="A40" s="67"/>
      <c r="B40" s="67" t="s">
        <v>386</v>
      </c>
      <c r="C40" s="58">
        <v>33000</v>
      </c>
      <c r="D40" s="58">
        <f>E40+I40</f>
        <v>33000</v>
      </c>
      <c r="E40" s="58">
        <v>33000</v>
      </c>
      <c r="F40" s="58"/>
      <c r="G40" s="58"/>
      <c r="H40" s="58">
        <v>33000</v>
      </c>
      <c r="I40" s="58"/>
    </row>
    <row r="41" spans="1:9" s="43" customFormat="1" ht="15.75" customHeight="1">
      <c r="A41" s="495" t="s">
        <v>655</v>
      </c>
      <c r="B41" s="496"/>
      <c r="C41" s="68">
        <f aca="true" t="shared" si="12" ref="C41:I41">SUM(C24,C26,C30,C33,C35,C37,C39)</f>
        <v>5120800</v>
      </c>
      <c r="D41" s="68">
        <f t="shared" si="12"/>
        <v>5120800</v>
      </c>
      <c r="E41" s="68">
        <f t="shared" si="12"/>
        <v>5120800</v>
      </c>
      <c r="F41" s="68">
        <f t="shared" si="12"/>
        <v>3430502</v>
      </c>
      <c r="G41" s="68">
        <f t="shared" si="12"/>
        <v>100151</v>
      </c>
      <c r="H41" s="68">
        <f t="shared" si="12"/>
        <v>33000</v>
      </c>
      <c r="I41" s="68">
        <f t="shared" si="12"/>
        <v>0</v>
      </c>
    </row>
    <row r="42" spans="1:9" s="21" customFormat="1" ht="16.5" customHeight="1">
      <c r="A42" s="497" t="s">
        <v>616</v>
      </c>
      <c r="B42" s="498"/>
      <c r="C42" s="33">
        <f>SUM(C22,C41)</f>
        <v>12307400</v>
      </c>
      <c r="D42" s="33">
        <f aca="true" t="shared" si="13" ref="D42:I42">SUM(D22,D41)</f>
        <v>12307400</v>
      </c>
      <c r="E42" s="33">
        <f t="shared" si="13"/>
        <v>12307400</v>
      </c>
      <c r="F42" s="33">
        <f t="shared" si="13"/>
        <v>3927414</v>
      </c>
      <c r="G42" s="33">
        <f t="shared" si="13"/>
        <v>186046</v>
      </c>
      <c r="H42" s="33">
        <f t="shared" si="13"/>
        <v>164000</v>
      </c>
      <c r="I42" s="33">
        <f t="shared" si="13"/>
        <v>0</v>
      </c>
    </row>
    <row r="44" ht="12.75">
      <c r="A44" s="10"/>
    </row>
  </sheetData>
  <sheetProtection password="CF53" sheet="1" formatCells="0" formatColumns="0" formatRows="0" insertColumns="0" insertRows="0" insertHyperlinks="0" deleteColumns="0" deleteRows="0" sort="0" autoFilter="0" pivotTables="0"/>
  <mergeCells count="14">
    <mergeCell ref="E3:I3"/>
    <mergeCell ref="A1:I1"/>
    <mergeCell ref="E4:E5"/>
    <mergeCell ref="C3:C5"/>
    <mergeCell ref="D3:D5"/>
    <mergeCell ref="A3:A5"/>
    <mergeCell ref="B3:B5"/>
    <mergeCell ref="F4:H4"/>
    <mergeCell ref="A22:B22"/>
    <mergeCell ref="A41:B41"/>
    <mergeCell ref="A42:B42"/>
    <mergeCell ref="I4:I5"/>
    <mergeCell ref="A7:I7"/>
    <mergeCell ref="A23:I23"/>
  </mergeCells>
  <printOptions horizontalCentered="1"/>
  <pageMargins left="0.7874015748031497" right="0.5511811023622047" top="1.3779527559055118" bottom="0.3937007874015748" header="0.5118110236220472" footer="0.5118110236220472"/>
  <pageSetup horizontalDpi="300" verticalDpi="300" orientation="landscape" paperSize="9" r:id="rId1"/>
  <headerFooter alignWithMargins="0">
    <oddHeader xml:space="preserve">&amp;RZałącznik nr &amp;A
do uchwały Nr XLVII/394/2008 
Rady Miasta Świnoujścia
z dnia 19 grudnia 2008 roku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0"/>
  </sheetPr>
  <dimension ref="A1:BV15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7.25390625" style="22" customWidth="1"/>
    <col min="2" max="2" width="9.00390625" style="22" customWidth="1"/>
    <col min="3" max="3" width="15.00390625" style="22" customWidth="1"/>
    <col min="4" max="4" width="14.75390625" style="22" customWidth="1"/>
    <col min="5" max="5" width="12.875" style="22" customWidth="1"/>
    <col min="6" max="6" width="15.875" style="22" customWidth="1"/>
    <col min="7" max="7" width="14.25390625" style="21" customWidth="1"/>
    <col min="8" max="8" width="12.875" style="21" customWidth="1"/>
    <col min="9" max="9" width="14.375" style="21" customWidth="1"/>
    <col min="10" max="74" width="9.125" style="21" customWidth="1"/>
    <col min="75" max="16384" width="9.125" style="22" customWidth="1"/>
  </cols>
  <sheetData>
    <row r="1" spans="1:9" ht="58.5" customHeight="1">
      <c r="A1" s="508" t="s">
        <v>651</v>
      </c>
      <c r="B1" s="508"/>
      <c r="C1" s="508"/>
      <c r="D1" s="508"/>
      <c r="E1" s="508"/>
      <c r="F1" s="508"/>
      <c r="G1" s="508"/>
      <c r="H1" s="508"/>
      <c r="I1" s="508"/>
    </row>
    <row r="2" spans="1:5" ht="15.75" hidden="1">
      <c r="A2" s="46"/>
      <c r="B2" s="46"/>
      <c r="C2" s="46"/>
      <c r="D2" s="46"/>
      <c r="E2" s="46"/>
    </row>
    <row r="3" spans="1:9" ht="33" customHeight="1">
      <c r="A3" s="47"/>
      <c r="B3" s="47"/>
      <c r="C3" s="47"/>
      <c r="D3" s="47"/>
      <c r="E3" s="47"/>
      <c r="I3" s="48" t="s">
        <v>168</v>
      </c>
    </row>
    <row r="4" spans="1:9" ht="20.25" customHeight="1">
      <c r="A4" s="404" t="s">
        <v>136</v>
      </c>
      <c r="B4" s="473" t="s">
        <v>137</v>
      </c>
      <c r="C4" s="405" t="s">
        <v>199</v>
      </c>
      <c r="D4" s="405" t="s">
        <v>123</v>
      </c>
      <c r="E4" s="405" t="s">
        <v>190</v>
      </c>
      <c r="F4" s="405"/>
      <c r="G4" s="405"/>
      <c r="H4" s="405"/>
      <c r="I4" s="405"/>
    </row>
    <row r="5" spans="1:9" ht="18" customHeight="1">
      <c r="A5" s="404"/>
      <c r="B5" s="503"/>
      <c r="C5" s="404"/>
      <c r="D5" s="405"/>
      <c r="E5" s="405" t="s">
        <v>197</v>
      </c>
      <c r="F5" s="405" t="s">
        <v>140</v>
      </c>
      <c r="G5" s="405"/>
      <c r="H5" s="405"/>
      <c r="I5" s="405" t="s">
        <v>198</v>
      </c>
    </row>
    <row r="6" spans="1:9" ht="49.5" customHeight="1">
      <c r="A6" s="404"/>
      <c r="B6" s="474"/>
      <c r="C6" s="404"/>
      <c r="D6" s="405"/>
      <c r="E6" s="405"/>
      <c r="F6" s="36" t="s">
        <v>194</v>
      </c>
      <c r="G6" s="36" t="s">
        <v>195</v>
      </c>
      <c r="H6" s="36" t="s">
        <v>196</v>
      </c>
      <c r="I6" s="405"/>
    </row>
    <row r="7" spans="1:9" ht="8.25" customHeigh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</row>
    <row r="8" spans="1:9" ht="19.5" customHeight="1">
      <c r="A8" s="504" t="s">
        <v>52</v>
      </c>
      <c r="B8" s="505"/>
      <c r="C8" s="505"/>
      <c r="D8" s="505"/>
      <c r="E8" s="505"/>
      <c r="F8" s="505"/>
      <c r="G8" s="505"/>
      <c r="H8" s="505"/>
      <c r="I8" s="506"/>
    </row>
    <row r="9" spans="1:9" ht="19.5" customHeight="1" hidden="1">
      <c r="A9" s="37">
        <v>600</v>
      </c>
      <c r="B9" s="37"/>
      <c r="C9" s="49">
        <f>SUM(C10)</f>
        <v>0</v>
      </c>
      <c r="D9" s="49">
        <f>SUM(D10)</f>
        <v>0</v>
      </c>
      <c r="E9" s="49"/>
      <c r="F9" s="49"/>
      <c r="G9" s="49"/>
      <c r="H9" s="49"/>
      <c r="I9" s="50">
        <f>SUM(I10)</f>
        <v>0</v>
      </c>
    </row>
    <row r="10" spans="1:9" ht="19.5" customHeight="1" hidden="1">
      <c r="A10" s="51"/>
      <c r="B10" s="51">
        <v>60015</v>
      </c>
      <c r="C10" s="39"/>
      <c r="D10" s="39">
        <f>SUM(E10,I10)</f>
        <v>0</v>
      </c>
      <c r="E10" s="39"/>
      <c r="F10" s="39"/>
      <c r="G10" s="39"/>
      <c r="H10" s="39"/>
      <c r="I10" s="40"/>
    </row>
    <row r="11" spans="1:74" s="44" customFormat="1" ht="19.5" customHeight="1">
      <c r="A11" s="37">
        <v>750</v>
      </c>
      <c r="B11" s="37"/>
      <c r="C11" s="41">
        <f aca="true" t="shared" si="0" ref="C11:I11">C12</f>
        <v>3000</v>
      </c>
      <c r="D11" s="41">
        <f t="shared" si="0"/>
        <v>3000</v>
      </c>
      <c r="E11" s="41">
        <f t="shared" si="0"/>
        <v>3000</v>
      </c>
      <c r="F11" s="41">
        <f t="shared" si="0"/>
        <v>0</v>
      </c>
      <c r="G11" s="41">
        <f t="shared" si="0"/>
        <v>0</v>
      </c>
      <c r="H11" s="41">
        <f t="shared" si="0"/>
        <v>0</v>
      </c>
      <c r="I11" s="42">
        <f t="shared" si="0"/>
        <v>0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</row>
    <row r="12" spans="1:9" ht="19.5" customHeight="1">
      <c r="A12" s="30"/>
      <c r="B12" s="45">
        <v>75045</v>
      </c>
      <c r="C12" s="32">
        <v>3000</v>
      </c>
      <c r="D12" s="32">
        <f>SUM(E12,I12)</f>
        <v>3000</v>
      </c>
      <c r="E12" s="32">
        <v>3000</v>
      </c>
      <c r="F12" s="32"/>
      <c r="G12" s="32"/>
      <c r="H12" s="32"/>
      <c r="I12" s="32"/>
    </row>
    <row r="13" spans="1:9" ht="24.75" customHeight="1">
      <c r="A13" s="507" t="s">
        <v>575</v>
      </c>
      <c r="B13" s="507"/>
      <c r="C13" s="507"/>
      <c r="D13" s="33">
        <f>SUM(D9,D11)</f>
        <v>3000</v>
      </c>
      <c r="E13" s="33">
        <f>E11</f>
        <v>3000</v>
      </c>
      <c r="F13" s="33">
        <f>F11</f>
        <v>0</v>
      </c>
      <c r="G13" s="33">
        <f>G11</f>
        <v>0</v>
      </c>
      <c r="H13" s="33">
        <f>H11</f>
        <v>0</v>
      </c>
      <c r="I13" s="33">
        <f>SUM(I9)</f>
        <v>0</v>
      </c>
    </row>
    <row r="15" spans="1:6" ht="12.75">
      <c r="A15" s="34"/>
      <c r="F15" s="21"/>
    </row>
  </sheetData>
  <sheetProtection password="CF53" sheet="1"/>
  <mergeCells count="11">
    <mergeCell ref="B4:B6"/>
    <mergeCell ref="C4:C6"/>
    <mergeCell ref="A8:I8"/>
    <mergeCell ref="A13:C13"/>
    <mergeCell ref="A1:I1"/>
    <mergeCell ref="D4:D6"/>
    <mergeCell ref="E4:I4"/>
    <mergeCell ref="E5:E6"/>
    <mergeCell ref="F5:H5"/>
    <mergeCell ref="I5:I6"/>
    <mergeCell ref="A4:A6"/>
  </mergeCells>
  <printOptions horizontalCentered="1"/>
  <pageMargins left="0.7874015748031497" right="0.5905511811023623" top="1.062992125984252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 &amp;A
do uchwały Nr XLVII/394/2008 
Rady Miasta Świnoujścia
z dnia 19 grudnia 2008 roku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0"/>
  </sheetPr>
  <dimension ref="A1:CA13"/>
  <sheetViews>
    <sheetView view="pageBreakPreview" zoomScaleSheetLayoutView="100" zoomScalePageLayoutView="0" workbookViewId="0" topLeftCell="A1">
      <selection activeCell="I18" sqref="I18"/>
    </sheetView>
  </sheetViews>
  <sheetFormatPr defaultColWidth="9.00390625" defaultRowHeight="12.75"/>
  <cols>
    <col min="1" max="1" width="7.25390625" style="22" customWidth="1"/>
    <col min="2" max="2" width="9.00390625" style="22" customWidth="1"/>
    <col min="3" max="3" width="7.75390625" style="22" customWidth="1"/>
    <col min="4" max="4" width="13.125" style="22" customWidth="1"/>
    <col min="5" max="5" width="14.125" style="22" customWidth="1"/>
    <col min="6" max="6" width="14.375" style="22" customWidth="1"/>
    <col min="7" max="7" width="15.875" style="22" customWidth="1"/>
    <col min="8" max="8" width="14.625" style="21" customWidth="1"/>
    <col min="9" max="9" width="10.375" style="21" customWidth="1"/>
    <col min="10" max="10" width="14.625" style="21" customWidth="1"/>
    <col min="11" max="79" width="9.125" style="21" customWidth="1"/>
    <col min="80" max="16384" width="9.125" style="22" customWidth="1"/>
  </cols>
  <sheetData>
    <row r="1" spans="1:10" ht="45" customHeight="1">
      <c r="A1" s="493" t="s">
        <v>652</v>
      </c>
      <c r="B1" s="493"/>
      <c r="C1" s="493"/>
      <c r="D1" s="493"/>
      <c r="E1" s="493"/>
      <c r="F1" s="493"/>
      <c r="G1" s="493"/>
      <c r="H1" s="493"/>
      <c r="I1" s="493"/>
      <c r="J1" s="493"/>
    </row>
    <row r="3" ht="12.75">
      <c r="J3" s="35" t="s">
        <v>168</v>
      </c>
    </row>
    <row r="4" spans="1:79" ht="20.25" customHeight="1">
      <c r="A4" s="404" t="s">
        <v>136</v>
      </c>
      <c r="B4" s="473" t="s">
        <v>137</v>
      </c>
      <c r="C4" s="473" t="s">
        <v>138</v>
      </c>
      <c r="D4" s="405" t="s">
        <v>199</v>
      </c>
      <c r="E4" s="405" t="s">
        <v>123</v>
      </c>
      <c r="F4" s="405" t="s">
        <v>190</v>
      </c>
      <c r="G4" s="405"/>
      <c r="H4" s="405"/>
      <c r="I4" s="405"/>
      <c r="J4" s="405"/>
      <c r="BX4" s="22"/>
      <c r="BY4" s="22"/>
      <c r="BZ4" s="22"/>
      <c r="CA4" s="22"/>
    </row>
    <row r="5" spans="1:79" ht="18" customHeight="1">
      <c r="A5" s="404"/>
      <c r="B5" s="503"/>
      <c r="C5" s="503"/>
      <c r="D5" s="404"/>
      <c r="E5" s="405"/>
      <c r="F5" s="405" t="s">
        <v>197</v>
      </c>
      <c r="G5" s="405" t="s">
        <v>140</v>
      </c>
      <c r="H5" s="405"/>
      <c r="I5" s="405"/>
      <c r="J5" s="405" t="s">
        <v>198</v>
      </c>
      <c r="BX5" s="22"/>
      <c r="BY5" s="22"/>
      <c r="BZ5" s="22"/>
      <c r="CA5" s="22"/>
    </row>
    <row r="6" spans="1:79" ht="69" customHeight="1">
      <c r="A6" s="404"/>
      <c r="B6" s="474"/>
      <c r="C6" s="474"/>
      <c r="D6" s="404"/>
      <c r="E6" s="405"/>
      <c r="F6" s="405"/>
      <c r="G6" s="36" t="s">
        <v>194</v>
      </c>
      <c r="H6" s="36" t="s">
        <v>195</v>
      </c>
      <c r="I6" s="36" t="s">
        <v>196</v>
      </c>
      <c r="J6" s="405"/>
      <c r="BX6" s="22"/>
      <c r="BY6" s="22"/>
      <c r="BZ6" s="22"/>
      <c r="CA6" s="22"/>
    </row>
    <row r="7" spans="1:79" ht="8.25" customHeigh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BX7" s="22"/>
      <c r="BY7" s="22"/>
      <c r="BZ7" s="22"/>
      <c r="CA7" s="22"/>
    </row>
    <row r="8" spans="1:79" ht="19.5" customHeight="1">
      <c r="A8" s="504" t="s">
        <v>52</v>
      </c>
      <c r="B8" s="505"/>
      <c r="C8" s="505"/>
      <c r="D8" s="505"/>
      <c r="E8" s="505"/>
      <c r="F8" s="505"/>
      <c r="G8" s="505"/>
      <c r="H8" s="505"/>
      <c r="I8" s="505"/>
      <c r="J8" s="506"/>
      <c r="BX8" s="22"/>
      <c r="BY8" s="22"/>
      <c r="BZ8" s="22"/>
      <c r="CA8" s="22"/>
    </row>
    <row r="9" spans="1:79" ht="19.5" customHeight="1">
      <c r="A9" s="38">
        <v>852</v>
      </c>
      <c r="B9" s="38">
        <v>85204</v>
      </c>
      <c r="C9" s="38" t="s">
        <v>370</v>
      </c>
      <c r="D9" s="39">
        <v>82509</v>
      </c>
      <c r="E9" s="39"/>
      <c r="F9" s="39"/>
      <c r="G9" s="39"/>
      <c r="H9" s="39"/>
      <c r="I9" s="39"/>
      <c r="J9" s="40"/>
      <c r="BX9" s="22"/>
      <c r="BY9" s="22"/>
      <c r="BZ9" s="22"/>
      <c r="CA9" s="22"/>
    </row>
    <row r="10" spans="1:79" ht="19.5" customHeight="1">
      <c r="A10" s="38"/>
      <c r="B10" s="38"/>
      <c r="C10" s="38" t="s">
        <v>7</v>
      </c>
      <c r="D10" s="39"/>
      <c r="E10" s="39">
        <f>SUM(F10,J10)</f>
        <v>82509</v>
      </c>
      <c r="F10" s="39">
        <v>82509</v>
      </c>
      <c r="G10" s="39"/>
      <c r="H10" s="39"/>
      <c r="I10" s="39"/>
      <c r="J10" s="40"/>
      <c r="BX10" s="22"/>
      <c r="BY10" s="22"/>
      <c r="BZ10" s="22"/>
      <c r="CA10" s="22"/>
    </row>
    <row r="11" spans="1:79" ht="24.75" customHeight="1">
      <c r="A11" s="507" t="s">
        <v>203</v>
      </c>
      <c r="B11" s="507"/>
      <c r="C11" s="507"/>
      <c r="D11" s="507"/>
      <c r="E11" s="33">
        <f aca="true" t="shared" si="0" ref="E11:J11">SUM(E9,E10)</f>
        <v>82509</v>
      </c>
      <c r="F11" s="33">
        <f t="shared" si="0"/>
        <v>82509</v>
      </c>
      <c r="G11" s="33">
        <f t="shared" si="0"/>
        <v>0</v>
      </c>
      <c r="H11" s="33">
        <f t="shared" si="0"/>
        <v>0</v>
      </c>
      <c r="I11" s="33">
        <f t="shared" si="0"/>
        <v>0</v>
      </c>
      <c r="J11" s="33">
        <f t="shared" si="0"/>
        <v>0</v>
      </c>
      <c r="BX11" s="22"/>
      <c r="BY11" s="22"/>
      <c r="BZ11" s="22"/>
      <c r="CA11" s="22"/>
    </row>
    <row r="13" spans="1:6" s="21" customFormat="1" ht="12.75">
      <c r="A13" s="34"/>
      <c r="B13" s="22"/>
      <c r="C13" s="22"/>
      <c r="D13" s="22"/>
      <c r="E13" s="22"/>
      <c r="F13" s="22"/>
    </row>
  </sheetData>
  <sheetProtection password="CF53" sheet="1" formatCells="0" formatColumns="0" formatRows="0" insertColumns="0" insertRows="0" insertHyperlinks="0" deleteColumns="0" deleteRows="0"/>
  <mergeCells count="12">
    <mergeCell ref="F5:F6"/>
    <mergeCell ref="G5:I5"/>
    <mergeCell ref="A8:J8"/>
    <mergeCell ref="J5:J6"/>
    <mergeCell ref="A11:D11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7874015748031497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Nr XLVII/394/2008
Rady Miasta Świnoujścia
z dnia 19 grudnia 2008 roku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0"/>
  </sheetPr>
  <dimension ref="A1:E11"/>
  <sheetViews>
    <sheetView tabSelected="1" view="pageBreakPreview" zoomScaleSheetLayoutView="100" zoomScalePageLayoutView="0" workbookViewId="0" topLeftCell="A1">
      <selection activeCell="H19" sqref="H19"/>
    </sheetView>
  </sheetViews>
  <sheetFormatPr defaultColWidth="9.00390625" defaultRowHeight="12.75"/>
  <cols>
    <col min="1" max="1" width="5.375" style="21" customWidth="1"/>
    <col min="2" max="2" width="9.125" style="21" customWidth="1"/>
    <col min="3" max="3" width="10.125" style="21" customWidth="1"/>
    <col min="4" max="4" width="43.625" style="21" customWidth="1"/>
    <col min="5" max="5" width="15.125" style="21" customWidth="1"/>
    <col min="6" max="16384" width="9.125" style="21" customWidth="1"/>
  </cols>
  <sheetData>
    <row r="1" spans="1:5" ht="18">
      <c r="A1" s="375" t="s">
        <v>653</v>
      </c>
      <c r="B1" s="375"/>
      <c r="C1" s="375"/>
      <c r="D1" s="375"/>
      <c r="E1" s="375"/>
    </row>
    <row r="2" spans="1:5" ht="15" customHeight="1">
      <c r="A2" s="20"/>
      <c r="B2" s="20"/>
      <c r="C2" s="20"/>
      <c r="D2" s="20"/>
      <c r="E2" s="20"/>
    </row>
    <row r="3" spans="1:5" ht="12.75">
      <c r="A3" s="22"/>
      <c r="B3" s="22"/>
      <c r="C3" s="22"/>
      <c r="D3" s="22"/>
      <c r="E3" s="23" t="s">
        <v>168</v>
      </c>
    </row>
    <row r="4" spans="1:5" s="25" customFormat="1" ht="19.5" customHeight="1">
      <c r="A4" s="24" t="s">
        <v>182</v>
      </c>
      <c r="B4" s="24" t="s">
        <v>136</v>
      </c>
      <c r="C4" s="24" t="s">
        <v>137</v>
      </c>
      <c r="D4" s="24" t="s">
        <v>173</v>
      </c>
      <c r="E4" s="24" t="s">
        <v>142</v>
      </c>
    </row>
    <row r="5" spans="1:5" ht="7.5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</row>
    <row r="6" spans="1:5" ht="30" customHeight="1">
      <c r="A6" s="27" t="s">
        <v>146</v>
      </c>
      <c r="B6" s="27">
        <v>750</v>
      </c>
      <c r="C6" s="27">
        <v>75095</v>
      </c>
      <c r="D6" s="28" t="s">
        <v>593</v>
      </c>
      <c r="E6" s="29">
        <v>4000</v>
      </c>
    </row>
    <row r="7" spans="1:5" ht="30" customHeight="1">
      <c r="A7" s="30" t="s">
        <v>147</v>
      </c>
      <c r="B7" s="30">
        <v>750</v>
      </c>
      <c r="C7" s="30">
        <v>75095</v>
      </c>
      <c r="D7" s="31" t="s">
        <v>594</v>
      </c>
      <c r="E7" s="32">
        <v>7500</v>
      </c>
    </row>
    <row r="8" spans="1:5" ht="30" customHeight="1">
      <c r="A8" s="30" t="s">
        <v>148</v>
      </c>
      <c r="B8" s="30">
        <v>750</v>
      </c>
      <c r="C8" s="30">
        <v>75095</v>
      </c>
      <c r="D8" s="31" t="s">
        <v>595</v>
      </c>
      <c r="E8" s="32">
        <v>7500</v>
      </c>
    </row>
    <row r="9" spans="1:5" ht="19.5" customHeight="1">
      <c r="A9" s="507" t="s">
        <v>203</v>
      </c>
      <c r="B9" s="507"/>
      <c r="C9" s="507"/>
      <c r="D9" s="507"/>
      <c r="E9" s="33">
        <f>E8+E7+E6</f>
        <v>19000</v>
      </c>
    </row>
    <row r="11" ht="12.75">
      <c r="A11" s="34"/>
    </row>
  </sheetData>
  <sheetProtection password="CF53" sheet="1" formatCells="0" formatColumns="0" formatRows="0" insertColumns="0" insertRows="0" insertHyperlinks="0" deleteColumns="0" deleteRows="0" sort="0" autoFilter="0" pivotTables="0"/>
  <mergeCells count="2">
    <mergeCell ref="A1:E1"/>
    <mergeCell ref="A9:D9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Nr XLVII/394/2008 
Rady Miasta Świnoujścia
z dnia  19 grudnia 2008 roku</oddHead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K163"/>
  <sheetViews>
    <sheetView view="pageBreakPreview" zoomScaleNormal="95" zoomScaleSheetLayoutView="100" zoomScalePageLayoutView="0" workbookViewId="0" topLeftCell="A1">
      <pane ySplit="7" topLeftCell="BM152" activePane="bottomLeft" state="frozen"/>
      <selection pane="topLeft" activeCell="C20" sqref="C20"/>
      <selection pane="bottomLeft" activeCell="H51" sqref="H51"/>
    </sheetView>
  </sheetViews>
  <sheetFormatPr defaultColWidth="9.00390625" defaultRowHeight="12.75"/>
  <cols>
    <col min="1" max="1" width="6.625" style="6" customWidth="1"/>
    <col min="2" max="2" width="8.875" style="6" bestFit="1" customWidth="1"/>
    <col min="3" max="3" width="32.375" style="4" customWidth="1"/>
    <col min="4" max="4" width="11.375" style="4" customWidth="1"/>
    <col min="5" max="7" width="11.625" style="4" customWidth="1"/>
    <col min="8" max="10" width="10.75390625" style="4" customWidth="1"/>
    <col min="11" max="11" width="11.75390625" style="4" customWidth="1"/>
    <col min="12" max="16384" width="9.125" style="3" customWidth="1"/>
  </cols>
  <sheetData>
    <row r="1" spans="1:11" s="277" customFormat="1" ht="18">
      <c r="A1" s="375" t="s">
        <v>640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281" customFormat="1" ht="18">
      <c r="A2" s="278"/>
      <c r="B2" s="278"/>
      <c r="C2" s="279"/>
      <c r="D2" s="279"/>
      <c r="E2" s="279"/>
      <c r="F2" s="279"/>
      <c r="G2" s="280"/>
      <c r="H2" s="280"/>
      <c r="I2" s="280"/>
      <c r="J2" s="280"/>
      <c r="K2" s="280"/>
    </row>
    <row r="3" spans="1:11" s="281" customFormat="1" ht="12.75">
      <c r="A3" s="282"/>
      <c r="B3" s="282"/>
      <c r="C3" s="55"/>
      <c r="D3" s="55"/>
      <c r="E3" s="55"/>
      <c r="F3" s="107"/>
      <c r="G3" s="107"/>
      <c r="H3" s="107"/>
      <c r="I3" s="107"/>
      <c r="J3" s="107"/>
      <c r="K3" s="283" t="s">
        <v>179</v>
      </c>
    </row>
    <row r="4" spans="1:11" s="284" customFormat="1" ht="18.75" customHeight="1">
      <c r="A4" s="371" t="s">
        <v>136</v>
      </c>
      <c r="B4" s="371" t="s">
        <v>137</v>
      </c>
      <c r="C4" s="376" t="s">
        <v>151</v>
      </c>
      <c r="D4" s="376" t="s">
        <v>720</v>
      </c>
      <c r="E4" s="376" t="s">
        <v>190</v>
      </c>
      <c r="F4" s="376"/>
      <c r="G4" s="376"/>
      <c r="H4" s="376"/>
      <c r="I4" s="376"/>
      <c r="J4" s="376"/>
      <c r="K4" s="376"/>
    </row>
    <row r="5" spans="1:11" s="284" customFormat="1" ht="20.25" customHeight="1">
      <c r="A5" s="371"/>
      <c r="B5" s="371"/>
      <c r="C5" s="376"/>
      <c r="D5" s="376"/>
      <c r="E5" s="376" t="s">
        <v>163</v>
      </c>
      <c r="F5" s="376" t="s">
        <v>140</v>
      </c>
      <c r="G5" s="376"/>
      <c r="H5" s="376"/>
      <c r="I5" s="376"/>
      <c r="J5" s="376"/>
      <c r="K5" s="376" t="s">
        <v>166</v>
      </c>
    </row>
    <row r="6" spans="1:11" s="284" customFormat="1" ht="63.75">
      <c r="A6" s="371"/>
      <c r="B6" s="371"/>
      <c r="C6" s="376"/>
      <c r="D6" s="376"/>
      <c r="E6" s="376"/>
      <c r="F6" s="206" t="s">
        <v>193</v>
      </c>
      <c r="G6" s="206" t="s">
        <v>213</v>
      </c>
      <c r="H6" s="206" t="s">
        <v>191</v>
      </c>
      <c r="I6" s="206" t="s">
        <v>207</v>
      </c>
      <c r="J6" s="206" t="s">
        <v>192</v>
      </c>
      <c r="K6" s="376"/>
    </row>
    <row r="7" spans="1:11" s="284" customFormat="1" ht="6" customHeight="1">
      <c r="A7" s="285">
        <v>1</v>
      </c>
      <c r="B7" s="285">
        <v>2</v>
      </c>
      <c r="C7" s="286">
        <v>3</v>
      </c>
      <c r="D7" s="286">
        <v>4</v>
      </c>
      <c r="E7" s="286">
        <v>5</v>
      </c>
      <c r="F7" s="286">
        <v>6</v>
      </c>
      <c r="G7" s="286">
        <v>7</v>
      </c>
      <c r="H7" s="286">
        <v>8</v>
      </c>
      <c r="I7" s="286">
        <v>9</v>
      </c>
      <c r="J7" s="286">
        <v>10</v>
      </c>
      <c r="K7" s="286">
        <v>11</v>
      </c>
    </row>
    <row r="8" spans="1:11" s="284" customFormat="1" ht="12.75">
      <c r="A8" s="391" t="s">
        <v>18</v>
      </c>
      <c r="B8" s="392"/>
      <c r="C8" s="392"/>
      <c r="D8" s="392"/>
      <c r="E8" s="392"/>
      <c r="F8" s="392"/>
      <c r="G8" s="392"/>
      <c r="H8" s="392"/>
      <c r="I8" s="392"/>
      <c r="J8" s="392"/>
      <c r="K8" s="393"/>
    </row>
    <row r="9" spans="1:11" s="290" customFormat="1" ht="12.75">
      <c r="A9" s="287" t="s">
        <v>219</v>
      </c>
      <c r="B9" s="287"/>
      <c r="C9" s="288" t="s">
        <v>220</v>
      </c>
      <c r="D9" s="289">
        <f aca="true" t="shared" si="0" ref="D9:K9">SUM(D10:D12)</f>
        <v>69167</v>
      </c>
      <c r="E9" s="289">
        <f t="shared" si="0"/>
        <v>69167</v>
      </c>
      <c r="F9" s="289">
        <f t="shared" si="0"/>
        <v>32000</v>
      </c>
      <c r="G9" s="289">
        <f t="shared" si="0"/>
        <v>0</v>
      </c>
      <c r="H9" s="289">
        <f t="shared" si="0"/>
        <v>0</v>
      </c>
      <c r="I9" s="289">
        <f t="shared" si="0"/>
        <v>0</v>
      </c>
      <c r="J9" s="289">
        <f t="shared" si="0"/>
        <v>0</v>
      </c>
      <c r="K9" s="289">
        <f t="shared" si="0"/>
        <v>0</v>
      </c>
    </row>
    <row r="10" spans="1:11" s="284" customFormat="1" ht="12.75">
      <c r="A10" s="291"/>
      <c r="B10" s="291" t="s">
        <v>413</v>
      </c>
      <c r="C10" s="292" t="s">
        <v>490</v>
      </c>
      <c r="D10" s="293">
        <f>E10+K10</f>
        <v>65000</v>
      </c>
      <c r="E10" s="293">
        <v>65000</v>
      </c>
      <c r="F10" s="293">
        <v>32000</v>
      </c>
      <c r="G10" s="293"/>
      <c r="H10" s="293"/>
      <c r="I10" s="293"/>
      <c r="J10" s="293"/>
      <c r="K10" s="293"/>
    </row>
    <row r="11" spans="1:11" s="284" customFormat="1" ht="12.75">
      <c r="A11" s="291"/>
      <c r="B11" s="291" t="s">
        <v>414</v>
      </c>
      <c r="C11" s="292" t="s">
        <v>491</v>
      </c>
      <c r="D11" s="293">
        <f>E11+K11</f>
        <v>900</v>
      </c>
      <c r="E11" s="293">
        <v>900</v>
      </c>
      <c r="F11" s="293"/>
      <c r="G11" s="293"/>
      <c r="H11" s="293"/>
      <c r="I11" s="293"/>
      <c r="J11" s="293"/>
      <c r="K11" s="293"/>
    </row>
    <row r="12" spans="1:11" s="284" customFormat="1" ht="12.75">
      <c r="A12" s="291"/>
      <c r="B12" s="291" t="s">
        <v>415</v>
      </c>
      <c r="C12" s="292" t="s">
        <v>226</v>
      </c>
      <c r="D12" s="293">
        <f>E12+K12</f>
        <v>3267</v>
      </c>
      <c r="E12" s="293">
        <v>3267</v>
      </c>
      <c r="F12" s="293"/>
      <c r="G12" s="293"/>
      <c r="H12" s="293"/>
      <c r="I12" s="293"/>
      <c r="J12" s="293"/>
      <c r="K12" s="293"/>
    </row>
    <row r="13" spans="1:11" s="290" customFormat="1" ht="12.75">
      <c r="A13" s="294" t="s">
        <v>223</v>
      </c>
      <c r="B13" s="294"/>
      <c r="C13" s="295" t="s">
        <v>224</v>
      </c>
      <c r="D13" s="296">
        <f aca="true" t="shared" si="1" ref="D13:K13">D14</f>
        <v>56020</v>
      </c>
      <c r="E13" s="296">
        <f t="shared" si="1"/>
        <v>56020</v>
      </c>
      <c r="F13" s="296">
        <f t="shared" si="1"/>
        <v>0</v>
      </c>
      <c r="G13" s="296">
        <f t="shared" si="1"/>
        <v>0</v>
      </c>
      <c r="H13" s="296">
        <f t="shared" si="1"/>
        <v>0</v>
      </c>
      <c r="I13" s="296">
        <f t="shared" si="1"/>
        <v>0</v>
      </c>
      <c r="J13" s="296">
        <f t="shared" si="1"/>
        <v>0</v>
      </c>
      <c r="K13" s="296">
        <f t="shared" si="1"/>
        <v>0</v>
      </c>
    </row>
    <row r="14" spans="1:11" s="284" customFormat="1" ht="12.75">
      <c r="A14" s="291"/>
      <c r="B14" s="291" t="s">
        <v>225</v>
      </c>
      <c r="C14" s="292" t="s">
        <v>226</v>
      </c>
      <c r="D14" s="293">
        <f>E14+K14</f>
        <v>56020</v>
      </c>
      <c r="E14" s="293">
        <v>56020</v>
      </c>
      <c r="F14" s="293"/>
      <c r="G14" s="293"/>
      <c r="H14" s="293"/>
      <c r="I14" s="293"/>
      <c r="J14" s="293"/>
      <c r="K14" s="293"/>
    </row>
    <row r="15" spans="1:11" s="290" customFormat="1" ht="25.5">
      <c r="A15" s="294" t="s">
        <v>416</v>
      </c>
      <c r="B15" s="294"/>
      <c r="C15" s="295" t="s">
        <v>557</v>
      </c>
      <c r="D15" s="296">
        <f aca="true" t="shared" si="2" ref="D15:K15">D16</f>
        <v>4927000</v>
      </c>
      <c r="E15" s="296">
        <f t="shared" si="2"/>
        <v>4927000</v>
      </c>
      <c r="F15" s="296">
        <f t="shared" si="2"/>
        <v>0</v>
      </c>
      <c r="G15" s="296">
        <f t="shared" si="2"/>
        <v>0</v>
      </c>
      <c r="H15" s="296">
        <f t="shared" si="2"/>
        <v>0</v>
      </c>
      <c r="I15" s="296">
        <f t="shared" si="2"/>
        <v>0</v>
      </c>
      <c r="J15" s="296">
        <f t="shared" si="2"/>
        <v>0</v>
      </c>
      <c r="K15" s="296">
        <f t="shared" si="2"/>
        <v>0</v>
      </c>
    </row>
    <row r="16" spans="1:11" s="284" customFormat="1" ht="12.75">
      <c r="A16" s="291"/>
      <c r="B16" s="291" t="s">
        <v>417</v>
      </c>
      <c r="C16" s="292" t="s">
        <v>492</v>
      </c>
      <c r="D16" s="293">
        <f>E16+K16</f>
        <v>4927000</v>
      </c>
      <c r="E16" s="293">
        <v>4927000</v>
      </c>
      <c r="F16" s="293"/>
      <c r="G16" s="293"/>
      <c r="H16" s="293"/>
      <c r="I16" s="293"/>
      <c r="J16" s="293"/>
      <c r="K16" s="293"/>
    </row>
    <row r="17" spans="1:11" s="290" customFormat="1" ht="12.75">
      <c r="A17" s="294" t="s">
        <v>418</v>
      </c>
      <c r="B17" s="294"/>
      <c r="C17" s="295" t="s">
        <v>493</v>
      </c>
      <c r="D17" s="296">
        <f aca="true" t="shared" si="3" ref="D17:K17">D18</f>
        <v>400000</v>
      </c>
      <c r="E17" s="296">
        <f t="shared" si="3"/>
        <v>400000</v>
      </c>
      <c r="F17" s="296">
        <f t="shared" si="3"/>
        <v>169455</v>
      </c>
      <c r="G17" s="296">
        <f t="shared" si="3"/>
        <v>31033</v>
      </c>
      <c r="H17" s="296">
        <f t="shared" si="3"/>
        <v>0</v>
      </c>
      <c r="I17" s="296">
        <f t="shared" si="3"/>
        <v>0</v>
      </c>
      <c r="J17" s="296">
        <f t="shared" si="3"/>
        <v>0</v>
      </c>
      <c r="K17" s="296">
        <f t="shared" si="3"/>
        <v>0</v>
      </c>
    </row>
    <row r="18" spans="1:11" s="284" customFormat="1" ht="12.75">
      <c r="A18" s="291"/>
      <c r="B18" s="291" t="s">
        <v>419</v>
      </c>
      <c r="C18" s="292" t="s">
        <v>226</v>
      </c>
      <c r="D18" s="293">
        <f>E18+K18</f>
        <v>400000</v>
      </c>
      <c r="E18" s="293">
        <v>400000</v>
      </c>
      <c r="F18" s="293">
        <v>169455</v>
      </c>
      <c r="G18" s="293">
        <v>31033</v>
      </c>
      <c r="H18" s="293"/>
      <c r="I18" s="293"/>
      <c r="J18" s="293"/>
      <c r="K18" s="293"/>
    </row>
    <row r="19" spans="1:11" s="290" customFormat="1" ht="12.75">
      <c r="A19" s="294" t="s">
        <v>231</v>
      </c>
      <c r="B19" s="294"/>
      <c r="C19" s="295" t="s">
        <v>232</v>
      </c>
      <c r="D19" s="296">
        <f aca="true" t="shared" si="4" ref="D19:K19">D20+D21+D22</f>
        <v>14726383</v>
      </c>
      <c r="E19" s="296">
        <f t="shared" si="4"/>
        <v>7415383</v>
      </c>
      <c r="F19" s="296">
        <f t="shared" si="4"/>
        <v>190200</v>
      </c>
      <c r="G19" s="296">
        <f t="shared" si="4"/>
        <v>34518</v>
      </c>
      <c r="H19" s="296">
        <f t="shared" si="4"/>
        <v>0</v>
      </c>
      <c r="I19" s="296">
        <f t="shared" si="4"/>
        <v>0</v>
      </c>
      <c r="J19" s="296">
        <f t="shared" si="4"/>
        <v>0</v>
      </c>
      <c r="K19" s="296">
        <f t="shared" si="4"/>
        <v>7311000</v>
      </c>
    </row>
    <row r="20" spans="1:11" s="284" customFormat="1" ht="12.75">
      <c r="A20" s="291"/>
      <c r="B20" s="291" t="s">
        <v>420</v>
      </c>
      <c r="C20" s="292" t="s">
        <v>494</v>
      </c>
      <c r="D20" s="293">
        <f>E20+K20</f>
        <v>3900000</v>
      </c>
      <c r="E20" s="293">
        <v>2900000</v>
      </c>
      <c r="F20" s="293"/>
      <c r="G20" s="293"/>
      <c r="H20" s="293"/>
      <c r="I20" s="293"/>
      <c r="J20" s="293"/>
      <c r="K20" s="293">
        <v>1000000</v>
      </c>
    </row>
    <row r="21" spans="1:11" s="284" customFormat="1" ht="12.75">
      <c r="A21" s="291"/>
      <c r="B21" s="291" t="s">
        <v>421</v>
      </c>
      <c r="C21" s="292" t="s">
        <v>495</v>
      </c>
      <c r="D21" s="293">
        <f>E21+K21</f>
        <v>10284200</v>
      </c>
      <c r="E21" s="293">
        <v>3973200</v>
      </c>
      <c r="F21" s="293">
        <v>24000</v>
      </c>
      <c r="G21" s="293">
        <v>5200</v>
      </c>
      <c r="H21" s="293"/>
      <c r="I21" s="293"/>
      <c r="J21" s="293"/>
      <c r="K21" s="293">
        <v>6311000</v>
      </c>
    </row>
    <row r="22" spans="1:11" s="284" customFormat="1" ht="12.75">
      <c r="A22" s="291"/>
      <c r="B22" s="291" t="s">
        <v>411</v>
      </c>
      <c r="C22" s="292" t="s">
        <v>412</v>
      </c>
      <c r="D22" s="293">
        <f>E22+K22</f>
        <v>542183</v>
      </c>
      <c r="E22" s="293">
        <v>542183</v>
      </c>
      <c r="F22" s="293">
        <v>166200</v>
      </c>
      <c r="G22" s="293">
        <v>29318</v>
      </c>
      <c r="H22" s="293"/>
      <c r="I22" s="293"/>
      <c r="J22" s="293"/>
      <c r="K22" s="293"/>
    </row>
    <row r="23" spans="1:11" s="290" customFormat="1" ht="12.75">
      <c r="A23" s="294" t="s">
        <v>235</v>
      </c>
      <c r="B23" s="294"/>
      <c r="C23" s="295" t="s">
        <v>236</v>
      </c>
      <c r="D23" s="296">
        <f>D24+D25</f>
        <v>2862000</v>
      </c>
      <c r="E23" s="296">
        <f aca="true" t="shared" si="5" ref="E23:K23">E24+E25</f>
        <v>1076000</v>
      </c>
      <c r="F23" s="296">
        <f t="shared" si="5"/>
        <v>20000</v>
      </c>
      <c r="G23" s="296">
        <f t="shared" si="5"/>
        <v>0</v>
      </c>
      <c r="H23" s="296">
        <f t="shared" si="5"/>
        <v>0</v>
      </c>
      <c r="I23" s="296">
        <f t="shared" si="5"/>
        <v>0</v>
      </c>
      <c r="J23" s="296">
        <f t="shared" si="5"/>
        <v>0</v>
      </c>
      <c r="K23" s="296">
        <f t="shared" si="5"/>
        <v>1786000</v>
      </c>
    </row>
    <row r="24" spans="1:11" s="284" customFormat="1" ht="25.5">
      <c r="A24" s="291"/>
      <c r="B24" s="291" t="s">
        <v>237</v>
      </c>
      <c r="C24" s="292" t="s">
        <v>238</v>
      </c>
      <c r="D24" s="293">
        <f>E24+K24</f>
        <v>1076000</v>
      </c>
      <c r="E24" s="293">
        <v>1076000</v>
      </c>
      <c r="F24" s="293">
        <v>20000</v>
      </c>
      <c r="G24" s="293"/>
      <c r="H24" s="293"/>
      <c r="I24" s="293"/>
      <c r="J24" s="293"/>
      <c r="K24" s="293"/>
    </row>
    <row r="25" spans="1:11" s="284" customFormat="1" ht="12.75">
      <c r="A25" s="291"/>
      <c r="B25" s="291" t="s">
        <v>422</v>
      </c>
      <c r="C25" s="292" t="s">
        <v>226</v>
      </c>
      <c r="D25" s="293">
        <f>E25+K25</f>
        <v>1786000</v>
      </c>
      <c r="E25" s="293"/>
      <c r="F25" s="293"/>
      <c r="G25" s="293"/>
      <c r="H25" s="293"/>
      <c r="I25" s="293"/>
      <c r="J25" s="293"/>
      <c r="K25" s="293">
        <v>1786000</v>
      </c>
    </row>
    <row r="26" spans="1:11" s="290" customFormat="1" ht="12.75">
      <c r="A26" s="294" t="s">
        <v>241</v>
      </c>
      <c r="B26" s="294"/>
      <c r="C26" s="295" t="s">
        <v>242</v>
      </c>
      <c r="D26" s="296">
        <f>D27+D28+D29</f>
        <v>8154600</v>
      </c>
      <c r="E26" s="296">
        <f aca="true" t="shared" si="6" ref="E26:K26">E27+E28+E29</f>
        <v>1677600</v>
      </c>
      <c r="F26" s="296">
        <f t="shared" si="6"/>
        <v>0</v>
      </c>
      <c r="G26" s="296">
        <f t="shared" si="6"/>
        <v>0</v>
      </c>
      <c r="H26" s="296">
        <f t="shared" si="6"/>
        <v>400000</v>
      </c>
      <c r="I26" s="296">
        <f t="shared" si="6"/>
        <v>0</v>
      </c>
      <c r="J26" s="296">
        <f t="shared" si="6"/>
        <v>0</v>
      </c>
      <c r="K26" s="296">
        <f t="shared" si="6"/>
        <v>6477000</v>
      </c>
    </row>
    <row r="27" spans="1:11" s="284" customFormat="1" ht="12.75">
      <c r="A27" s="291"/>
      <c r="B27" s="291" t="s">
        <v>423</v>
      </c>
      <c r="C27" s="292" t="s">
        <v>496</v>
      </c>
      <c r="D27" s="293">
        <f>E27+K27</f>
        <v>1000000</v>
      </c>
      <c r="E27" s="293">
        <v>400000</v>
      </c>
      <c r="F27" s="293"/>
      <c r="G27" s="293"/>
      <c r="H27" s="293">
        <v>400000</v>
      </c>
      <c r="I27" s="293"/>
      <c r="J27" s="293"/>
      <c r="K27" s="293">
        <v>600000</v>
      </c>
    </row>
    <row r="28" spans="1:11" s="284" customFormat="1" ht="25.5">
      <c r="A28" s="291"/>
      <c r="B28" s="291" t="s">
        <v>243</v>
      </c>
      <c r="C28" s="292" t="s">
        <v>244</v>
      </c>
      <c r="D28" s="293">
        <f>E28+K28</f>
        <v>2777600</v>
      </c>
      <c r="E28" s="293">
        <v>1277600</v>
      </c>
      <c r="F28" s="293"/>
      <c r="G28" s="293"/>
      <c r="H28" s="293"/>
      <c r="I28" s="293"/>
      <c r="J28" s="293"/>
      <c r="K28" s="293">
        <v>1500000</v>
      </c>
    </row>
    <row r="29" spans="1:11" s="284" customFormat="1" ht="14.25" customHeight="1">
      <c r="A29" s="291"/>
      <c r="B29" s="291" t="s">
        <v>424</v>
      </c>
      <c r="C29" s="292" t="s">
        <v>226</v>
      </c>
      <c r="D29" s="293">
        <f>E29+K29</f>
        <v>4377000</v>
      </c>
      <c r="E29" s="293"/>
      <c r="F29" s="293"/>
      <c r="G29" s="293"/>
      <c r="H29" s="293"/>
      <c r="I29" s="293"/>
      <c r="J29" s="293"/>
      <c r="K29" s="293">
        <v>4377000</v>
      </c>
    </row>
    <row r="30" spans="1:11" s="290" customFormat="1" ht="12.75">
      <c r="A30" s="294" t="s">
        <v>256</v>
      </c>
      <c r="B30" s="294"/>
      <c r="C30" s="295" t="s">
        <v>257</v>
      </c>
      <c r="D30" s="296">
        <f>D31+D32+D33</f>
        <v>1362481</v>
      </c>
      <c r="E30" s="296">
        <f aca="true" t="shared" si="7" ref="E30:K30">E31+E32+E33</f>
        <v>1062481</v>
      </c>
      <c r="F30" s="296">
        <f t="shared" si="7"/>
        <v>0</v>
      </c>
      <c r="G30" s="296">
        <f t="shared" si="7"/>
        <v>0</v>
      </c>
      <c r="H30" s="296">
        <f t="shared" si="7"/>
        <v>0</v>
      </c>
      <c r="I30" s="296">
        <f t="shared" si="7"/>
        <v>0</v>
      </c>
      <c r="J30" s="296">
        <f t="shared" si="7"/>
        <v>0</v>
      </c>
      <c r="K30" s="296">
        <f t="shared" si="7"/>
        <v>300000</v>
      </c>
    </row>
    <row r="31" spans="1:11" s="284" customFormat="1" ht="25.5">
      <c r="A31" s="291"/>
      <c r="B31" s="291" t="s">
        <v>425</v>
      </c>
      <c r="C31" s="292" t="s">
        <v>497</v>
      </c>
      <c r="D31" s="293">
        <f>E31+K31</f>
        <v>553817</v>
      </c>
      <c r="E31" s="293">
        <v>553817</v>
      </c>
      <c r="F31" s="293"/>
      <c r="G31" s="293"/>
      <c r="H31" s="293"/>
      <c r="I31" s="293"/>
      <c r="J31" s="293"/>
      <c r="K31" s="293"/>
    </row>
    <row r="32" spans="1:11" s="284" customFormat="1" ht="24.75" customHeight="1">
      <c r="A32" s="291"/>
      <c r="B32" s="291" t="s">
        <v>260</v>
      </c>
      <c r="C32" s="292" t="s">
        <v>261</v>
      </c>
      <c r="D32" s="293">
        <f>E32+K32</f>
        <v>135000</v>
      </c>
      <c r="E32" s="293">
        <v>135000</v>
      </c>
      <c r="F32" s="293"/>
      <c r="G32" s="293"/>
      <c r="H32" s="293"/>
      <c r="I32" s="293"/>
      <c r="J32" s="293"/>
      <c r="K32" s="293"/>
    </row>
    <row r="33" spans="1:11" s="284" customFormat="1" ht="12.75">
      <c r="A33" s="291"/>
      <c r="B33" s="291" t="s">
        <v>264</v>
      </c>
      <c r="C33" s="292" t="s">
        <v>265</v>
      </c>
      <c r="D33" s="293">
        <f>E33+K33</f>
        <v>673664</v>
      </c>
      <c r="E33" s="293">
        <v>373664</v>
      </c>
      <c r="F33" s="293"/>
      <c r="G33" s="293"/>
      <c r="H33" s="293"/>
      <c r="I33" s="293"/>
      <c r="J33" s="293"/>
      <c r="K33" s="293">
        <v>300000</v>
      </c>
    </row>
    <row r="34" spans="1:11" s="290" customFormat="1" ht="12.75">
      <c r="A34" s="294" t="s">
        <v>268</v>
      </c>
      <c r="B34" s="294"/>
      <c r="C34" s="295" t="s">
        <v>269</v>
      </c>
      <c r="D34" s="296">
        <f>D36+D37+D38+D35</f>
        <v>14903269</v>
      </c>
      <c r="E34" s="296">
        <f aca="true" t="shared" si="8" ref="E34:K34">E36+E37+E38+E35</f>
        <v>12971269</v>
      </c>
      <c r="F34" s="296">
        <f t="shared" si="8"/>
        <v>8240091</v>
      </c>
      <c r="G34" s="296">
        <f t="shared" si="8"/>
        <v>1443453</v>
      </c>
      <c r="H34" s="296">
        <f t="shared" si="8"/>
        <v>6436</v>
      </c>
      <c r="I34" s="296">
        <f t="shared" si="8"/>
        <v>0</v>
      </c>
      <c r="J34" s="296">
        <f t="shared" si="8"/>
        <v>0</v>
      </c>
      <c r="K34" s="296">
        <f t="shared" si="8"/>
        <v>1932000</v>
      </c>
    </row>
    <row r="35" spans="1:11" s="284" customFormat="1" ht="12.75">
      <c r="A35" s="291"/>
      <c r="B35" s="291" t="s">
        <v>270</v>
      </c>
      <c r="C35" s="292" t="s">
        <v>271</v>
      </c>
      <c r="D35" s="293">
        <f>E35+K35</f>
        <v>369700</v>
      </c>
      <c r="E35" s="293">
        <v>369700</v>
      </c>
      <c r="F35" s="293">
        <v>310127</v>
      </c>
      <c r="G35" s="293">
        <v>52998</v>
      </c>
      <c r="H35" s="293"/>
      <c r="I35" s="293"/>
      <c r="J35" s="293"/>
      <c r="K35" s="293"/>
    </row>
    <row r="36" spans="1:11" s="284" customFormat="1" ht="25.5">
      <c r="A36" s="291"/>
      <c r="B36" s="291" t="s">
        <v>426</v>
      </c>
      <c r="C36" s="292" t="s">
        <v>498</v>
      </c>
      <c r="D36" s="293">
        <f>E36+K36</f>
        <v>505000</v>
      </c>
      <c r="E36" s="293">
        <v>505000</v>
      </c>
      <c r="F36" s="293"/>
      <c r="G36" s="293"/>
      <c r="H36" s="293"/>
      <c r="I36" s="293"/>
      <c r="J36" s="293"/>
      <c r="K36" s="293"/>
    </row>
    <row r="37" spans="1:11" s="284" customFormat="1" ht="25.5">
      <c r="A37" s="291"/>
      <c r="B37" s="291" t="s">
        <v>279</v>
      </c>
      <c r="C37" s="292" t="s">
        <v>280</v>
      </c>
      <c r="D37" s="293">
        <f>E37+K37</f>
        <v>12126633</v>
      </c>
      <c r="E37" s="293">
        <v>11287633</v>
      </c>
      <c r="F37" s="293">
        <v>7885964</v>
      </c>
      <c r="G37" s="293">
        <v>1390455</v>
      </c>
      <c r="H37" s="293"/>
      <c r="I37" s="293"/>
      <c r="J37" s="293"/>
      <c r="K37" s="293">
        <v>839000</v>
      </c>
    </row>
    <row r="38" spans="1:11" s="284" customFormat="1" ht="12.75">
      <c r="A38" s="291"/>
      <c r="B38" s="291" t="s">
        <v>427</v>
      </c>
      <c r="C38" s="292" t="s">
        <v>226</v>
      </c>
      <c r="D38" s="293">
        <f>E38+K38</f>
        <v>1901936</v>
      </c>
      <c r="E38" s="293">
        <v>808936</v>
      </c>
      <c r="F38" s="293">
        <v>44000</v>
      </c>
      <c r="G38" s="293"/>
      <c r="H38" s="293">
        <v>6436</v>
      </c>
      <c r="I38" s="293"/>
      <c r="J38" s="293"/>
      <c r="K38" s="293">
        <v>1093000</v>
      </c>
    </row>
    <row r="39" spans="1:11" s="290" customFormat="1" ht="38.25">
      <c r="A39" s="294" t="s">
        <v>285</v>
      </c>
      <c r="B39" s="294"/>
      <c r="C39" s="295" t="s">
        <v>551</v>
      </c>
      <c r="D39" s="296">
        <f>D40</f>
        <v>6900</v>
      </c>
      <c r="E39" s="296">
        <f aca="true" t="shared" si="9" ref="E39:K39">E40</f>
        <v>6900</v>
      </c>
      <c r="F39" s="296">
        <f t="shared" si="9"/>
        <v>5865</v>
      </c>
      <c r="G39" s="296">
        <f t="shared" si="9"/>
        <v>1035</v>
      </c>
      <c r="H39" s="296">
        <f t="shared" si="9"/>
        <v>0</v>
      </c>
      <c r="I39" s="296">
        <f t="shared" si="9"/>
        <v>0</v>
      </c>
      <c r="J39" s="296">
        <f t="shared" si="9"/>
        <v>0</v>
      </c>
      <c r="K39" s="296">
        <f t="shared" si="9"/>
        <v>0</v>
      </c>
    </row>
    <row r="40" spans="1:11" s="284" customFormat="1" ht="25.5">
      <c r="A40" s="291"/>
      <c r="B40" s="291" t="s">
        <v>286</v>
      </c>
      <c r="C40" s="292" t="s">
        <v>552</v>
      </c>
      <c r="D40" s="293">
        <f>E40+K40</f>
        <v>6900</v>
      </c>
      <c r="E40" s="293">
        <v>6900</v>
      </c>
      <c r="F40" s="293">
        <v>5865</v>
      </c>
      <c r="G40" s="293">
        <v>1035</v>
      </c>
      <c r="H40" s="293"/>
      <c r="I40" s="293"/>
      <c r="J40" s="293"/>
      <c r="K40" s="293"/>
    </row>
    <row r="41" spans="1:11" s="290" customFormat="1" ht="25.5">
      <c r="A41" s="294" t="s">
        <v>287</v>
      </c>
      <c r="B41" s="294"/>
      <c r="C41" s="295" t="s">
        <v>288</v>
      </c>
      <c r="D41" s="296">
        <f>D42+D43+D44+D45</f>
        <v>1548090</v>
      </c>
      <c r="E41" s="296">
        <f aca="true" t="shared" si="10" ref="E41:K41">E42+E43+E44+E45</f>
        <v>425090</v>
      </c>
      <c r="F41" s="296">
        <f t="shared" si="10"/>
        <v>215734</v>
      </c>
      <c r="G41" s="296">
        <f t="shared" si="10"/>
        <v>37597</v>
      </c>
      <c r="H41" s="296">
        <f t="shared" si="10"/>
        <v>0</v>
      </c>
      <c r="I41" s="296">
        <f t="shared" si="10"/>
        <v>0</v>
      </c>
      <c r="J41" s="296">
        <f t="shared" si="10"/>
        <v>0</v>
      </c>
      <c r="K41" s="296">
        <f t="shared" si="10"/>
        <v>1123000</v>
      </c>
    </row>
    <row r="42" spans="1:11" s="284" customFormat="1" ht="12.75">
      <c r="A42" s="291"/>
      <c r="B42" s="291" t="s">
        <v>428</v>
      </c>
      <c r="C42" s="292" t="s">
        <v>499</v>
      </c>
      <c r="D42" s="293">
        <f>E42+K42</f>
        <v>144054</v>
      </c>
      <c r="E42" s="293">
        <v>144054</v>
      </c>
      <c r="F42" s="293">
        <v>36786</v>
      </c>
      <c r="G42" s="293">
        <v>6492</v>
      </c>
      <c r="H42" s="293"/>
      <c r="I42" s="293"/>
      <c r="J42" s="293"/>
      <c r="K42" s="293"/>
    </row>
    <row r="43" spans="1:11" s="284" customFormat="1" ht="12.75">
      <c r="A43" s="291"/>
      <c r="B43" s="291" t="s">
        <v>291</v>
      </c>
      <c r="C43" s="292" t="s">
        <v>292</v>
      </c>
      <c r="D43" s="293">
        <f>E43+K43</f>
        <v>8000</v>
      </c>
      <c r="E43" s="293">
        <v>8000</v>
      </c>
      <c r="F43" s="293"/>
      <c r="G43" s="293"/>
      <c r="H43" s="293"/>
      <c r="I43" s="293"/>
      <c r="J43" s="293"/>
      <c r="K43" s="293"/>
    </row>
    <row r="44" spans="1:11" s="284" customFormat="1" ht="12.75">
      <c r="A44" s="291"/>
      <c r="B44" s="291" t="s">
        <v>293</v>
      </c>
      <c r="C44" s="292" t="s">
        <v>294</v>
      </c>
      <c r="D44" s="293">
        <f>E44+K44</f>
        <v>239856</v>
      </c>
      <c r="E44" s="293">
        <v>239856</v>
      </c>
      <c r="F44" s="293">
        <v>178948</v>
      </c>
      <c r="G44" s="293">
        <v>31105</v>
      </c>
      <c r="H44" s="293"/>
      <c r="I44" s="293"/>
      <c r="J44" s="293"/>
      <c r="K44" s="293"/>
    </row>
    <row r="45" spans="1:11" s="284" customFormat="1" ht="12.75">
      <c r="A45" s="291"/>
      <c r="B45" s="291" t="s">
        <v>429</v>
      </c>
      <c r="C45" s="292" t="s">
        <v>226</v>
      </c>
      <c r="D45" s="293">
        <f>E45+K45</f>
        <v>1156180</v>
      </c>
      <c r="E45" s="293">
        <v>33180</v>
      </c>
      <c r="F45" s="293"/>
      <c r="G45" s="293"/>
      <c r="H45" s="293"/>
      <c r="I45" s="293"/>
      <c r="J45" s="293"/>
      <c r="K45" s="293">
        <v>1123000</v>
      </c>
    </row>
    <row r="46" spans="1:11" s="290" customFormat="1" ht="63.75">
      <c r="A46" s="294" t="s">
        <v>295</v>
      </c>
      <c r="B46" s="294"/>
      <c r="C46" s="295" t="s">
        <v>296</v>
      </c>
      <c r="D46" s="296">
        <f>D47</f>
        <v>465000</v>
      </c>
      <c r="E46" s="296">
        <f aca="true" t="shared" si="11" ref="E46:K46">E47</f>
        <v>465000</v>
      </c>
      <c r="F46" s="296">
        <f t="shared" si="11"/>
        <v>340000</v>
      </c>
      <c r="G46" s="296">
        <f t="shared" si="11"/>
        <v>0</v>
      </c>
      <c r="H46" s="296">
        <f t="shared" si="11"/>
        <v>0</v>
      </c>
      <c r="I46" s="296">
        <f t="shared" si="11"/>
        <v>0</v>
      </c>
      <c r="J46" s="296">
        <f t="shared" si="11"/>
        <v>0</v>
      </c>
      <c r="K46" s="296">
        <f t="shared" si="11"/>
        <v>0</v>
      </c>
    </row>
    <row r="47" spans="1:11" s="284" customFormat="1" ht="38.25">
      <c r="A47" s="291"/>
      <c r="B47" s="291" t="s">
        <v>6</v>
      </c>
      <c r="C47" s="292" t="s">
        <v>500</v>
      </c>
      <c r="D47" s="293">
        <f>E47+K47</f>
        <v>465000</v>
      </c>
      <c r="E47" s="293">
        <v>465000</v>
      </c>
      <c r="F47" s="293">
        <v>340000</v>
      </c>
      <c r="G47" s="293"/>
      <c r="H47" s="293"/>
      <c r="I47" s="293"/>
      <c r="J47" s="293"/>
      <c r="K47" s="293"/>
    </row>
    <row r="48" spans="1:11" s="290" customFormat="1" ht="12.75">
      <c r="A48" s="294" t="s">
        <v>430</v>
      </c>
      <c r="B48" s="294"/>
      <c r="C48" s="295" t="s">
        <v>501</v>
      </c>
      <c r="D48" s="296">
        <f>D49</f>
        <v>2190500</v>
      </c>
      <c r="E48" s="296">
        <f aca="true" t="shared" si="12" ref="E48:K48">E49</f>
        <v>2190500</v>
      </c>
      <c r="F48" s="296">
        <f t="shared" si="12"/>
        <v>0</v>
      </c>
      <c r="G48" s="296">
        <f t="shared" si="12"/>
        <v>0</v>
      </c>
      <c r="H48" s="296">
        <f t="shared" si="12"/>
        <v>0</v>
      </c>
      <c r="I48" s="296">
        <f t="shared" si="12"/>
        <v>2190500</v>
      </c>
      <c r="J48" s="296">
        <f t="shared" si="12"/>
        <v>0</v>
      </c>
      <c r="K48" s="296">
        <f t="shared" si="12"/>
        <v>0</v>
      </c>
    </row>
    <row r="49" spans="1:11" s="284" customFormat="1" ht="38.25">
      <c r="A49" s="291"/>
      <c r="B49" s="291" t="s">
        <v>431</v>
      </c>
      <c r="C49" s="292" t="s">
        <v>502</v>
      </c>
      <c r="D49" s="293">
        <f>E49+K49</f>
        <v>2190500</v>
      </c>
      <c r="E49" s="293">
        <v>2190500</v>
      </c>
      <c r="F49" s="293"/>
      <c r="G49" s="293"/>
      <c r="H49" s="293"/>
      <c r="I49" s="293">
        <v>2190500</v>
      </c>
      <c r="J49" s="293"/>
      <c r="K49" s="293"/>
    </row>
    <row r="50" spans="1:11" s="290" customFormat="1" ht="15.75" customHeight="1">
      <c r="A50" s="294" t="s">
        <v>345</v>
      </c>
      <c r="B50" s="294"/>
      <c r="C50" s="295" t="s">
        <v>346</v>
      </c>
      <c r="D50" s="296">
        <f>D51+D52</f>
        <v>2086945</v>
      </c>
      <c r="E50" s="296">
        <f aca="true" t="shared" si="13" ref="E50:K50">E51+E52</f>
        <v>936945</v>
      </c>
      <c r="F50" s="296">
        <f t="shared" si="13"/>
        <v>0</v>
      </c>
      <c r="G50" s="296">
        <f t="shared" si="13"/>
        <v>0</v>
      </c>
      <c r="H50" s="296">
        <f t="shared" si="13"/>
        <v>0</v>
      </c>
      <c r="I50" s="296">
        <f t="shared" si="13"/>
        <v>0</v>
      </c>
      <c r="J50" s="296">
        <f t="shared" si="13"/>
        <v>0</v>
      </c>
      <c r="K50" s="296">
        <f t="shared" si="13"/>
        <v>1150000</v>
      </c>
    </row>
    <row r="51" spans="1:11" s="284" customFormat="1" ht="12.75">
      <c r="A51" s="291"/>
      <c r="B51" s="291" t="s">
        <v>432</v>
      </c>
      <c r="C51" s="292" t="s">
        <v>503</v>
      </c>
      <c r="D51" s="293">
        <f>E51+K51</f>
        <v>1960000</v>
      </c>
      <c r="E51" s="293">
        <f>800000+10000</f>
        <v>810000</v>
      </c>
      <c r="F51" s="293"/>
      <c r="G51" s="293"/>
      <c r="H51" s="293"/>
      <c r="I51" s="293"/>
      <c r="J51" s="293"/>
      <c r="K51" s="293">
        <v>1150000</v>
      </c>
    </row>
    <row r="52" spans="1:11" s="284" customFormat="1" ht="25.5">
      <c r="A52" s="291"/>
      <c r="B52" s="291" t="s">
        <v>675</v>
      </c>
      <c r="C52" s="292" t="s">
        <v>676</v>
      </c>
      <c r="D52" s="293">
        <f>E52+K52</f>
        <v>126945</v>
      </c>
      <c r="E52" s="293">
        <v>126945</v>
      </c>
      <c r="F52" s="293"/>
      <c r="G52" s="293"/>
      <c r="H52" s="293"/>
      <c r="I52" s="293"/>
      <c r="J52" s="293"/>
      <c r="K52" s="293"/>
    </row>
    <row r="53" spans="1:11" s="290" customFormat="1" ht="12.75">
      <c r="A53" s="294" t="s">
        <v>433</v>
      </c>
      <c r="B53" s="294"/>
      <c r="C53" s="295" t="s">
        <v>504</v>
      </c>
      <c r="D53" s="296">
        <f>D54+D55+D56+D57+D58+D59+D60+D61</f>
        <v>30693825</v>
      </c>
      <c r="E53" s="296">
        <f aca="true" t="shared" si="14" ref="E53:K53">E54+E55+E56+E57+E58+E59+E60+E61</f>
        <v>29298825</v>
      </c>
      <c r="F53" s="296">
        <f t="shared" si="14"/>
        <v>14990359</v>
      </c>
      <c r="G53" s="296">
        <f t="shared" si="14"/>
        <v>2646319</v>
      </c>
      <c r="H53" s="296">
        <f t="shared" si="14"/>
        <v>6438987</v>
      </c>
      <c r="I53" s="296">
        <f t="shared" si="14"/>
        <v>0</v>
      </c>
      <c r="J53" s="296">
        <f t="shared" si="14"/>
        <v>0</v>
      </c>
      <c r="K53" s="296">
        <f t="shared" si="14"/>
        <v>1395000</v>
      </c>
    </row>
    <row r="54" spans="1:11" s="284" customFormat="1" ht="12.75">
      <c r="A54" s="291"/>
      <c r="B54" s="291" t="s">
        <v>434</v>
      </c>
      <c r="C54" s="292" t="s">
        <v>505</v>
      </c>
      <c r="D54" s="293">
        <f aca="true" t="shared" si="15" ref="D54:D61">E54+K54</f>
        <v>12799381</v>
      </c>
      <c r="E54" s="293">
        <v>12289381</v>
      </c>
      <c r="F54" s="293">
        <v>8657860</v>
      </c>
      <c r="G54" s="293">
        <v>1491410</v>
      </c>
      <c r="H54" s="293">
        <v>306385</v>
      </c>
      <c r="I54" s="293"/>
      <c r="J54" s="293"/>
      <c r="K54" s="293">
        <v>510000</v>
      </c>
    </row>
    <row r="55" spans="1:11" s="284" customFormat="1" ht="25.5">
      <c r="A55" s="291"/>
      <c r="B55" s="291" t="s">
        <v>435</v>
      </c>
      <c r="C55" s="292" t="s">
        <v>506</v>
      </c>
      <c r="D55" s="293">
        <f t="shared" si="15"/>
        <v>593007</v>
      </c>
      <c r="E55" s="293">
        <v>593007</v>
      </c>
      <c r="F55" s="293">
        <v>371737</v>
      </c>
      <c r="G55" s="293">
        <v>75081</v>
      </c>
      <c r="H55" s="293">
        <v>73338</v>
      </c>
      <c r="I55" s="293"/>
      <c r="J55" s="293"/>
      <c r="K55" s="293"/>
    </row>
    <row r="56" spans="1:11" s="284" customFormat="1" ht="12.75">
      <c r="A56" s="291"/>
      <c r="B56" s="291" t="s">
        <v>436</v>
      </c>
      <c r="C56" s="292" t="s">
        <v>507</v>
      </c>
      <c r="D56" s="293">
        <f t="shared" si="15"/>
        <v>6378908</v>
      </c>
      <c r="E56" s="293">
        <v>5493908</v>
      </c>
      <c r="F56" s="293"/>
      <c r="G56" s="293"/>
      <c r="H56" s="293">
        <v>5493908</v>
      </c>
      <c r="I56" s="293"/>
      <c r="J56" s="293"/>
      <c r="K56" s="293">
        <v>885000</v>
      </c>
    </row>
    <row r="57" spans="1:11" s="284" customFormat="1" ht="12.75">
      <c r="A57" s="291"/>
      <c r="B57" s="291" t="s">
        <v>437</v>
      </c>
      <c r="C57" s="292" t="s">
        <v>508</v>
      </c>
      <c r="D57" s="293">
        <f t="shared" si="15"/>
        <v>9022693</v>
      </c>
      <c r="E57" s="293">
        <v>9022693</v>
      </c>
      <c r="F57" s="293">
        <v>5380933</v>
      </c>
      <c r="G57" s="293">
        <v>975207</v>
      </c>
      <c r="H57" s="293">
        <v>528356</v>
      </c>
      <c r="I57" s="293"/>
      <c r="J57" s="293"/>
      <c r="K57" s="293"/>
    </row>
    <row r="58" spans="1:11" s="284" customFormat="1" ht="12.75">
      <c r="A58" s="291"/>
      <c r="B58" s="291" t="s">
        <v>438</v>
      </c>
      <c r="C58" s="292" t="s">
        <v>509</v>
      </c>
      <c r="D58" s="293">
        <f t="shared" si="15"/>
        <v>46000</v>
      </c>
      <c r="E58" s="293">
        <v>46000</v>
      </c>
      <c r="F58" s="293"/>
      <c r="G58" s="293"/>
      <c r="H58" s="293">
        <v>11000</v>
      </c>
      <c r="I58" s="293"/>
      <c r="J58" s="293"/>
      <c r="K58" s="293"/>
    </row>
    <row r="59" spans="1:11" s="284" customFormat="1" ht="25.5">
      <c r="A59" s="291"/>
      <c r="B59" s="291" t="s">
        <v>439</v>
      </c>
      <c r="C59" s="292" t="s">
        <v>554</v>
      </c>
      <c r="D59" s="293">
        <f t="shared" si="15"/>
        <v>114126</v>
      </c>
      <c r="E59" s="293">
        <v>114126</v>
      </c>
      <c r="F59" s="293"/>
      <c r="G59" s="293"/>
      <c r="H59" s="293"/>
      <c r="I59" s="293"/>
      <c r="J59" s="293"/>
      <c r="K59" s="293"/>
    </row>
    <row r="60" spans="1:11" s="284" customFormat="1" ht="12.75">
      <c r="A60" s="291"/>
      <c r="B60" s="291" t="s">
        <v>46</v>
      </c>
      <c r="C60" s="292" t="s">
        <v>47</v>
      </c>
      <c r="D60" s="293">
        <f t="shared" si="15"/>
        <v>701970</v>
      </c>
      <c r="E60" s="293">
        <v>701970</v>
      </c>
      <c r="F60" s="293">
        <v>478089</v>
      </c>
      <c r="G60" s="293">
        <v>85361</v>
      </c>
      <c r="H60" s="293"/>
      <c r="I60" s="293"/>
      <c r="J60" s="293"/>
      <c r="K60" s="293"/>
    </row>
    <row r="61" spans="1:11" s="284" customFormat="1" ht="12.75">
      <c r="A61" s="291"/>
      <c r="B61" s="291" t="s">
        <v>440</v>
      </c>
      <c r="C61" s="292" t="s">
        <v>226</v>
      </c>
      <c r="D61" s="293">
        <f t="shared" si="15"/>
        <v>1037740</v>
      </c>
      <c r="E61" s="293">
        <v>1037740</v>
      </c>
      <c r="F61" s="293">
        <v>101740</v>
      </c>
      <c r="G61" s="293">
        <v>19260</v>
      </c>
      <c r="H61" s="293">
        <v>26000</v>
      </c>
      <c r="I61" s="293"/>
      <c r="J61" s="293"/>
      <c r="K61" s="293"/>
    </row>
    <row r="62" spans="1:11" s="290" customFormat="1" ht="12.75">
      <c r="A62" s="294" t="s">
        <v>360</v>
      </c>
      <c r="B62" s="294"/>
      <c r="C62" s="295" t="s">
        <v>361</v>
      </c>
      <c r="D62" s="296">
        <f>D63+D64+D65+D66+D67</f>
        <v>1350340</v>
      </c>
      <c r="E62" s="296">
        <f aca="true" t="shared" si="16" ref="E62:K62">E63+E64+E65+E66+E67</f>
        <v>1042340</v>
      </c>
      <c r="F62" s="296">
        <f t="shared" si="16"/>
        <v>267827</v>
      </c>
      <c r="G62" s="296">
        <f t="shared" si="16"/>
        <v>28724</v>
      </c>
      <c r="H62" s="296">
        <f t="shared" si="16"/>
        <v>192140</v>
      </c>
      <c r="I62" s="296">
        <f t="shared" si="16"/>
        <v>0</v>
      </c>
      <c r="J62" s="296">
        <f t="shared" si="16"/>
        <v>0</v>
      </c>
      <c r="K62" s="296">
        <f t="shared" si="16"/>
        <v>308000</v>
      </c>
    </row>
    <row r="63" spans="1:11" s="284" customFormat="1" ht="12.75">
      <c r="A63" s="291"/>
      <c r="B63" s="291" t="s">
        <v>441</v>
      </c>
      <c r="C63" s="292" t="s">
        <v>510</v>
      </c>
      <c r="D63" s="293">
        <f>E63+K63</f>
        <v>42000</v>
      </c>
      <c r="E63" s="293">
        <v>42000</v>
      </c>
      <c r="F63" s="293">
        <v>7700</v>
      </c>
      <c r="G63" s="293"/>
      <c r="H63" s="293">
        <v>9200</v>
      </c>
      <c r="I63" s="293"/>
      <c r="J63" s="293"/>
      <c r="K63" s="293"/>
    </row>
    <row r="64" spans="1:11" s="284" customFormat="1" ht="12.75">
      <c r="A64" s="291"/>
      <c r="B64" s="291" t="s">
        <v>442</v>
      </c>
      <c r="C64" s="292" t="s">
        <v>511</v>
      </c>
      <c r="D64" s="293">
        <f>E64+K64</f>
        <v>14400</v>
      </c>
      <c r="E64" s="293">
        <v>14400</v>
      </c>
      <c r="F64" s="293"/>
      <c r="G64" s="293"/>
      <c r="H64" s="293">
        <v>8000</v>
      </c>
      <c r="I64" s="293"/>
      <c r="J64" s="293"/>
      <c r="K64" s="293"/>
    </row>
    <row r="65" spans="1:11" s="284" customFormat="1" ht="12.75">
      <c r="A65" s="291"/>
      <c r="B65" s="291" t="s">
        <v>443</v>
      </c>
      <c r="C65" s="292" t="s">
        <v>512</v>
      </c>
      <c r="D65" s="293">
        <f>E65+K65</f>
        <v>33940</v>
      </c>
      <c r="E65" s="293">
        <v>33940</v>
      </c>
      <c r="F65" s="293"/>
      <c r="G65" s="293"/>
      <c r="H65" s="293">
        <v>6640</v>
      </c>
      <c r="I65" s="293"/>
      <c r="J65" s="293"/>
      <c r="K65" s="293"/>
    </row>
    <row r="66" spans="1:11" s="284" customFormat="1" ht="12.75">
      <c r="A66" s="291"/>
      <c r="B66" s="291" t="s">
        <v>444</v>
      </c>
      <c r="C66" s="292" t="s">
        <v>513</v>
      </c>
      <c r="D66" s="293">
        <f>E66+K66</f>
        <v>1100000</v>
      </c>
      <c r="E66" s="293">
        <v>792000</v>
      </c>
      <c r="F66" s="293">
        <v>232499</v>
      </c>
      <c r="G66" s="293">
        <v>28491</v>
      </c>
      <c r="H66" s="293">
        <v>148300</v>
      </c>
      <c r="I66" s="293"/>
      <c r="J66" s="293"/>
      <c r="K66" s="293">
        <v>308000</v>
      </c>
    </row>
    <row r="67" spans="1:11" s="284" customFormat="1" ht="12.75">
      <c r="A67" s="291"/>
      <c r="B67" s="291" t="s">
        <v>445</v>
      </c>
      <c r="C67" s="292" t="s">
        <v>226</v>
      </c>
      <c r="D67" s="293">
        <f>E67+K67</f>
        <v>160000</v>
      </c>
      <c r="E67" s="293">
        <f>157000+3000</f>
        <v>160000</v>
      </c>
      <c r="F67" s="293">
        <f>25000+2628</f>
        <v>27628</v>
      </c>
      <c r="G67" s="293">
        <v>233</v>
      </c>
      <c r="H67" s="293">
        <v>20000</v>
      </c>
      <c r="I67" s="293"/>
      <c r="J67" s="293"/>
      <c r="K67" s="293"/>
    </row>
    <row r="68" spans="1:11" s="290" customFormat="1" ht="12.75">
      <c r="A68" s="294" t="s">
        <v>364</v>
      </c>
      <c r="B68" s="294"/>
      <c r="C68" s="295" t="s">
        <v>365</v>
      </c>
      <c r="D68" s="296">
        <f>D69+D70+D74+D75+D76+D77+D78+D71+D73+D72</f>
        <v>17232042</v>
      </c>
      <c r="E68" s="296">
        <f aca="true" t="shared" si="17" ref="E68:K68">E69+E70+E74+E75+E76+E77+E78+E71+E73+E72</f>
        <v>12337042</v>
      </c>
      <c r="F68" s="296">
        <f t="shared" si="17"/>
        <v>1781048</v>
      </c>
      <c r="G68" s="296">
        <f t="shared" si="17"/>
        <v>326574</v>
      </c>
      <c r="H68" s="296">
        <f t="shared" si="17"/>
        <v>131000</v>
      </c>
      <c r="I68" s="296">
        <f t="shared" si="17"/>
        <v>0</v>
      </c>
      <c r="J68" s="296">
        <f t="shared" si="17"/>
        <v>0</v>
      </c>
      <c r="K68" s="296">
        <f t="shared" si="17"/>
        <v>4895000</v>
      </c>
    </row>
    <row r="69" spans="1:11" s="284" customFormat="1" ht="12.75">
      <c r="A69" s="291"/>
      <c r="B69" s="291" t="s">
        <v>479</v>
      </c>
      <c r="C69" s="292" t="s">
        <v>541</v>
      </c>
      <c r="D69" s="293">
        <f aca="true" t="shared" si="18" ref="D69:D78">E69+K69</f>
        <v>864146</v>
      </c>
      <c r="E69" s="293">
        <v>464146</v>
      </c>
      <c r="F69" s="293"/>
      <c r="G69" s="293"/>
      <c r="H69" s="293"/>
      <c r="I69" s="293"/>
      <c r="J69" s="293"/>
      <c r="K69" s="293">
        <v>400000</v>
      </c>
    </row>
    <row r="70" spans="1:11" s="284" customFormat="1" ht="12.75">
      <c r="A70" s="291"/>
      <c r="B70" s="291" t="s">
        <v>446</v>
      </c>
      <c r="C70" s="292" t="s">
        <v>514</v>
      </c>
      <c r="D70" s="293">
        <f t="shared" si="18"/>
        <v>428976</v>
      </c>
      <c r="E70" s="293">
        <v>428976</v>
      </c>
      <c r="F70" s="293"/>
      <c r="G70" s="293"/>
      <c r="H70" s="293"/>
      <c r="I70" s="293"/>
      <c r="J70" s="293"/>
      <c r="K70" s="293"/>
    </row>
    <row r="71" spans="1:11" s="284" customFormat="1" ht="12.75">
      <c r="A71" s="291"/>
      <c r="B71" s="291" t="s">
        <v>366</v>
      </c>
      <c r="C71" s="292" t="s">
        <v>367</v>
      </c>
      <c r="D71" s="293">
        <f t="shared" si="18"/>
        <v>131000</v>
      </c>
      <c r="E71" s="293">
        <v>131000</v>
      </c>
      <c r="F71" s="293"/>
      <c r="G71" s="293"/>
      <c r="H71" s="293">
        <v>131000</v>
      </c>
      <c r="I71" s="293"/>
      <c r="J71" s="293"/>
      <c r="K71" s="293"/>
    </row>
    <row r="72" spans="1:11" s="284" customFormat="1" ht="51">
      <c r="A72" s="291"/>
      <c r="B72" s="291" t="s">
        <v>372</v>
      </c>
      <c r="C72" s="292" t="s">
        <v>373</v>
      </c>
      <c r="D72" s="293">
        <f t="shared" si="18"/>
        <v>5704000</v>
      </c>
      <c r="E72" s="293">
        <v>5704000</v>
      </c>
      <c r="F72" s="293">
        <v>116093</v>
      </c>
      <c r="G72" s="293">
        <v>20770</v>
      </c>
      <c r="H72" s="293"/>
      <c r="I72" s="293"/>
      <c r="J72" s="293"/>
      <c r="K72" s="293"/>
    </row>
    <row r="73" spans="1:11" s="284" customFormat="1" ht="93.75" customHeight="1">
      <c r="A73" s="291"/>
      <c r="B73" s="291" t="s">
        <v>374</v>
      </c>
      <c r="C73" s="292" t="s">
        <v>718</v>
      </c>
      <c r="D73" s="293">
        <f t="shared" si="18"/>
        <v>84000</v>
      </c>
      <c r="E73" s="293">
        <v>84000</v>
      </c>
      <c r="F73" s="293"/>
      <c r="G73" s="293"/>
      <c r="H73" s="293"/>
      <c r="I73" s="293"/>
      <c r="J73" s="293"/>
      <c r="K73" s="293"/>
    </row>
    <row r="74" spans="1:11" s="284" customFormat="1" ht="38.25">
      <c r="A74" s="291"/>
      <c r="B74" s="291" t="s">
        <v>375</v>
      </c>
      <c r="C74" s="292" t="s">
        <v>376</v>
      </c>
      <c r="D74" s="293">
        <f t="shared" si="18"/>
        <v>1953000</v>
      </c>
      <c r="E74" s="293">
        <f>1152000+801000</f>
        <v>1953000</v>
      </c>
      <c r="F74" s="293"/>
      <c r="G74" s="293"/>
      <c r="H74" s="293"/>
      <c r="I74" s="293"/>
      <c r="J74" s="293"/>
      <c r="K74" s="293"/>
    </row>
    <row r="75" spans="1:11" s="284" customFormat="1" ht="12.75">
      <c r="A75" s="291"/>
      <c r="B75" s="291" t="s">
        <v>447</v>
      </c>
      <c r="C75" s="292" t="s">
        <v>515</v>
      </c>
      <c r="D75" s="293">
        <f t="shared" si="18"/>
        <v>900000</v>
      </c>
      <c r="E75" s="293">
        <v>900000</v>
      </c>
      <c r="F75" s="293"/>
      <c r="G75" s="293"/>
      <c r="H75" s="293"/>
      <c r="I75" s="293"/>
      <c r="J75" s="293"/>
      <c r="K75" s="293"/>
    </row>
    <row r="76" spans="1:11" s="284" customFormat="1" ht="12.75">
      <c r="A76" s="291"/>
      <c r="B76" s="291" t="s">
        <v>378</v>
      </c>
      <c r="C76" s="292" t="s">
        <v>379</v>
      </c>
      <c r="D76" s="293">
        <f t="shared" si="18"/>
        <v>1520560</v>
      </c>
      <c r="E76" s="293">
        <v>1520560</v>
      </c>
      <c r="F76" s="293">
        <v>1038665</v>
      </c>
      <c r="G76" s="293">
        <v>196244</v>
      </c>
      <c r="H76" s="293"/>
      <c r="I76" s="293"/>
      <c r="J76" s="293"/>
      <c r="K76" s="293"/>
    </row>
    <row r="77" spans="1:11" s="284" customFormat="1" ht="25.5">
      <c r="A77" s="291"/>
      <c r="B77" s="291" t="s">
        <v>381</v>
      </c>
      <c r="C77" s="292" t="s">
        <v>382</v>
      </c>
      <c r="D77" s="293">
        <f t="shared" si="18"/>
        <v>793860</v>
      </c>
      <c r="E77" s="293">
        <f>714860+79000</f>
        <v>793860</v>
      </c>
      <c r="F77" s="293">
        <f>564091+62199</f>
        <v>626290</v>
      </c>
      <c r="G77" s="293">
        <f>98701+10859</f>
        <v>109560</v>
      </c>
      <c r="H77" s="293"/>
      <c r="I77" s="293"/>
      <c r="J77" s="293"/>
      <c r="K77" s="293"/>
    </row>
    <row r="78" spans="1:11" s="284" customFormat="1" ht="12.75">
      <c r="A78" s="291"/>
      <c r="B78" s="291" t="s">
        <v>383</v>
      </c>
      <c r="C78" s="292" t="s">
        <v>226</v>
      </c>
      <c r="D78" s="293">
        <f t="shared" si="18"/>
        <v>4852500</v>
      </c>
      <c r="E78" s="293">
        <v>357500</v>
      </c>
      <c r="F78" s="293"/>
      <c r="G78" s="293"/>
      <c r="H78" s="293"/>
      <c r="I78" s="293"/>
      <c r="J78" s="293"/>
      <c r="K78" s="293">
        <v>4495000</v>
      </c>
    </row>
    <row r="79" spans="1:11" s="290" customFormat="1" ht="25.5">
      <c r="A79" s="294" t="s">
        <v>384</v>
      </c>
      <c r="B79" s="294"/>
      <c r="C79" s="295" t="s">
        <v>385</v>
      </c>
      <c r="D79" s="296">
        <f>D80+D81</f>
        <v>1478074</v>
      </c>
      <c r="E79" s="296">
        <f aca="true" t="shared" si="19" ref="E79:K79">E80+E81</f>
        <v>1355661</v>
      </c>
      <c r="F79" s="296">
        <f t="shared" si="19"/>
        <v>546932</v>
      </c>
      <c r="G79" s="296">
        <f t="shared" si="19"/>
        <v>95294</v>
      </c>
      <c r="H79" s="296">
        <f t="shared" si="19"/>
        <v>600000</v>
      </c>
      <c r="I79" s="296">
        <f t="shared" si="19"/>
        <v>0</v>
      </c>
      <c r="J79" s="296">
        <f t="shared" si="19"/>
        <v>0</v>
      </c>
      <c r="K79" s="296">
        <f t="shared" si="19"/>
        <v>122413</v>
      </c>
    </row>
    <row r="80" spans="1:11" s="284" customFormat="1" ht="12.75">
      <c r="A80" s="291"/>
      <c r="B80" s="291" t="s">
        <v>448</v>
      </c>
      <c r="C80" s="292" t="s">
        <v>516</v>
      </c>
      <c r="D80" s="293">
        <f>E80+K80</f>
        <v>743124</v>
      </c>
      <c r="E80" s="293">
        <v>720711</v>
      </c>
      <c r="F80" s="293">
        <v>546932</v>
      </c>
      <c r="G80" s="293">
        <v>95294</v>
      </c>
      <c r="H80" s="293"/>
      <c r="I80" s="293"/>
      <c r="J80" s="293"/>
      <c r="K80" s="293">
        <v>22413</v>
      </c>
    </row>
    <row r="81" spans="1:11" s="284" customFormat="1" ht="12.75">
      <c r="A81" s="291"/>
      <c r="B81" s="291" t="s">
        <v>449</v>
      </c>
      <c r="C81" s="292" t="s">
        <v>226</v>
      </c>
      <c r="D81" s="293">
        <f>E81+K81</f>
        <v>734950</v>
      </c>
      <c r="E81" s="293">
        <v>634950</v>
      </c>
      <c r="F81" s="293"/>
      <c r="G81" s="293"/>
      <c r="H81" s="293">
        <v>600000</v>
      </c>
      <c r="I81" s="293"/>
      <c r="J81" s="293"/>
      <c r="K81" s="293">
        <v>100000</v>
      </c>
    </row>
    <row r="82" spans="1:11" s="290" customFormat="1" ht="25.5">
      <c r="A82" s="294" t="s">
        <v>450</v>
      </c>
      <c r="B82" s="294"/>
      <c r="C82" s="295" t="s">
        <v>517</v>
      </c>
      <c r="D82" s="296">
        <f>D83+D84+D85+D86+D87</f>
        <v>1691722</v>
      </c>
      <c r="E82" s="296">
        <f aca="true" t="shared" si="20" ref="E82:K82">E83+E84+E85+E86+E87</f>
        <v>1691722</v>
      </c>
      <c r="F82" s="296">
        <f t="shared" si="20"/>
        <v>900068</v>
      </c>
      <c r="G82" s="296">
        <f t="shared" si="20"/>
        <v>155879</v>
      </c>
      <c r="H82" s="296">
        <f t="shared" si="20"/>
        <v>0</v>
      </c>
      <c r="I82" s="296">
        <f t="shared" si="20"/>
        <v>0</v>
      </c>
      <c r="J82" s="296">
        <f t="shared" si="20"/>
        <v>0</v>
      </c>
      <c r="K82" s="296">
        <f t="shared" si="20"/>
        <v>0</v>
      </c>
    </row>
    <row r="83" spans="1:11" s="284" customFormat="1" ht="12.75">
      <c r="A83" s="291"/>
      <c r="B83" s="291" t="s">
        <v>451</v>
      </c>
      <c r="C83" s="292" t="s">
        <v>518</v>
      </c>
      <c r="D83" s="293">
        <f>E83+K83</f>
        <v>697596</v>
      </c>
      <c r="E83" s="293">
        <v>697596</v>
      </c>
      <c r="F83" s="293">
        <v>447225</v>
      </c>
      <c r="G83" s="293">
        <v>77255</v>
      </c>
      <c r="H83" s="293"/>
      <c r="I83" s="293"/>
      <c r="J83" s="293"/>
      <c r="K83" s="293"/>
    </row>
    <row r="84" spans="1:11" s="284" customFormat="1" ht="12.75" customHeight="1">
      <c r="A84" s="291"/>
      <c r="B84" s="291" t="s">
        <v>452</v>
      </c>
      <c r="C84" s="292" t="s">
        <v>572</v>
      </c>
      <c r="D84" s="293">
        <f>E84+K84</f>
        <v>660796</v>
      </c>
      <c r="E84" s="293">
        <v>660796</v>
      </c>
      <c r="F84" s="293">
        <v>448223</v>
      </c>
      <c r="G84" s="293">
        <v>77684</v>
      </c>
      <c r="H84" s="293"/>
      <c r="I84" s="293"/>
      <c r="J84" s="293"/>
      <c r="K84" s="293"/>
    </row>
    <row r="85" spans="1:11" s="284" customFormat="1" ht="12.75">
      <c r="A85" s="291"/>
      <c r="B85" s="291" t="s">
        <v>453</v>
      </c>
      <c r="C85" s="292" t="s">
        <v>520</v>
      </c>
      <c r="D85" s="293">
        <f>E85+K85</f>
        <v>284000</v>
      </c>
      <c r="E85" s="293">
        <v>284000</v>
      </c>
      <c r="F85" s="293"/>
      <c r="G85" s="293"/>
      <c r="H85" s="293"/>
      <c r="I85" s="293"/>
      <c r="J85" s="293"/>
      <c r="K85" s="293"/>
    </row>
    <row r="86" spans="1:11" s="284" customFormat="1" ht="25.5">
      <c r="A86" s="291"/>
      <c r="B86" s="291" t="s">
        <v>454</v>
      </c>
      <c r="C86" s="292" t="s">
        <v>554</v>
      </c>
      <c r="D86" s="293">
        <f>E86+K86</f>
        <v>6850</v>
      </c>
      <c r="E86" s="293">
        <v>6850</v>
      </c>
      <c r="F86" s="293"/>
      <c r="G86" s="293"/>
      <c r="H86" s="293"/>
      <c r="I86" s="293"/>
      <c r="J86" s="293"/>
      <c r="K86" s="293"/>
    </row>
    <row r="87" spans="1:11" s="284" customFormat="1" ht="12.75">
      <c r="A87" s="291"/>
      <c r="B87" s="291" t="s">
        <v>455</v>
      </c>
      <c r="C87" s="292" t="s">
        <v>226</v>
      </c>
      <c r="D87" s="293">
        <f>E87+K87</f>
        <v>42480</v>
      </c>
      <c r="E87" s="293">
        <v>42480</v>
      </c>
      <c r="F87" s="293">
        <v>4620</v>
      </c>
      <c r="G87" s="293">
        <v>940</v>
      </c>
      <c r="H87" s="293"/>
      <c r="I87" s="293"/>
      <c r="J87" s="293"/>
      <c r="K87" s="293"/>
    </row>
    <row r="88" spans="1:11" s="290" customFormat="1" ht="25.5">
      <c r="A88" s="294" t="s">
        <v>388</v>
      </c>
      <c r="B88" s="294"/>
      <c r="C88" s="295" t="s">
        <v>389</v>
      </c>
      <c r="D88" s="296">
        <f>SUM(D89,D90,D91,D92,D93,D94,D95)</f>
        <v>11596256</v>
      </c>
      <c r="E88" s="296">
        <f aca="true" t="shared" si="21" ref="E88:K88">SUM(E89,E90,E91,E92,E93,E94,E95)</f>
        <v>5511256</v>
      </c>
      <c r="F88" s="296">
        <f t="shared" si="21"/>
        <v>0</v>
      </c>
      <c r="G88" s="296">
        <f t="shared" si="21"/>
        <v>0</v>
      </c>
      <c r="H88" s="296">
        <f t="shared" si="21"/>
        <v>0</v>
      </c>
      <c r="I88" s="296">
        <f t="shared" si="21"/>
        <v>0</v>
      </c>
      <c r="J88" s="296">
        <f t="shared" si="21"/>
        <v>0</v>
      </c>
      <c r="K88" s="296">
        <f t="shared" si="21"/>
        <v>6085000</v>
      </c>
    </row>
    <row r="89" spans="1:11" s="284" customFormat="1" ht="12.75">
      <c r="A89" s="291"/>
      <c r="B89" s="291" t="s">
        <v>115</v>
      </c>
      <c r="C89" s="292" t="s">
        <v>48</v>
      </c>
      <c r="D89" s="293">
        <f aca="true" t="shared" si="22" ref="D89:D95">E89+K89</f>
        <v>30000</v>
      </c>
      <c r="E89" s="293">
        <v>30000</v>
      </c>
      <c r="F89" s="293"/>
      <c r="G89" s="293"/>
      <c r="H89" s="293"/>
      <c r="I89" s="293"/>
      <c r="J89" s="293"/>
      <c r="K89" s="293"/>
    </row>
    <row r="90" spans="1:11" s="284" customFormat="1" ht="12.75">
      <c r="A90" s="291"/>
      <c r="B90" s="291" t="s">
        <v>456</v>
      </c>
      <c r="C90" s="292" t="s">
        <v>521</v>
      </c>
      <c r="D90" s="293">
        <f t="shared" si="22"/>
        <v>2381385</v>
      </c>
      <c r="E90" s="293">
        <v>2381385</v>
      </c>
      <c r="F90" s="293"/>
      <c r="G90" s="293"/>
      <c r="H90" s="293"/>
      <c r="I90" s="293"/>
      <c r="J90" s="293"/>
      <c r="K90" s="293"/>
    </row>
    <row r="91" spans="1:11" s="284" customFormat="1" ht="25.5">
      <c r="A91" s="291"/>
      <c r="B91" s="291" t="s">
        <v>457</v>
      </c>
      <c r="C91" s="292" t="s">
        <v>522</v>
      </c>
      <c r="D91" s="293">
        <f t="shared" si="22"/>
        <v>5015606</v>
      </c>
      <c r="E91" s="293">
        <v>1406606</v>
      </c>
      <c r="F91" s="293"/>
      <c r="G91" s="293"/>
      <c r="H91" s="293"/>
      <c r="I91" s="293"/>
      <c r="J91" s="293"/>
      <c r="K91" s="293">
        <v>3609000</v>
      </c>
    </row>
    <row r="92" spans="1:11" s="284" customFormat="1" ht="12.75">
      <c r="A92" s="291"/>
      <c r="B92" s="291" t="s">
        <v>458</v>
      </c>
      <c r="C92" s="292" t="s">
        <v>523</v>
      </c>
      <c r="D92" s="293">
        <f t="shared" si="22"/>
        <v>304891</v>
      </c>
      <c r="E92" s="293">
        <v>304891</v>
      </c>
      <c r="F92" s="293"/>
      <c r="G92" s="293"/>
      <c r="H92" s="293"/>
      <c r="I92" s="293"/>
      <c r="J92" s="293"/>
      <c r="K92" s="293"/>
    </row>
    <row r="93" spans="1:11" s="284" customFormat="1" ht="12.75">
      <c r="A93" s="291"/>
      <c r="B93" s="291" t="s">
        <v>459</v>
      </c>
      <c r="C93" s="292" t="s">
        <v>524</v>
      </c>
      <c r="D93" s="293">
        <f t="shared" si="22"/>
        <v>1423700</v>
      </c>
      <c r="E93" s="293">
        <v>936700</v>
      </c>
      <c r="F93" s="293"/>
      <c r="G93" s="293"/>
      <c r="H93" s="293"/>
      <c r="I93" s="293"/>
      <c r="J93" s="293"/>
      <c r="K93" s="293">
        <v>487000</v>
      </c>
    </row>
    <row r="94" spans="1:11" s="284" customFormat="1" ht="38.25">
      <c r="A94" s="291"/>
      <c r="B94" s="291" t="s">
        <v>390</v>
      </c>
      <c r="C94" s="292" t="s">
        <v>391</v>
      </c>
      <c r="D94" s="293">
        <f t="shared" si="22"/>
        <v>12000</v>
      </c>
      <c r="E94" s="293">
        <v>12000</v>
      </c>
      <c r="F94" s="293"/>
      <c r="G94" s="293"/>
      <c r="H94" s="293"/>
      <c r="I94" s="293"/>
      <c r="J94" s="293"/>
      <c r="K94" s="293"/>
    </row>
    <row r="95" spans="1:11" s="284" customFormat="1" ht="12.75">
      <c r="A95" s="291"/>
      <c r="B95" s="291" t="s">
        <v>394</v>
      </c>
      <c r="C95" s="292" t="s">
        <v>226</v>
      </c>
      <c r="D95" s="293">
        <f t="shared" si="22"/>
        <v>2428674</v>
      </c>
      <c r="E95" s="293">
        <v>439674</v>
      </c>
      <c r="F95" s="293"/>
      <c r="G95" s="293"/>
      <c r="H95" s="293"/>
      <c r="I95" s="293"/>
      <c r="J95" s="293"/>
      <c r="K95" s="293">
        <v>1989000</v>
      </c>
    </row>
    <row r="96" spans="1:11" s="290" customFormat="1" ht="25.5">
      <c r="A96" s="294" t="s">
        <v>460</v>
      </c>
      <c r="B96" s="294"/>
      <c r="C96" s="295" t="s">
        <v>555</v>
      </c>
      <c r="D96" s="296">
        <f>D97+D98+D99+D100+D101</f>
        <v>5698615</v>
      </c>
      <c r="E96" s="296">
        <f aca="true" t="shared" si="23" ref="E96:K96">E97+E98+E99+E100+E101</f>
        <v>4520115</v>
      </c>
      <c r="F96" s="296">
        <f t="shared" si="23"/>
        <v>6000</v>
      </c>
      <c r="G96" s="296">
        <f t="shared" si="23"/>
        <v>0</v>
      </c>
      <c r="H96" s="296">
        <f t="shared" si="23"/>
        <v>3078615</v>
      </c>
      <c r="I96" s="296">
        <f t="shared" si="23"/>
        <v>0</v>
      </c>
      <c r="J96" s="296">
        <f t="shared" si="23"/>
        <v>0</v>
      </c>
      <c r="K96" s="296">
        <f t="shared" si="23"/>
        <v>1178500</v>
      </c>
    </row>
    <row r="97" spans="1:11" s="284" customFormat="1" ht="25.5">
      <c r="A97" s="291"/>
      <c r="B97" s="291" t="s">
        <v>461</v>
      </c>
      <c r="C97" s="292" t="s">
        <v>525</v>
      </c>
      <c r="D97" s="293">
        <f>E97+K97</f>
        <v>2225000</v>
      </c>
      <c r="E97" s="293">
        <v>1325000</v>
      </c>
      <c r="F97" s="293"/>
      <c r="G97" s="293"/>
      <c r="H97" s="293">
        <v>1325000</v>
      </c>
      <c r="I97" s="293"/>
      <c r="J97" s="293"/>
      <c r="K97" s="293">
        <v>900000</v>
      </c>
    </row>
    <row r="98" spans="1:11" s="284" customFormat="1" ht="12.75">
      <c r="A98" s="291"/>
      <c r="B98" s="291" t="s">
        <v>462</v>
      </c>
      <c r="C98" s="292" t="s">
        <v>526</v>
      </c>
      <c r="D98" s="293">
        <f>E98+K98</f>
        <v>1155000</v>
      </c>
      <c r="E98" s="293">
        <v>1106000</v>
      </c>
      <c r="F98" s="293"/>
      <c r="G98" s="293"/>
      <c r="H98" s="293">
        <v>1106000</v>
      </c>
      <c r="I98" s="293"/>
      <c r="J98" s="293"/>
      <c r="K98" s="293">
        <v>49000</v>
      </c>
    </row>
    <row r="99" spans="1:11" s="284" customFormat="1" ht="12.75">
      <c r="A99" s="291"/>
      <c r="B99" s="291" t="s">
        <v>463</v>
      </c>
      <c r="C99" s="292" t="s">
        <v>527</v>
      </c>
      <c r="D99" s="293">
        <f>E99+K99</f>
        <v>501965</v>
      </c>
      <c r="E99" s="293">
        <v>392465</v>
      </c>
      <c r="F99" s="293"/>
      <c r="G99" s="293"/>
      <c r="H99" s="293">
        <v>392465</v>
      </c>
      <c r="I99" s="293"/>
      <c r="J99" s="293"/>
      <c r="K99" s="293">
        <v>109500</v>
      </c>
    </row>
    <row r="100" spans="1:11" s="284" customFormat="1" ht="25.5">
      <c r="A100" s="291"/>
      <c r="B100" s="291" t="s">
        <v>40</v>
      </c>
      <c r="C100" s="292" t="s">
        <v>49</v>
      </c>
      <c r="D100" s="293">
        <f>E100+K100</f>
        <v>120000</v>
      </c>
      <c r="E100" s="293"/>
      <c r="F100" s="293"/>
      <c r="G100" s="293"/>
      <c r="H100" s="293"/>
      <c r="I100" s="293"/>
      <c r="J100" s="293"/>
      <c r="K100" s="293">
        <v>120000</v>
      </c>
    </row>
    <row r="101" spans="1:11" s="284" customFormat="1" ht="12.75">
      <c r="A101" s="291"/>
      <c r="B101" s="291" t="s">
        <v>464</v>
      </c>
      <c r="C101" s="292" t="s">
        <v>226</v>
      </c>
      <c r="D101" s="293">
        <f>E101+K101</f>
        <v>1696650</v>
      </c>
      <c r="E101" s="293">
        <v>1696650</v>
      </c>
      <c r="F101" s="293">
        <v>6000</v>
      </c>
      <c r="G101" s="293"/>
      <c r="H101" s="293">
        <v>255150</v>
      </c>
      <c r="I101" s="293"/>
      <c r="J101" s="293"/>
      <c r="K101" s="293"/>
    </row>
    <row r="102" spans="1:11" s="290" customFormat="1" ht="12.75">
      <c r="A102" s="294" t="s">
        <v>465</v>
      </c>
      <c r="B102" s="294"/>
      <c r="C102" s="295" t="s">
        <v>528</v>
      </c>
      <c r="D102" s="296">
        <f>D103+D104</f>
        <v>14149000</v>
      </c>
      <c r="E102" s="296">
        <f aca="true" t="shared" si="24" ref="E102:K102">E103+E104</f>
        <v>2846000</v>
      </c>
      <c r="F102" s="296">
        <f t="shared" si="24"/>
        <v>0</v>
      </c>
      <c r="G102" s="296">
        <f t="shared" si="24"/>
        <v>170000</v>
      </c>
      <c r="H102" s="296">
        <f t="shared" si="24"/>
        <v>1630000</v>
      </c>
      <c r="I102" s="296">
        <f t="shared" si="24"/>
        <v>0</v>
      </c>
      <c r="J102" s="296">
        <f t="shared" si="24"/>
        <v>0</v>
      </c>
      <c r="K102" s="296">
        <f t="shared" si="24"/>
        <v>11303000</v>
      </c>
    </row>
    <row r="103" spans="1:11" s="284" customFormat="1" ht="12.75">
      <c r="A103" s="291"/>
      <c r="B103" s="291" t="s">
        <v>466</v>
      </c>
      <c r="C103" s="292" t="s">
        <v>529</v>
      </c>
      <c r="D103" s="293">
        <f>E103+K103</f>
        <v>11063000</v>
      </c>
      <c r="E103" s="293"/>
      <c r="F103" s="293"/>
      <c r="G103" s="293"/>
      <c r="H103" s="293"/>
      <c r="I103" s="293"/>
      <c r="J103" s="293"/>
      <c r="K103" s="293">
        <v>11063000</v>
      </c>
    </row>
    <row r="104" spans="1:11" s="284" customFormat="1" ht="25.5">
      <c r="A104" s="291"/>
      <c r="B104" s="291" t="s">
        <v>467</v>
      </c>
      <c r="C104" s="292" t="s">
        <v>530</v>
      </c>
      <c r="D104" s="293">
        <f>E104+K104</f>
        <v>3086000</v>
      </c>
      <c r="E104" s="293">
        <v>2846000</v>
      </c>
      <c r="F104" s="293"/>
      <c r="G104" s="293">
        <v>170000</v>
      </c>
      <c r="H104" s="293">
        <v>1630000</v>
      </c>
      <c r="I104" s="293"/>
      <c r="J104" s="293"/>
      <c r="K104" s="293">
        <v>240000</v>
      </c>
    </row>
    <row r="105" spans="1:11" s="284" customFormat="1" ht="12.75">
      <c r="A105" s="394" t="s">
        <v>488</v>
      </c>
      <c r="B105" s="395"/>
      <c r="C105" s="396"/>
      <c r="D105" s="297">
        <f>SUM(D102,D96,D88,D82,D79,D68,D62,D53,D50,D48,D46,D41,D34,D30,D26,D23,D19,D17,D15,D13,D9)+D39</f>
        <v>137648229</v>
      </c>
      <c r="E105" s="297">
        <f aca="true" t="shared" si="25" ref="E105:K105">SUM(E102,E96,E88,E82,E79,E68,E62,E53,E50,E48,E46,E41,E34,E30,E26,E23,E19,E17,E15,E13,E9)+E39</f>
        <v>92282316</v>
      </c>
      <c r="F105" s="297">
        <f t="shared" si="25"/>
        <v>27705579</v>
      </c>
      <c r="G105" s="297">
        <f t="shared" si="25"/>
        <v>4970426</v>
      </c>
      <c r="H105" s="297">
        <f t="shared" si="25"/>
        <v>12477178</v>
      </c>
      <c r="I105" s="297">
        <f t="shared" si="25"/>
        <v>2190500</v>
      </c>
      <c r="J105" s="297">
        <f t="shared" si="25"/>
        <v>0</v>
      </c>
      <c r="K105" s="297">
        <f t="shared" si="25"/>
        <v>45365913</v>
      </c>
    </row>
    <row r="106" spans="1:11" s="284" customFormat="1" ht="12.75">
      <c r="A106" s="391" t="s">
        <v>50</v>
      </c>
      <c r="B106" s="392"/>
      <c r="C106" s="392"/>
      <c r="D106" s="392"/>
      <c r="E106" s="392"/>
      <c r="F106" s="392"/>
      <c r="G106" s="392"/>
      <c r="H106" s="392"/>
      <c r="I106" s="392"/>
      <c r="J106" s="392"/>
      <c r="K106" s="393"/>
    </row>
    <row r="107" spans="1:11" s="290" customFormat="1" ht="12.75">
      <c r="A107" s="294" t="s">
        <v>231</v>
      </c>
      <c r="B107" s="294"/>
      <c r="C107" s="295" t="s">
        <v>232</v>
      </c>
      <c r="D107" s="296">
        <f>D109+D108</f>
        <v>70218383</v>
      </c>
      <c r="E107" s="296">
        <f aca="true" t="shared" si="26" ref="E107:K107">E109+E108</f>
        <v>24514383</v>
      </c>
      <c r="F107" s="296">
        <f t="shared" si="26"/>
        <v>9809700</v>
      </c>
      <c r="G107" s="296">
        <f t="shared" si="26"/>
        <v>1697720</v>
      </c>
      <c r="H107" s="296">
        <f t="shared" si="26"/>
        <v>0</v>
      </c>
      <c r="I107" s="296">
        <f t="shared" si="26"/>
        <v>0</v>
      </c>
      <c r="J107" s="296">
        <f t="shared" si="26"/>
        <v>0</v>
      </c>
      <c r="K107" s="296">
        <f t="shared" si="26"/>
        <v>45704000</v>
      </c>
    </row>
    <row r="108" spans="1:11" s="284" customFormat="1" ht="12.75">
      <c r="A108" s="291"/>
      <c r="B108" s="291" t="s">
        <v>558</v>
      </c>
      <c r="C108" s="292" t="s">
        <v>559</v>
      </c>
      <c r="D108" s="293">
        <f>E108+K108</f>
        <v>1448000</v>
      </c>
      <c r="E108" s="293"/>
      <c r="F108" s="298"/>
      <c r="G108" s="293"/>
      <c r="H108" s="293"/>
      <c r="I108" s="293"/>
      <c r="J108" s="298"/>
      <c r="K108" s="293">
        <v>1448000</v>
      </c>
    </row>
    <row r="109" spans="1:11" s="284" customFormat="1" ht="25.5">
      <c r="A109" s="291"/>
      <c r="B109" s="291" t="s">
        <v>468</v>
      </c>
      <c r="C109" s="292" t="s">
        <v>531</v>
      </c>
      <c r="D109" s="293">
        <f>E109+K109</f>
        <v>68770383</v>
      </c>
      <c r="E109" s="293">
        <v>24514383</v>
      </c>
      <c r="F109" s="293">
        <v>9809700</v>
      </c>
      <c r="G109" s="293">
        <v>1697720</v>
      </c>
      <c r="H109" s="293"/>
      <c r="I109" s="293"/>
      <c r="J109" s="293"/>
      <c r="K109" s="293">
        <v>44256000</v>
      </c>
    </row>
    <row r="110" spans="1:11" s="290" customFormat="1" ht="12.75">
      <c r="A110" s="294" t="s">
        <v>241</v>
      </c>
      <c r="B110" s="294"/>
      <c r="C110" s="295" t="s">
        <v>242</v>
      </c>
      <c r="D110" s="296">
        <f>D111</f>
        <v>89500</v>
      </c>
      <c r="E110" s="296">
        <f aca="true" t="shared" si="27" ref="E110:K110">E111</f>
        <v>79500</v>
      </c>
      <c r="F110" s="296">
        <f t="shared" si="27"/>
        <v>0</v>
      </c>
      <c r="G110" s="296">
        <f t="shared" si="27"/>
        <v>0</v>
      </c>
      <c r="H110" s="296">
        <f t="shared" si="27"/>
        <v>0</v>
      </c>
      <c r="I110" s="296">
        <f t="shared" si="27"/>
        <v>0</v>
      </c>
      <c r="J110" s="296">
        <f t="shared" si="27"/>
        <v>0</v>
      </c>
      <c r="K110" s="296">
        <f t="shared" si="27"/>
        <v>10000</v>
      </c>
    </row>
    <row r="111" spans="1:11" s="284" customFormat="1" ht="25.5">
      <c r="A111" s="291"/>
      <c r="B111" s="291" t="s">
        <v>243</v>
      </c>
      <c r="C111" s="292" t="s">
        <v>244</v>
      </c>
      <c r="D111" s="293">
        <f>E111+K111</f>
        <v>89500</v>
      </c>
      <c r="E111" s="293">
        <f>30000+49500</f>
        <v>79500</v>
      </c>
      <c r="F111" s="293"/>
      <c r="G111" s="293"/>
      <c r="H111" s="293"/>
      <c r="I111" s="293"/>
      <c r="J111" s="293"/>
      <c r="K111" s="293">
        <v>10000</v>
      </c>
    </row>
    <row r="112" spans="1:11" s="290" customFormat="1" ht="12.75">
      <c r="A112" s="294" t="s">
        <v>256</v>
      </c>
      <c r="B112" s="294"/>
      <c r="C112" s="295" t="s">
        <v>257</v>
      </c>
      <c r="D112" s="296">
        <f>D113+D114+D115</f>
        <v>442200</v>
      </c>
      <c r="E112" s="296">
        <f aca="true" t="shared" si="28" ref="E112:K112">E113+E114+E115</f>
        <v>442200</v>
      </c>
      <c r="F112" s="296">
        <f t="shared" si="28"/>
        <v>272044</v>
      </c>
      <c r="G112" s="296">
        <f t="shared" si="28"/>
        <v>47056</v>
      </c>
      <c r="H112" s="296">
        <f t="shared" si="28"/>
        <v>0</v>
      </c>
      <c r="I112" s="296">
        <f t="shared" si="28"/>
        <v>0</v>
      </c>
      <c r="J112" s="296">
        <f t="shared" si="28"/>
        <v>0</v>
      </c>
      <c r="K112" s="296">
        <f t="shared" si="28"/>
        <v>0</v>
      </c>
    </row>
    <row r="113" spans="1:11" s="284" customFormat="1" ht="25.5">
      <c r="A113" s="291"/>
      <c r="B113" s="291" t="s">
        <v>258</v>
      </c>
      <c r="C113" s="292" t="s">
        <v>259</v>
      </c>
      <c r="D113" s="293">
        <f>E113+K113</f>
        <v>45000</v>
      </c>
      <c r="E113" s="293">
        <v>45000</v>
      </c>
      <c r="F113" s="293"/>
      <c r="G113" s="293"/>
      <c r="H113" s="293"/>
      <c r="I113" s="293"/>
      <c r="J113" s="293"/>
      <c r="K113" s="293"/>
    </row>
    <row r="114" spans="1:11" s="284" customFormat="1" ht="25.5">
      <c r="A114" s="291"/>
      <c r="B114" s="291" t="s">
        <v>260</v>
      </c>
      <c r="C114" s="292" t="s">
        <v>261</v>
      </c>
      <c r="D114" s="293">
        <f>E114+K114</f>
        <v>31000</v>
      </c>
      <c r="E114" s="293">
        <f>20000+11000</f>
        <v>31000</v>
      </c>
      <c r="F114" s="293"/>
      <c r="G114" s="293"/>
      <c r="H114" s="293"/>
      <c r="I114" s="293"/>
      <c r="J114" s="293"/>
      <c r="K114" s="293"/>
    </row>
    <row r="115" spans="1:11" s="284" customFormat="1" ht="12.75">
      <c r="A115" s="291"/>
      <c r="B115" s="291" t="s">
        <v>262</v>
      </c>
      <c r="C115" s="292" t="s">
        <v>263</v>
      </c>
      <c r="D115" s="293">
        <f>E115+K115</f>
        <v>366200</v>
      </c>
      <c r="E115" s="293">
        <f>10000+356200</f>
        <v>366200</v>
      </c>
      <c r="F115" s="293">
        <v>272044</v>
      </c>
      <c r="G115" s="293">
        <v>47056</v>
      </c>
      <c r="H115" s="293"/>
      <c r="I115" s="293"/>
      <c r="J115" s="293"/>
      <c r="K115" s="293"/>
    </row>
    <row r="116" spans="1:11" s="290" customFormat="1" ht="12.75">
      <c r="A116" s="294" t="s">
        <v>268</v>
      </c>
      <c r="B116" s="294"/>
      <c r="C116" s="295" t="s">
        <v>269</v>
      </c>
      <c r="D116" s="296">
        <f>D118+D117+D119</f>
        <v>1819994</v>
      </c>
      <c r="E116" s="296">
        <f aca="true" t="shared" si="29" ref="E116:K116">E118+E117+E119</f>
        <v>1819994</v>
      </c>
      <c r="F116" s="296">
        <f t="shared" si="29"/>
        <v>1243436</v>
      </c>
      <c r="G116" s="296">
        <f t="shared" si="29"/>
        <v>239711</v>
      </c>
      <c r="H116" s="296">
        <f t="shared" si="29"/>
        <v>0</v>
      </c>
      <c r="I116" s="296">
        <f t="shared" si="29"/>
        <v>0</v>
      </c>
      <c r="J116" s="296">
        <f t="shared" si="29"/>
        <v>0</v>
      </c>
      <c r="K116" s="296">
        <f t="shared" si="29"/>
        <v>0</v>
      </c>
    </row>
    <row r="117" spans="1:11" s="284" customFormat="1" ht="12.75">
      <c r="A117" s="291"/>
      <c r="B117" s="291" t="s">
        <v>270</v>
      </c>
      <c r="C117" s="292" t="s">
        <v>271</v>
      </c>
      <c r="D117" s="293">
        <f>E117+K117</f>
        <v>82100</v>
      </c>
      <c r="E117" s="293">
        <v>82100</v>
      </c>
      <c r="F117" s="293">
        <v>68131</v>
      </c>
      <c r="G117" s="293">
        <v>12109</v>
      </c>
      <c r="H117" s="293"/>
      <c r="I117" s="293"/>
      <c r="J117" s="293"/>
      <c r="K117" s="293"/>
    </row>
    <row r="118" spans="1:11" s="284" customFormat="1" ht="12.75">
      <c r="A118" s="291"/>
      <c r="B118" s="291" t="s">
        <v>275</v>
      </c>
      <c r="C118" s="292" t="s">
        <v>276</v>
      </c>
      <c r="D118" s="293">
        <f>E118+K118</f>
        <v>1717894</v>
      </c>
      <c r="E118" s="293">
        <v>1717894</v>
      </c>
      <c r="F118" s="293">
        <v>1165705</v>
      </c>
      <c r="G118" s="293">
        <v>227117</v>
      </c>
      <c r="H118" s="293"/>
      <c r="I118" s="293"/>
      <c r="J118" s="293"/>
      <c r="K118" s="293"/>
    </row>
    <row r="119" spans="1:11" s="284" customFormat="1" ht="12.75">
      <c r="A119" s="291"/>
      <c r="B119" s="291" t="s">
        <v>281</v>
      </c>
      <c r="C119" s="292" t="s">
        <v>282</v>
      </c>
      <c r="D119" s="293">
        <f>E119+K119</f>
        <v>20000</v>
      </c>
      <c r="E119" s="293">
        <f>17000+3000</f>
        <v>20000</v>
      </c>
      <c r="F119" s="293">
        <v>9600</v>
      </c>
      <c r="G119" s="293">
        <v>485</v>
      </c>
      <c r="H119" s="293"/>
      <c r="I119" s="293"/>
      <c r="J119" s="293"/>
      <c r="K119" s="293"/>
    </row>
    <row r="120" spans="1:11" s="290" customFormat="1" ht="25.5">
      <c r="A120" s="294" t="s">
        <v>287</v>
      </c>
      <c r="B120" s="294"/>
      <c r="C120" s="295" t="s">
        <v>288</v>
      </c>
      <c r="D120" s="296">
        <f>SUM(D121,D122,D123)</f>
        <v>3665000</v>
      </c>
      <c r="E120" s="296">
        <f aca="true" t="shared" si="30" ref="E120:K120">SUM(E121,E122,E123)</f>
        <v>3665000</v>
      </c>
      <c r="F120" s="296">
        <f t="shared" si="30"/>
        <v>2872524</v>
      </c>
      <c r="G120" s="296">
        <f t="shared" si="30"/>
        <v>9315</v>
      </c>
      <c r="H120" s="296">
        <f t="shared" si="30"/>
        <v>100000</v>
      </c>
      <c r="I120" s="296">
        <f t="shared" si="30"/>
        <v>0</v>
      </c>
      <c r="J120" s="296">
        <f t="shared" si="30"/>
        <v>0</v>
      </c>
      <c r="K120" s="296">
        <f t="shared" si="30"/>
        <v>0</v>
      </c>
    </row>
    <row r="121" spans="1:11" s="284" customFormat="1" ht="12.75">
      <c r="A121" s="291"/>
      <c r="B121" s="291" t="s">
        <v>469</v>
      </c>
      <c r="C121" s="292" t="s">
        <v>532</v>
      </c>
      <c r="D121" s="293">
        <f>E121+K121</f>
        <v>100000</v>
      </c>
      <c r="E121" s="293">
        <v>100000</v>
      </c>
      <c r="F121" s="293"/>
      <c r="G121" s="293"/>
      <c r="H121" s="293">
        <v>100000</v>
      </c>
      <c r="I121" s="293"/>
      <c r="J121" s="293"/>
      <c r="K121" s="293"/>
    </row>
    <row r="122" spans="1:11" s="284" customFormat="1" ht="12.75">
      <c r="A122" s="291"/>
      <c r="B122" s="291" t="s">
        <v>671</v>
      </c>
      <c r="C122" s="292" t="s">
        <v>672</v>
      </c>
      <c r="D122" s="293">
        <f>SUM(E122)</f>
        <v>7000</v>
      </c>
      <c r="E122" s="293">
        <v>7000</v>
      </c>
      <c r="F122" s="293"/>
      <c r="G122" s="293"/>
      <c r="H122" s="293"/>
      <c r="I122" s="293"/>
      <c r="J122" s="293"/>
      <c r="K122" s="293"/>
    </row>
    <row r="123" spans="1:11" s="284" customFormat="1" ht="25.5">
      <c r="A123" s="291"/>
      <c r="B123" s="291" t="s">
        <v>289</v>
      </c>
      <c r="C123" s="292" t="s">
        <v>290</v>
      </c>
      <c r="D123" s="293">
        <f>SUM(E123)</f>
        <v>3558000</v>
      </c>
      <c r="E123" s="293">
        <v>3558000</v>
      </c>
      <c r="F123" s="293">
        <v>2872524</v>
      </c>
      <c r="G123" s="293">
        <v>9315</v>
      </c>
      <c r="H123" s="293"/>
      <c r="I123" s="293"/>
      <c r="J123" s="293"/>
      <c r="K123" s="293"/>
    </row>
    <row r="124" spans="1:11" s="290" customFormat="1" ht="12.75">
      <c r="A124" s="294" t="s">
        <v>433</v>
      </c>
      <c r="B124" s="294"/>
      <c r="C124" s="295" t="s">
        <v>504</v>
      </c>
      <c r="D124" s="296">
        <f aca="true" t="shared" si="31" ref="D124:K124">D125+D126+D127+D128+D129+D130+D131+D132+D133</f>
        <v>13566262</v>
      </c>
      <c r="E124" s="296">
        <f t="shared" si="31"/>
        <v>13566262</v>
      </c>
      <c r="F124" s="296">
        <f t="shared" si="31"/>
        <v>7352516</v>
      </c>
      <c r="G124" s="296">
        <f t="shared" si="31"/>
        <v>1245836</v>
      </c>
      <c r="H124" s="296">
        <f t="shared" si="31"/>
        <v>2144207</v>
      </c>
      <c r="I124" s="296">
        <f t="shared" si="31"/>
        <v>0</v>
      </c>
      <c r="J124" s="296">
        <f t="shared" si="31"/>
        <v>0</v>
      </c>
      <c r="K124" s="296">
        <f t="shared" si="31"/>
        <v>0</v>
      </c>
    </row>
    <row r="125" spans="1:11" s="284" customFormat="1" ht="12.75">
      <c r="A125" s="291"/>
      <c r="B125" s="291" t="s">
        <v>470</v>
      </c>
      <c r="C125" s="292" t="s">
        <v>556</v>
      </c>
      <c r="D125" s="293">
        <f aca="true" t="shared" si="32" ref="D125:D133">E125+K125</f>
        <v>812813</v>
      </c>
      <c r="E125" s="293">
        <v>812813</v>
      </c>
      <c r="F125" s="293">
        <v>576958</v>
      </c>
      <c r="G125" s="293">
        <v>95135</v>
      </c>
      <c r="H125" s="293"/>
      <c r="I125" s="293"/>
      <c r="J125" s="293"/>
      <c r="K125" s="293"/>
    </row>
    <row r="126" spans="1:11" s="284" customFormat="1" ht="12.75">
      <c r="A126" s="291"/>
      <c r="B126" s="291" t="s">
        <v>471</v>
      </c>
      <c r="C126" s="292" t="s">
        <v>533</v>
      </c>
      <c r="D126" s="293">
        <f t="shared" si="32"/>
        <v>616776</v>
      </c>
      <c r="E126" s="293">
        <v>616776</v>
      </c>
      <c r="F126" s="293">
        <v>470281</v>
      </c>
      <c r="G126" s="293">
        <v>80412</v>
      </c>
      <c r="H126" s="293"/>
      <c r="I126" s="293"/>
      <c r="J126" s="293"/>
      <c r="K126" s="293"/>
    </row>
    <row r="127" spans="1:11" s="284" customFormat="1" ht="12.75">
      <c r="A127" s="291"/>
      <c r="B127" s="291" t="s">
        <v>472</v>
      </c>
      <c r="C127" s="292" t="s">
        <v>534</v>
      </c>
      <c r="D127" s="293">
        <f t="shared" si="32"/>
        <v>4770914</v>
      </c>
      <c r="E127" s="293">
        <v>4770914</v>
      </c>
      <c r="F127" s="293">
        <v>2345180</v>
      </c>
      <c r="G127" s="293">
        <v>385600</v>
      </c>
      <c r="H127" s="293">
        <v>1139005</v>
      </c>
      <c r="I127" s="293"/>
      <c r="J127" s="293"/>
      <c r="K127" s="293"/>
    </row>
    <row r="128" spans="1:11" s="284" customFormat="1" ht="12.75">
      <c r="A128" s="291"/>
      <c r="B128" s="291" t="s">
        <v>473</v>
      </c>
      <c r="C128" s="292" t="s">
        <v>535</v>
      </c>
      <c r="D128" s="293">
        <f t="shared" si="32"/>
        <v>64283</v>
      </c>
      <c r="E128" s="293">
        <v>64283</v>
      </c>
      <c r="F128" s="293">
        <v>46352</v>
      </c>
      <c r="G128" s="293">
        <v>8191</v>
      </c>
      <c r="H128" s="293"/>
      <c r="I128" s="293"/>
      <c r="J128" s="293"/>
      <c r="K128" s="293"/>
    </row>
    <row r="129" spans="1:11" s="284" customFormat="1" ht="12.75">
      <c r="A129" s="291"/>
      <c r="B129" s="291" t="s">
        <v>474</v>
      </c>
      <c r="C129" s="292" t="s">
        <v>536</v>
      </c>
      <c r="D129" s="293">
        <f t="shared" si="32"/>
        <v>6202047</v>
      </c>
      <c r="E129" s="293">
        <v>6202047</v>
      </c>
      <c r="F129" s="293">
        <v>3176234</v>
      </c>
      <c r="G129" s="293">
        <v>551880</v>
      </c>
      <c r="H129" s="293">
        <v>1005202</v>
      </c>
      <c r="I129" s="293"/>
      <c r="J129" s="293"/>
      <c r="K129" s="293"/>
    </row>
    <row r="130" spans="1:11" s="284" customFormat="1" ht="12.75">
      <c r="A130" s="291"/>
      <c r="B130" s="291" t="s">
        <v>475</v>
      </c>
      <c r="C130" s="292" t="s">
        <v>537</v>
      </c>
      <c r="D130" s="293">
        <f t="shared" si="32"/>
        <v>700206</v>
      </c>
      <c r="E130" s="293">
        <v>700206</v>
      </c>
      <c r="F130" s="293">
        <v>527758</v>
      </c>
      <c r="G130" s="293">
        <v>87905</v>
      </c>
      <c r="H130" s="293"/>
      <c r="I130" s="293"/>
      <c r="J130" s="293"/>
      <c r="K130" s="293"/>
    </row>
    <row r="131" spans="1:11" s="284" customFormat="1" ht="38.25">
      <c r="A131" s="291"/>
      <c r="B131" s="291" t="s">
        <v>476</v>
      </c>
      <c r="C131" s="292" t="s">
        <v>538</v>
      </c>
      <c r="D131" s="293">
        <f t="shared" si="32"/>
        <v>337087</v>
      </c>
      <c r="E131" s="293">
        <v>337087</v>
      </c>
      <c r="F131" s="293">
        <v>209753</v>
      </c>
      <c r="G131" s="293">
        <v>36713</v>
      </c>
      <c r="H131" s="293"/>
      <c r="I131" s="293"/>
      <c r="J131" s="293"/>
      <c r="K131" s="293"/>
    </row>
    <row r="132" spans="1:11" s="284" customFormat="1" ht="25.5">
      <c r="A132" s="291"/>
      <c r="B132" s="291" t="s">
        <v>439</v>
      </c>
      <c r="C132" s="292" t="s">
        <v>554</v>
      </c>
      <c r="D132" s="293">
        <f t="shared" si="32"/>
        <v>62136</v>
      </c>
      <c r="E132" s="293">
        <v>62136</v>
      </c>
      <c r="F132" s="293"/>
      <c r="G132" s="293"/>
      <c r="H132" s="293"/>
      <c r="I132" s="293"/>
      <c r="J132" s="293"/>
      <c r="K132" s="293"/>
    </row>
    <row r="133" spans="1:11" s="284" customFormat="1" ht="12.75" hidden="1">
      <c r="A133" s="291"/>
      <c r="B133" s="291" t="s">
        <v>440</v>
      </c>
      <c r="C133" s="292" t="s">
        <v>226</v>
      </c>
      <c r="D133" s="293">
        <f t="shared" si="32"/>
        <v>0</v>
      </c>
      <c r="E133" s="293"/>
      <c r="F133" s="293"/>
      <c r="G133" s="293"/>
      <c r="H133" s="293"/>
      <c r="I133" s="293"/>
      <c r="J133" s="293"/>
      <c r="K133" s="293"/>
    </row>
    <row r="134" spans="1:11" s="290" customFormat="1" ht="12.75">
      <c r="A134" s="294" t="s">
        <v>360</v>
      </c>
      <c r="B134" s="294"/>
      <c r="C134" s="295" t="s">
        <v>361</v>
      </c>
      <c r="D134" s="296">
        <f>D135+D136+D137</f>
        <v>1295090</v>
      </c>
      <c r="E134" s="296">
        <f aca="true" t="shared" si="33" ref="E134:K134">E135+E136+E137</f>
        <v>1226040</v>
      </c>
      <c r="F134" s="296">
        <f t="shared" si="33"/>
        <v>4900</v>
      </c>
      <c r="G134" s="296">
        <f t="shared" si="33"/>
        <v>0</v>
      </c>
      <c r="H134" s="296">
        <f t="shared" si="33"/>
        <v>567140</v>
      </c>
      <c r="I134" s="296">
        <f t="shared" si="33"/>
        <v>0</v>
      </c>
      <c r="J134" s="296">
        <f t="shared" si="33"/>
        <v>0</v>
      </c>
      <c r="K134" s="296">
        <f t="shared" si="33"/>
        <v>69050</v>
      </c>
    </row>
    <row r="135" spans="1:11" s="284" customFormat="1" ht="12.75">
      <c r="A135" s="291"/>
      <c r="B135" s="291" t="s">
        <v>477</v>
      </c>
      <c r="C135" s="292" t="s">
        <v>539</v>
      </c>
      <c r="D135" s="293">
        <f>E135+K135</f>
        <v>500000</v>
      </c>
      <c r="E135" s="293">
        <v>500000</v>
      </c>
      <c r="F135" s="293"/>
      <c r="G135" s="293"/>
      <c r="H135" s="293">
        <v>500000</v>
      </c>
      <c r="I135" s="293"/>
      <c r="J135" s="293"/>
      <c r="K135" s="293"/>
    </row>
    <row r="136" spans="1:11" s="284" customFormat="1" ht="25.5">
      <c r="A136" s="291"/>
      <c r="B136" s="291" t="s">
        <v>478</v>
      </c>
      <c r="C136" s="292" t="s">
        <v>540</v>
      </c>
      <c r="D136" s="293">
        <f>E136+K136</f>
        <v>141090</v>
      </c>
      <c r="E136" s="293">
        <v>72040</v>
      </c>
      <c r="F136" s="293">
        <v>4900</v>
      </c>
      <c r="G136" s="293"/>
      <c r="H136" s="293">
        <v>67140</v>
      </c>
      <c r="I136" s="293"/>
      <c r="J136" s="293"/>
      <c r="K136" s="293">
        <v>69050</v>
      </c>
    </row>
    <row r="137" spans="1:11" s="284" customFormat="1" ht="51">
      <c r="A137" s="291"/>
      <c r="B137" s="291" t="s">
        <v>362</v>
      </c>
      <c r="C137" s="292" t="s">
        <v>553</v>
      </c>
      <c r="D137" s="293">
        <f>E137+K137</f>
        <v>654000</v>
      </c>
      <c r="E137" s="293">
        <v>654000</v>
      </c>
      <c r="F137" s="293"/>
      <c r="G137" s="293"/>
      <c r="H137" s="293"/>
      <c r="I137" s="293"/>
      <c r="J137" s="293"/>
      <c r="K137" s="293"/>
    </row>
    <row r="138" spans="1:11" s="290" customFormat="1" ht="12.75">
      <c r="A138" s="294" t="s">
        <v>364</v>
      </c>
      <c r="B138" s="294"/>
      <c r="C138" s="295" t="s">
        <v>365</v>
      </c>
      <c r="D138" s="296">
        <f>D139+D140+D141+D142+D143</f>
        <v>3022411</v>
      </c>
      <c r="E138" s="296">
        <f aca="true" t="shared" si="34" ref="E138:K138">E139+E140+E141+E142+E143</f>
        <v>3022411</v>
      </c>
      <c r="F138" s="296">
        <f t="shared" si="34"/>
        <v>558746</v>
      </c>
      <c r="G138" s="296">
        <f t="shared" si="34"/>
        <v>90348</v>
      </c>
      <c r="H138" s="296">
        <f t="shared" si="34"/>
        <v>866310</v>
      </c>
      <c r="I138" s="296">
        <f t="shared" si="34"/>
        <v>0</v>
      </c>
      <c r="J138" s="296">
        <f t="shared" si="34"/>
        <v>0</v>
      </c>
      <c r="K138" s="296">
        <f t="shared" si="34"/>
        <v>0</v>
      </c>
    </row>
    <row r="139" spans="1:11" s="284" customFormat="1" ht="12.75">
      <c r="A139" s="291"/>
      <c r="B139" s="291" t="s">
        <v>479</v>
      </c>
      <c r="C139" s="292" t="s">
        <v>541</v>
      </c>
      <c r="D139" s="293">
        <f>E139+K139</f>
        <v>833233</v>
      </c>
      <c r="E139" s="293">
        <v>833233</v>
      </c>
      <c r="F139" s="293"/>
      <c r="G139" s="293"/>
      <c r="H139" s="293">
        <v>744295</v>
      </c>
      <c r="I139" s="293"/>
      <c r="J139" s="293"/>
      <c r="K139" s="293"/>
    </row>
    <row r="140" spans="1:11" s="284" customFormat="1" ht="12.75">
      <c r="A140" s="291"/>
      <c r="B140" s="291" t="s">
        <v>366</v>
      </c>
      <c r="C140" s="292" t="s">
        <v>367</v>
      </c>
      <c r="D140" s="293">
        <f>E140+K140</f>
        <v>430000</v>
      </c>
      <c r="E140" s="293">
        <f>115000+315000</f>
        <v>430000</v>
      </c>
      <c r="F140" s="293">
        <f>15000+208203</f>
        <v>223203</v>
      </c>
      <c r="G140" s="293">
        <v>31186</v>
      </c>
      <c r="H140" s="293"/>
      <c r="I140" s="293"/>
      <c r="J140" s="293"/>
      <c r="K140" s="293"/>
    </row>
    <row r="141" spans="1:11" s="284" customFormat="1" ht="12.75" customHeight="1">
      <c r="A141" s="291"/>
      <c r="B141" s="291" t="s">
        <v>368</v>
      </c>
      <c r="C141" s="292" t="s">
        <v>369</v>
      </c>
      <c r="D141" s="293">
        <f>E141+K141</f>
        <v>1548306</v>
      </c>
      <c r="E141" s="293">
        <f>1465797+82509</f>
        <v>1548306</v>
      </c>
      <c r="F141" s="293">
        <v>189170</v>
      </c>
      <c r="G141" s="293">
        <v>33843</v>
      </c>
      <c r="H141" s="293">
        <v>122015</v>
      </c>
      <c r="I141" s="293"/>
      <c r="J141" s="293"/>
      <c r="K141" s="293"/>
    </row>
    <row r="142" spans="1:11" s="284" customFormat="1" ht="12.75">
      <c r="A142" s="291"/>
      <c r="B142" s="291" t="s">
        <v>542</v>
      </c>
      <c r="C142" s="292" t="s">
        <v>543</v>
      </c>
      <c r="D142" s="293">
        <f>E142+K142</f>
        <v>182400</v>
      </c>
      <c r="E142" s="293">
        <v>182400</v>
      </c>
      <c r="F142" s="293">
        <v>146373</v>
      </c>
      <c r="G142" s="293">
        <v>25319</v>
      </c>
      <c r="H142" s="293"/>
      <c r="I142" s="293"/>
      <c r="J142" s="293"/>
      <c r="K142" s="293"/>
    </row>
    <row r="143" spans="1:11" s="284" customFormat="1" ht="12.75">
      <c r="A143" s="291"/>
      <c r="B143" s="291" t="s">
        <v>383</v>
      </c>
      <c r="C143" s="292" t="s">
        <v>226</v>
      </c>
      <c r="D143" s="293">
        <f>E143+K143</f>
        <v>28472</v>
      </c>
      <c r="E143" s="293">
        <v>28472</v>
      </c>
      <c r="F143" s="293"/>
      <c r="G143" s="293"/>
      <c r="H143" s="293"/>
      <c r="I143" s="293"/>
      <c r="J143" s="293"/>
      <c r="K143" s="293"/>
    </row>
    <row r="144" spans="1:11" s="290" customFormat="1" ht="25.5">
      <c r="A144" s="294" t="s">
        <v>384</v>
      </c>
      <c r="B144" s="294"/>
      <c r="C144" s="295" t="s">
        <v>385</v>
      </c>
      <c r="D144" s="296">
        <f>D145+D147+D148+D146</f>
        <v>1142854</v>
      </c>
      <c r="E144" s="296">
        <f aca="true" t="shared" si="35" ref="E144:K144">E145+E147+E148+E146</f>
        <v>1142854</v>
      </c>
      <c r="F144" s="296">
        <f t="shared" si="35"/>
        <v>709728</v>
      </c>
      <c r="G144" s="296">
        <f t="shared" si="35"/>
        <v>128253</v>
      </c>
      <c r="H144" s="296">
        <f t="shared" si="35"/>
        <v>83302</v>
      </c>
      <c r="I144" s="296">
        <f t="shared" si="35"/>
        <v>0</v>
      </c>
      <c r="J144" s="296">
        <f t="shared" si="35"/>
        <v>0</v>
      </c>
      <c r="K144" s="296">
        <f t="shared" si="35"/>
        <v>0</v>
      </c>
    </row>
    <row r="145" spans="1:11" s="284" customFormat="1" ht="25.5">
      <c r="A145" s="291"/>
      <c r="B145" s="291" t="s">
        <v>480</v>
      </c>
      <c r="C145" s="292" t="s">
        <v>544</v>
      </c>
      <c r="D145" s="293">
        <f>E145+K145</f>
        <v>50302</v>
      </c>
      <c r="E145" s="293">
        <v>50302</v>
      </c>
      <c r="F145" s="293"/>
      <c r="G145" s="293"/>
      <c r="H145" s="293">
        <v>50302</v>
      </c>
      <c r="I145" s="293"/>
      <c r="J145" s="293"/>
      <c r="K145" s="293"/>
    </row>
    <row r="146" spans="1:11" s="284" customFormat="1" ht="25.5">
      <c r="A146" s="291"/>
      <c r="B146" s="291" t="s">
        <v>386</v>
      </c>
      <c r="C146" s="292" t="s">
        <v>387</v>
      </c>
      <c r="D146" s="293">
        <f>E146+K146</f>
        <v>33000</v>
      </c>
      <c r="E146" s="293">
        <v>33000</v>
      </c>
      <c r="F146" s="293"/>
      <c r="G146" s="293"/>
      <c r="H146" s="293">
        <v>33000</v>
      </c>
      <c r="I146" s="293"/>
      <c r="J146" s="293"/>
      <c r="K146" s="293"/>
    </row>
    <row r="147" spans="1:11" s="284" customFormat="1" ht="12.75">
      <c r="A147" s="291"/>
      <c r="B147" s="291" t="s">
        <v>481</v>
      </c>
      <c r="C147" s="292" t="s">
        <v>545</v>
      </c>
      <c r="D147" s="293">
        <f>E147+K147</f>
        <v>858765</v>
      </c>
      <c r="E147" s="293">
        <v>858765</v>
      </c>
      <c r="F147" s="293">
        <v>638585</v>
      </c>
      <c r="G147" s="293">
        <v>115766</v>
      </c>
      <c r="H147" s="293"/>
      <c r="I147" s="293"/>
      <c r="J147" s="293"/>
      <c r="K147" s="293"/>
    </row>
    <row r="148" spans="1:11" s="284" customFormat="1" ht="12.75">
      <c r="A148" s="291"/>
      <c r="B148" s="291" t="s">
        <v>449</v>
      </c>
      <c r="C148" s="292" t="s">
        <v>226</v>
      </c>
      <c r="D148" s="293">
        <f>E148+K148</f>
        <v>200787</v>
      </c>
      <c r="E148" s="293">
        <v>200787</v>
      </c>
      <c r="F148" s="293">
        <v>71143</v>
      </c>
      <c r="G148" s="293">
        <v>12487</v>
      </c>
      <c r="H148" s="293"/>
      <c r="I148" s="293"/>
      <c r="J148" s="293"/>
      <c r="K148" s="293"/>
    </row>
    <row r="149" spans="1:11" s="290" customFormat="1" ht="25.5">
      <c r="A149" s="294" t="s">
        <v>450</v>
      </c>
      <c r="B149" s="294"/>
      <c r="C149" s="295" t="s">
        <v>517</v>
      </c>
      <c r="D149" s="296">
        <f>SUM(D150,D151,D152,D153,D154,D155,D156)</f>
        <v>4491705</v>
      </c>
      <c r="E149" s="296">
        <f aca="true" t="shared" si="36" ref="E149:K149">SUM(E150,E151,E152,E153,E154,E155,E156)</f>
        <v>4491705</v>
      </c>
      <c r="F149" s="296">
        <f t="shared" si="36"/>
        <v>2678075</v>
      </c>
      <c r="G149" s="296">
        <f t="shared" si="36"/>
        <v>460382</v>
      </c>
      <c r="H149" s="296">
        <f t="shared" si="36"/>
        <v>799121</v>
      </c>
      <c r="I149" s="296">
        <f t="shared" si="36"/>
        <v>0</v>
      </c>
      <c r="J149" s="296">
        <f t="shared" si="36"/>
        <v>0</v>
      </c>
      <c r="K149" s="296">
        <f t="shared" si="36"/>
        <v>0</v>
      </c>
    </row>
    <row r="150" spans="1:11" s="284" customFormat="1" ht="25.5">
      <c r="A150" s="291"/>
      <c r="B150" s="291" t="s">
        <v>482</v>
      </c>
      <c r="C150" s="292" t="s">
        <v>546</v>
      </c>
      <c r="D150" s="293">
        <f aca="true" t="shared" si="37" ref="D150:D156">E150+K150</f>
        <v>2072097</v>
      </c>
      <c r="E150" s="293">
        <v>2072097</v>
      </c>
      <c r="F150" s="293">
        <v>1417593</v>
      </c>
      <c r="G150" s="293">
        <v>243100</v>
      </c>
      <c r="H150" s="293"/>
      <c r="I150" s="293"/>
      <c r="J150" s="293"/>
      <c r="K150" s="293"/>
    </row>
    <row r="151" spans="1:11" s="284" customFormat="1" ht="25.5">
      <c r="A151" s="291"/>
      <c r="B151" s="291" t="s">
        <v>673</v>
      </c>
      <c r="C151" s="292" t="s">
        <v>674</v>
      </c>
      <c r="D151" s="293">
        <f t="shared" si="37"/>
        <v>69499</v>
      </c>
      <c r="E151" s="293">
        <v>69499</v>
      </c>
      <c r="F151" s="293">
        <v>47320</v>
      </c>
      <c r="G151" s="293">
        <v>8531</v>
      </c>
      <c r="H151" s="293"/>
      <c r="I151" s="293"/>
      <c r="J151" s="293"/>
      <c r="K151" s="293"/>
    </row>
    <row r="152" spans="1:11" s="284" customFormat="1" ht="38.25">
      <c r="A152" s="291"/>
      <c r="B152" s="291" t="s">
        <v>483</v>
      </c>
      <c r="C152" s="292" t="s">
        <v>547</v>
      </c>
      <c r="D152" s="293">
        <f t="shared" si="37"/>
        <v>911240</v>
      </c>
      <c r="E152" s="293">
        <v>911240</v>
      </c>
      <c r="F152" s="293">
        <v>707780</v>
      </c>
      <c r="G152" s="293">
        <v>122780</v>
      </c>
      <c r="H152" s="293"/>
      <c r="I152" s="293"/>
      <c r="J152" s="293"/>
      <c r="K152" s="293"/>
    </row>
    <row r="153" spans="1:11" s="284" customFormat="1" ht="12.75">
      <c r="A153" s="291"/>
      <c r="B153" s="291" t="s">
        <v>484</v>
      </c>
      <c r="C153" s="292" t="s">
        <v>519</v>
      </c>
      <c r="D153" s="293">
        <f t="shared" si="37"/>
        <v>420896</v>
      </c>
      <c r="E153" s="293">
        <v>420896</v>
      </c>
      <c r="F153" s="293">
        <v>338867</v>
      </c>
      <c r="G153" s="293">
        <v>56348</v>
      </c>
      <c r="H153" s="293"/>
      <c r="I153" s="293"/>
      <c r="J153" s="293"/>
      <c r="K153" s="293"/>
    </row>
    <row r="154" spans="1:11" s="284" customFormat="1" ht="12.75">
      <c r="A154" s="291"/>
      <c r="B154" s="291" t="s">
        <v>485</v>
      </c>
      <c r="C154" s="292" t="s">
        <v>548</v>
      </c>
      <c r="D154" s="293">
        <f t="shared" si="37"/>
        <v>203089</v>
      </c>
      <c r="E154" s="293">
        <v>203089</v>
      </c>
      <c r="F154" s="293">
        <v>166515</v>
      </c>
      <c r="G154" s="293">
        <v>29623</v>
      </c>
      <c r="H154" s="293"/>
      <c r="I154" s="293"/>
      <c r="J154" s="293"/>
      <c r="K154" s="293"/>
    </row>
    <row r="155" spans="1:11" s="284" customFormat="1" ht="12.75">
      <c r="A155" s="291"/>
      <c r="B155" s="291" t="s">
        <v>486</v>
      </c>
      <c r="C155" s="292" t="s">
        <v>549</v>
      </c>
      <c r="D155" s="293">
        <f t="shared" si="37"/>
        <v>799121</v>
      </c>
      <c r="E155" s="293">
        <v>799121</v>
      </c>
      <c r="F155" s="293"/>
      <c r="G155" s="293"/>
      <c r="H155" s="293">
        <v>799121</v>
      </c>
      <c r="I155" s="293"/>
      <c r="J155" s="293"/>
      <c r="K155" s="293"/>
    </row>
    <row r="156" spans="1:11" s="284" customFormat="1" ht="25.5">
      <c r="A156" s="291"/>
      <c r="B156" s="291" t="s">
        <v>454</v>
      </c>
      <c r="C156" s="292" t="s">
        <v>554</v>
      </c>
      <c r="D156" s="293">
        <f t="shared" si="37"/>
        <v>15763</v>
      </c>
      <c r="E156" s="293">
        <v>15763</v>
      </c>
      <c r="F156" s="293"/>
      <c r="G156" s="293"/>
      <c r="H156" s="293"/>
      <c r="I156" s="293"/>
      <c r="J156" s="293"/>
      <c r="K156" s="293"/>
    </row>
    <row r="157" spans="1:11" s="290" customFormat="1" ht="25.5">
      <c r="A157" s="294" t="s">
        <v>388</v>
      </c>
      <c r="B157" s="294"/>
      <c r="C157" s="295" t="s">
        <v>389</v>
      </c>
      <c r="D157" s="296">
        <f>D158+D159</f>
        <v>761789</v>
      </c>
      <c r="E157" s="296">
        <f aca="true" t="shared" si="38" ref="E157:K157">E158+E159</f>
        <v>761789</v>
      </c>
      <c r="F157" s="296">
        <f t="shared" si="38"/>
        <v>0</v>
      </c>
      <c r="G157" s="296">
        <f t="shared" si="38"/>
        <v>0</v>
      </c>
      <c r="H157" s="296">
        <f t="shared" si="38"/>
        <v>0</v>
      </c>
      <c r="I157" s="296">
        <f t="shared" si="38"/>
        <v>0</v>
      </c>
      <c r="J157" s="296">
        <f t="shared" si="38"/>
        <v>0</v>
      </c>
      <c r="K157" s="296">
        <f t="shared" si="38"/>
        <v>0</v>
      </c>
    </row>
    <row r="158" spans="1:11" s="284" customFormat="1" ht="12.75">
      <c r="A158" s="291"/>
      <c r="B158" s="291" t="s">
        <v>487</v>
      </c>
      <c r="C158" s="292" t="s">
        <v>550</v>
      </c>
      <c r="D158" s="293">
        <f>E158+K158</f>
        <v>3389</v>
      </c>
      <c r="E158" s="293">
        <v>3389</v>
      </c>
      <c r="F158" s="293"/>
      <c r="G158" s="293"/>
      <c r="H158" s="293"/>
      <c r="I158" s="293"/>
      <c r="J158" s="293"/>
      <c r="K158" s="293"/>
    </row>
    <row r="159" spans="1:11" s="284" customFormat="1" ht="12.75">
      <c r="A159" s="299"/>
      <c r="B159" s="299" t="s">
        <v>459</v>
      </c>
      <c r="C159" s="300" t="s">
        <v>524</v>
      </c>
      <c r="D159" s="301">
        <f>E159+K159</f>
        <v>758400</v>
      </c>
      <c r="E159" s="301">
        <v>758400</v>
      </c>
      <c r="F159" s="301"/>
      <c r="G159" s="301"/>
      <c r="H159" s="301"/>
      <c r="I159" s="301"/>
      <c r="J159" s="301"/>
      <c r="K159" s="301"/>
    </row>
    <row r="160" spans="1:11" s="284" customFormat="1" ht="12.75">
      <c r="A160" s="397" t="s">
        <v>489</v>
      </c>
      <c r="B160" s="398"/>
      <c r="C160" s="399"/>
      <c r="D160" s="289">
        <f aca="true" t="shared" si="39" ref="D160:K160">SUM(D157,D149,D144,D138,D134,D124,D120,D116,D112,D107)+D110</f>
        <v>100515188</v>
      </c>
      <c r="E160" s="289">
        <f t="shared" si="39"/>
        <v>54732138</v>
      </c>
      <c r="F160" s="289">
        <f t="shared" si="39"/>
        <v>25501669</v>
      </c>
      <c r="G160" s="289">
        <f t="shared" si="39"/>
        <v>3918621</v>
      </c>
      <c r="H160" s="289">
        <f t="shared" si="39"/>
        <v>4560080</v>
      </c>
      <c r="I160" s="289">
        <f t="shared" si="39"/>
        <v>0</v>
      </c>
      <c r="J160" s="289">
        <f t="shared" si="39"/>
        <v>0</v>
      </c>
      <c r="K160" s="289">
        <f t="shared" si="39"/>
        <v>45783050</v>
      </c>
    </row>
    <row r="161" spans="1:11" s="303" customFormat="1" ht="24.75" customHeight="1">
      <c r="A161" s="388" t="s">
        <v>216</v>
      </c>
      <c r="B161" s="389"/>
      <c r="C161" s="390"/>
      <c r="D161" s="302">
        <f aca="true" t="shared" si="40" ref="D161:K161">D160+D105</f>
        <v>238163417</v>
      </c>
      <c r="E161" s="302">
        <f t="shared" si="40"/>
        <v>147014454</v>
      </c>
      <c r="F161" s="302">
        <f t="shared" si="40"/>
        <v>53207248</v>
      </c>
      <c r="G161" s="302">
        <f t="shared" si="40"/>
        <v>8889047</v>
      </c>
      <c r="H161" s="302">
        <f t="shared" si="40"/>
        <v>17037258</v>
      </c>
      <c r="I161" s="302">
        <f t="shared" si="40"/>
        <v>2190500</v>
      </c>
      <c r="J161" s="302">
        <f t="shared" si="40"/>
        <v>0</v>
      </c>
      <c r="K161" s="302">
        <f t="shared" si="40"/>
        <v>91148963</v>
      </c>
    </row>
    <row r="163" ht="12.75">
      <c r="A163" s="7"/>
    </row>
  </sheetData>
  <sheetProtection password="CF53" sheet="1" formatCells="0" formatColumns="0" formatRows="0" insertColumns="0" insertRows="0" insertHyperlinks="0" deleteColumns="0" deleteRows="0" sort="0" autoFilter="0" pivotTables="0"/>
  <mergeCells count="14">
    <mergeCell ref="A161:C161"/>
    <mergeCell ref="A8:K8"/>
    <mergeCell ref="A106:K106"/>
    <mergeCell ref="A105:C105"/>
    <mergeCell ref="A160:C160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7874015748031497" right="0.3937007874015748" top="1.4960629921259843" bottom="0.7874015748031497" header="0.5118110236220472" footer="0.5118110236220472"/>
  <pageSetup horizontalDpi="600" verticalDpi="600" orientation="landscape" paperSize="9" scale="99" r:id="rId1"/>
  <headerFooter alignWithMargins="0">
    <oddHeader xml:space="preserve">&amp;RZałącznik nr &amp;A
do uchwały Nr XLVII/394/2008  
 Rady Miasta Świnoujścia
z dnia 19 grudnia 2008 roku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F26"/>
  <sheetViews>
    <sheetView showGridLines="0"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4.75390625" style="4" bestFit="1" customWidth="1"/>
    <col min="2" max="2" width="40.125" style="4" bestFit="1" customWidth="1"/>
    <col min="3" max="3" width="14.00390625" style="4" customWidth="1"/>
    <col min="4" max="4" width="17.125" style="4" customWidth="1"/>
    <col min="5" max="5" width="10.375" style="4" customWidth="1"/>
    <col min="6" max="6" width="12.00390625" style="4" customWidth="1"/>
    <col min="7" max="16384" width="9.125" style="4" customWidth="1"/>
  </cols>
  <sheetData>
    <row r="1" spans="1:4" s="22" customFormat="1" ht="15" customHeight="1">
      <c r="A1" s="403" t="s">
        <v>641</v>
      </c>
      <c r="B1" s="403"/>
      <c r="C1" s="403"/>
      <c r="D1" s="403"/>
    </row>
    <row r="2" s="22" customFormat="1" ht="6.75" customHeight="1">
      <c r="A2" s="201"/>
    </row>
    <row r="3" s="22" customFormat="1" ht="12.75">
      <c r="D3" s="23" t="s">
        <v>168</v>
      </c>
    </row>
    <row r="4" spans="1:4" s="22" customFormat="1" ht="15" customHeight="1">
      <c r="A4" s="404" t="s">
        <v>182</v>
      </c>
      <c r="B4" s="404" t="s">
        <v>139</v>
      </c>
      <c r="C4" s="405" t="s">
        <v>183</v>
      </c>
      <c r="D4" s="405" t="s">
        <v>721</v>
      </c>
    </row>
    <row r="5" spans="1:4" s="22" customFormat="1" ht="15" customHeight="1">
      <c r="A5" s="404"/>
      <c r="B5" s="404"/>
      <c r="C5" s="404"/>
      <c r="D5" s="405"/>
    </row>
    <row r="6" spans="1:4" s="22" customFormat="1" ht="15.75" customHeight="1">
      <c r="A6" s="404"/>
      <c r="B6" s="404"/>
      <c r="C6" s="404"/>
      <c r="D6" s="405"/>
    </row>
    <row r="7" spans="1:4" s="203" customFormat="1" ht="6.75" customHeight="1">
      <c r="A7" s="202">
        <v>1</v>
      </c>
      <c r="B7" s="202">
        <v>2</v>
      </c>
      <c r="C7" s="202">
        <v>3</v>
      </c>
      <c r="D7" s="202">
        <v>4</v>
      </c>
    </row>
    <row r="8" spans="1:4" s="22" customFormat="1" ht="18.75" customHeight="1">
      <c r="A8" s="400" t="s">
        <v>158</v>
      </c>
      <c r="B8" s="401"/>
      <c r="C8" s="402"/>
      <c r="D8" s="33">
        <f>D9+D10+D11+D12+D13+D14+D15+D16</f>
        <v>30000000</v>
      </c>
    </row>
    <row r="9" spans="1:4" s="22" customFormat="1" ht="18.75" customHeight="1">
      <c r="A9" s="27" t="s">
        <v>146</v>
      </c>
      <c r="B9" s="28" t="s">
        <v>153</v>
      </c>
      <c r="C9" s="27" t="s">
        <v>623</v>
      </c>
      <c r="D9" s="29"/>
    </row>
    <row r="10" spans="1:4" s="22" customFormat="1" ht="18.75" customHeight="1">
      <c r="A10" s="30" t="s">
        <v>147</v>
      </c>
      <c r="B10" s="31" t="s">
        <v>154</v>
      </c>
      <c r="C10" s="30" t="s">
        <v>623</v>
      </c>
      <c r="D10" s="32"/>
    </row>
    <row r="11" spans="1:4" s="22" customFormat="1" ht="38.25">
      <c r="A11" s="30" t="s">
        <v>148</v>
      </c>
      <c r="B11" s="74" t="s">
        <v>602</v>
      </c>
      <c r="C11" s="30" t="s">
        <v>624</v>
      </c>
      <c r="D11" s="32"/>
    </row>
    <row r="12" spans="1:4" s="22" customFormat="1" ht="18.75" customHeight="1">
      <c r="A12" s="30" t="s">
        <v>135</v>
      </c>
      <c r="B12" s="31" t="s">
        <v>159</v>
      </c>
      <c r="C12" s="30" t="s">
        <v>625</v>
      </c>
      <c r="D12" s="32"/>
    </row>
    <row r="13" spans="1:4" s="22" customFormat="1" ht="18.75" customHeight="1">
      <c r="A13" s="30" t="s">
        <v>152</v>
      </c>
      <c r="B13" s="31" t="s">
        <v>201</v>
      </c>
      <c r="C13" s="30" t="s">
        <v>626</v>
      </c>
      <c r="D13" s="32"/>
    </row>
    <row r="14" spans="1:4" s="22" customFormat="1" ht="18.75" customHeight="1">
      <c r="A14" s="30" t="s">
        <v>155</v>
      </c>
      <c r="B14" s="31" t="s">
        <v>156</v>
      </c>
      <c r="C14" s="30" t="s">
        <v>627</v>
      </c>
      <c r="D14" s="32"/>
    </row>
    <row r="15" spans="1:4" s="22" customFormat="1" ht="18.75" customHeight="1">
      <c r="A15" s="30" t="s">
        <v>157</v>
      </c>
      <c r="B15" s="31" t="s">
        <v>211</v>
      </c>
      <c r="C15" s="30" t="s">
        <v>628</v>
      </c>
      <c r="D15" s="32">
        <v>30000000</v>
      </c>
    </row>
    <row r="16" spans="1:4" s="22" customFormat="1" ht="18.75" customHeight="1">
      <c r="A16" s="30" t="s">
        <v>160</v>
      </c>
      <c r="B16" s="204" t="s">
        <v>175</v>
      </c>
      <c r="C16" s="57" t="s">
        <v>629</v>
      </c>
      <c r="D16" s="58"/>
    </row>
    <row r="17" spans="1:4" s="22" customFormat="1" ht="18.75" customHeight="1">
      <c r="A17" s="400" t="s">
        <v>202</v>
      </c>
      <c r="B17" s="401"/>
      <c r="C17" s="402"/>
      <c r="D17" s="33">
        <f>D18+D19+D20+D21+D22+D23+D24</f>
        <v>8800000</v>
      </c>
    </row>
    <row r="18" spans="1:4" s="22" customFormat="1" ht="18.75" customHeight="1">
      <c r="A18" s="27" t="s">
        <v>146</v>
      </c>
      <c r="B18" s="28" t="s">
        <v>176</v>
      </c>
      <c r="C18" s="27" t="s">
        <v>630</v>
      </c>
      <c r="D18" s="29"/>
    </row>
    <row r="19" spans="1:4" s="22" customFormat="1" ht="18.75" customHeight="1">
      <c r="A19" s="30" t="s">
        <v>147</v>
      </c>
      <c r="B19" s="31" t="s">
        <v>161</v>
      </c>
      <c r="C19" s="30" t="s">
        <v>630</v>
      </c>
      <c r="D19" s="32">
        <v>2800000</v>
      </c>
    </row>
    <row r="20" spans="1:6" s="22" customFormat="1" ht="38.25">
      <c r="A20" s="30" t="s">
        <v>148</v>
      </c>
      <c r="B20" s="74" t="s">
        <v>603</v>
      </c>
      <c r="C20" s="30" t="s">
        <v>631</v>
      </c>
      <c r="D20" s="32"/>
      <c r="E20" s="192"/>
      <c r="F20" s="192"/>
    </row>
    <row r="21" spans="1:4" s="22" customFormat="1" ht="18.75" customHeight="1">
      <c r="A21" s="30" t="s">
        <v>135</v>
      </c>
      <c r="B21" s="31" t="s">
        <v>177</v>
      </c>
      <c r="C21" s="30" t="s">
        <v>632</v>
      </c>
      <c r="D21" s="32"/>
    </row>
    <row r="22" spans="1:4" s="22" customFormat="1" ht="18.75" customHeight="1">
      <c r="A22" s="30" t="s">
        <v>152</v>
      </c>
      <c r="B22" s="31" t="s">
        <v>178</v>
      </c>
      <c r="C22" s="30" t="s">
        <v>633</v>
      </c>
      <c r="D22" s="32"/>
    </row>
    <row r="23" spans="1:4" s="22" customFormat="1" ht="18.75" customHeight="1">
      <c r="A23" s="30" t="s">
        <v>155</v>
      </c>
      <c r="B23" s="31" t="s">
        <v>212</v>
      </c>
      <c r="C23" s="30" t="s">
        <v>634</v>
      </c>
      <c r="D23" s="32">
        <v>6000000</v>
      </c>
    </row>
    <row r="24" spans="1:4" s="22" customFormat="1" ht="18.75" customHeight="1">
      <c r="A24" s="57" t="s">
        <v>157</v>
      </c>
      <c r="B24" s="204" t="s">
        <v>162</v>
      </c>
      <c r="C24" s="57" t="s">
        <v>635</v>
      </c>
      <c r="D24" s="58"/>
    </row>
    <row r="25" spans="1:4" s="22" customFormat="1" ht="7.5" customHeight="1">
      <c r="A25" s="205"/>
      <c r="B25" s="47"/>
      <c r="C25" s="47"/>
      <c r="D25" s="47"/>
    </row>
    <row r="26" spans="1:6" ht="12.75">
      <c r="A26" s="5"/>
      <c r="B26" s="8"/>
      <c r="C26" s="8"/>
      <c r="D26" s="8"/>
      <c r="E26" s="8"/>
      <c r="F26" s="8"/>
    </row>
  </sheetData>
  <sheetProtection password="CF53" sheet="1" formatCells="0" formatColumns="0" formatRows="0" insertColumns="0" insertRows="0" insertHyperlinks="0" deleteColumns="0" deleteRows="0" sort="0" autoFilter="0" pivotTables="0"/>
  <mergeCells count="7">
    <mergeCell ref="A8:C8"/>
    <mergeCell ref="A17:C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&amp;RZałącznik nr &amp;A
do uchwały Nr XLVII/394/2008  
Rady Miasta Świnoujścia
z dnia 19 grudnia 2008 roku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O286"/>
  <sheetViews>
    <sheetView view="pageBreakPreview" zoomScale="95" zoomScaleSheetLayoutView="95" zoomScalePageLayoutView="0" workbookViewId="0" topLeftCell="A1">
      <pane ySplit="5" topLeftCell="BM58" activePane="bottomLeft" state="frozen"/>
      <selection pane="topLeft" activeCell="C20" sqref="C20"/>
      <selection pane="bottomLeft" activeCell="J14" sqref="J14"/>
    </sheetView>
  </sheetViews>
  <sheetFormatPr defaultColWidth="9.00390625" defaultRowHeight="12.75"/>
  <cols>
    <col min="1" max="1" width="3.625" style="55" customWidth="1"/>
    <col min="2" max="2" width="5.00390625" style="55" customWidth="1"/>
    <col min="3" max="3" width="6.625" style="55" customWidth="1"/>
    <col min="4" max="4" width="27.125" style="22" customWidth="1"/>
    <col min="5" max="5" width="13.00390625" style="22" customWidth="1"/>
    <col min="6" max="6" width="11.25390625" style="22" customWidth="1"/>
    <col min="7" max="7" width="13.125" style="22" customWidth="1"/>
    <col min="8" max="8" width="10.75390625" style="22" customWidth="1"/>
    <col min="9" max="9" width="11.00390625" style="22" customWidth="1"/>
    <col min="10" max="10" width="12.25390625" style="22" customWidth="1"/>
    <col min="11" max="11" width="12.00390625" style="22" customWidth="1"/>
    <col min="12" max="12" width="13.625" style="22" customWidth="1"/>
    <col min="13" max="13" width="14.00390625" style="356" customWidth="1"/>
    <col min="14" max="15" width="13.375" style="22" bestFit="1" customWidth="1"/>
    <col min="16" max="16384" width="9.125" style="22" customWidth="1"/>
  </cols>
  <sheetData>
    <row r="1" spans="1:12" ht="37.5" customHeight="1">
      <c r="A1" s="428" t="s">
        <v>642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</row>
    <row r="2" spans="1:12" ht="10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02" t="s">
        <v>168</v>
      </c>
    </row>
    <row r="3" spans="1:12" ht="37.5" customHeight="1">
      <c r="A3" s="434" t="s">
        <v>182</v>
      </c>
      <c r="B3" s="434" t="s">
        <v>136</v>
      </c>
      <c r="C3" s="434" t="s">
        <v>167</v>
      </c>
      <c r="D3" s="429" t="s">
        <v>19</v>
      </c>
      <c r="E3" s="436" t="s">
        <v>208</v>
      </c>
      <c r="F3" s="429" t="s">
        <v>43</v>
      </c>
      <c r="G3" s="429" t="s">
        <v>636</v>
      </c>
      <c r="H3" s="429" t="s">
        <v>25</v>
      </c>
      <c r="I3" s="431" t="s">
        <v>189</v>
      </c>
      <c r="J3" s="432"/>
      <c r="K3" s="432"/>
      <c r="L3" s="433"/>
    </row>
    <row r="4" spans="1:13" ht="48.75" customHeight="1">
      <c r="A4" s="435"/>
      <c r="B4" s="435"/>
      <c r="C4" s="435"/>
      <c r="D4" s="430"/>
      <c r="E4" s="437"/>
      <c r="F4" s="430"/>
      <c r="G4" s="430"/>
      <c r="H4" s="430"/>
      <c r="I4" s="174" t="s">
        <v>180</v>
      </c>
      <c r="J4" s="174" t="s">
        <v>5</v>
      </c>
      <c r="K4" s="174" t="s">
        <v>658</v>
      </c>
      <c r="L4" s="174" t="s">
        <v>705</v>
      </c>
      <c r="M4" s="359" t="s">
        <v>788</v>
      </c>
    </row>
    <row r="5" spans="1:12" ht="7.5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327">
        <v>7</v>
      </c>
      <c r="H5" s="327">
        <v>8</v>
      </c>
      <c r="I5" s="327">
        <v>9</v>
      </c>
      <c r="J5" s="26">
        <v>10</v>
      </c>
      <c r="K5" s="26">
        <v>11</v>
      </c>
      <c r="L5" s="26">
        <v>12</v>
      </c>
    </row>
    <row r="6" spans="1:15" ht="23.25" customHeight="1">
      <c r="A6" s="406" t="s">
        <v>146</v>
      </c>
      <c r="B6" s="406">
        <v>500</v>
      </c>
      <c r="C6" s="406">
        <v>50095</v>
      </c>
      <c r="D6" s="412" t="s">
        <v>791</v>
      </c>
      <c r="E6" s="406" t="s">
        <v>571</v>
      </c>
      <c r="F6" s="406" t="s">
        <v>792</v>
      </c>
      <c r="G6" s="425">
        <v>11000000</v>
      </c>
      <c r="H6" s="321" t="s">
        <v>20</v>
      </c>
      <c r="I6" s="362">
        <f>I7+I8</f>
        <v>0</v>
      </c>
      <c r="J6" s="361">
        <f>J7+J8</f>
        <v>300000</v>
      </c>
      <c r="K6" s="361">
        <f>K7+K8</f>
        <v>10700000</v>
      </c>
      <c r="L6" s="361">
        <f>L7+L8</f>
        <v>0</v>
      </c>
      <c r="M6" s="360"/>
      <c r="N6" s="192">
        <f>L6+K6+J6+I6</f>
        <v>11000000</v>
      </c>
      <c r="O6" s="192">
        <f>N6-G6</f>
        <v>0</v>
      </c>
    </row>
    <row r="7" spans="1:15" ht="23.25" customHeight="1">
      <c r="A7" s="407"/>
      <c r="B7" s="407"/>
      <c r="C7" s="407"/>
      <c r="D7" s="407"/>
      <c r="E7" s="407"/>
      <c r="F7" s="407"/>
      <c r="G7" s="426"/>
      <c r="H7" s="347" t="s">
        <v>21</v>
      </c>
      <c r="I7" s="367"/>
      <c r="J7" s="368">
        <v>300000</v>
      </c>
      <c r="K7" s="368">
        <v>1200000</v>
      </c>
      <c r="L7" s="368"/>
      <c r="M7" s="360"/>
      <c r="N7" s="192">
        <f aca="true" t="shared" si="0" ref="N7:N70">L7+K7+J7+I7</f>
        <v>1500000</v>
      </c>
      <c r="O7" s="192"/>
    </row>
    <row r="8" spans="1:15" ht="23.25" customHeight="1">
      <c r="A8" s="408"/>
      <c r="B8" s="408"/>
      <c r="C8" s="408"/>
      <c r="D8" s="408"/>
      <c r="E8" s="408"/>
      <c r="F8" s="408"/>
      <c r="G8" s="427"/>
      <c r="H8" s="349" t="s">
        <v>23</v>
      </c>
      <c r="I8" s="369"/>
      <c r="J8" s="370"/>
      <c r="K8" s="370">
        <v>9500000</v>
      </c>
      <c r="L8" s="370"/>
      <c r="M8" s="360"/>
      <c r="N8" s="192">
        <f t="shared" si="0"/>
        <v>9500000</v>
      </c>
      <c r="O8" s="192"/>
    </row>
    <row r="9" spans="1:15" ht="23.25" customHeight="1">
      <c r="A9" s="406" t="s">
        <v>147</v>
      </c>
      <c r="B9" s="409" t="s">
        <v>231</v>
      </c>
      <c r="C9" s="409" t="s">
        <v>558</v>
      </c>
      <c r="D9" s="412" t="s">
        <v>706</v>
      </c>
      <c r="E9" s="412" t="s">
        <v>571</v>
      </c>
      <c r="F9" s="412" t="s">
        <v>746</v>
      </c>
      <c r="G9" s="421">
        <v>32299000</v>
      </c>
      <c r="H9" s="321" t="s">
        <v>20</v>
      </c>
      <c r="I9" s="29">
        <f>SUM(I10,I11,I12)</f>
        <v>1448000</v>
      </c>
      <c r="J9" s="29">
        <f>SUM(J10,J11,J12)</f>
        <v>10750000</v>
      </c>
      <c r="K9" s="29">
        <f>SUM(K10,K11,K12)</f>
        <v>12260000</v>
      </c>
      <c r="L9" s="29">
        <f>SUM(L10,L11,L12)</f>
        <v>0</v>
      </c>
      <c r="M9" s="357">
        <f>G9-I9-J9-K9-L9</f>
        <v>7841000</v>
      </c>
      <c r="N9" s="192">
        <f t="shared" si="0"/>
        <v>24458000</v>
      </c>
      <c r="O9" s="192">
        <f aca="true" t="shared" si="1" ref="O9:O70">N9-G9</f>
        <v>-7841000</v>
      </c>
    </row>
    <row r="10" spans="1:15" s="145" customFormat="1" ht="21" customHeight="1">
      <c r="A10" s="407"/>
      <c r="B10" s="410"/>
      <c r="C10" s="410"/>
      <c r="D10" s="413"/>
      <c r="E10" s="413"/>
      <c r="F10" s="413"/>
      <c r="G10" s="422"/>
      <c r="H10" s="347" t="s">
        <v>21</v>
      </c>
      <c r="I10" s="142">
        <f>1448000-I12</f>
        <v>217000</v>
      </c>
      <c r="J10" s="142">
        <v>1318000</v>
      </c>
      <c r="K10" s="142">
        <v>1539000</v>
      </c>
      <c r="L10" s="348"/>
      <c r="M10" s="358"/>
      <c r="N10" s="192">
        <f t="shared" si="0"/>
        <v>3074000</v>
      </c>
      <c r="O10" s="192">
        <f t="shared" si="1"/>
        <v>3074000</v>
      </c>
    </row>
    <row r="11" spans="1:15" s="145" customFormat="1" ht="21" customHeight="1" hidden="1">
      <c r="A11" s="407"/>
      <c r="B11" s="410"/>
      <c r="C11" s="410"/>
      <c r="D11" s="413"/>
      <c r="E11" s="413"/>
      <c r="F11" s="413"/>
      <c r="G11" s="422"/>
      <c r="H11" s="347" t="s">
        <v>22</v>
      </c>
      <c r="I11" s="142"/>
      <c r="J11" s="142"/>
      <c r="K11" s="142"/>
      <c r="L11" s="348"/>
      <c r="M11" s="358"/>
      <c r="N11" s="192">
        <f t="shared" si="0"/>
        <v>0</v>
      </c>
      <c r="O11" s="192">
        <f t="shared" si="1"/>
        <v>0</v>
      </c>
    </row>
    <row r="12" spans="1:15" s="145" customFormat="1" ht="21" customHeight="1">
      <c r="A12" s="408"/>
      <c r="B12" s="411"/>
      <c r="C12" s="411"/>
      <c r="D12" s="414"/>
      <c r="E12" s="414"/>
      <c r="F12" s="414"/>
      <c r="G12" s="423"/>
      <c r="H12" s="349" t="s">
        <v>23</v>
      </c>
      <c r="I12" s="350">
        <v>1231000</v>
      </c>
      <c r="J12" s="350">
        <v>9432000</v>
      </c>
      <c r="K12" s="350">
        <v>10721000</v>
      </c>
      <c r="L12" s="351"/>
      <c r="M12" s="358"/>
      <c r="N12" s="192">
        <f t="shared" si="0"/>
        <v>21384000</v>
      </c>
      <c r="O12" s="192">
        <f t="shared" si="1"/>
        <v>21384000</v>
      </c>
    </row>
    <row r="13" spans="1:15" ht="21" customHeight="1">
      <c r="A13" s="406" t="s">
        <v>148</v>
      </c>
      <c r="B13" s="409" t="s">
        <v>231</v>
      </c>
      <c r="C13" s="424" t="s">
        <v>775</v>
      </c>
      <c r="D13" s="415" t="s">
        <v>776</v>
      </c>
      <c r="E13" s="412" t="s">
        <v>571</v>
      </c>
      <c r="F13" s="412" t="s">
        <v>761</v>
      </c>
      <c r="G13" s="421">
        <v>1301436000</v>
      </c>
      <c r="H13" s="321" t="s">
        <v>20</v>
      </c>
      <c r="I13" s="29">
        <f>SUM(I14,I15,I16)</f>
        <v>0</v>
      </c>
      <c r="J13" s="29">
        <f>SUM(J14,J15,J16)</f>
        <v>0</v>
      </c>
      <c r="K13" s="29">
        <f>SUM(K14,K15,K16)</f>
        <v>0</v>
      </c>
      <c r="L13" s="29">
        <f>SUM(L14,L15,L16)</f>
        <v>1300000000</v>
      </c>
      <c r="M13" s="357">
        <f>G13-I13-J13-K13-L13</f>
        <v>1436000</v>
      </c>
      <c r="N13" s="192">
        <f t="shared" si="0"/>
        <v>1300000000</v>
      </c>
      <c r="O13" s="192">
        <f t="shared" si="1"/>
        <v>-1436000</v>
      </c>
    </row>
    <row r="14" spans="1:15" s="145" customFormat="1" ht="21" customHeight="1">
      <c r="A14" s="407"/>
      <c r="B14" s="410"/>
      <c r="C14" s="410"/>
      <c r="D14" s="416"/>
      <c r="E14" s="413"/>
      <c r="F14" s="413"/>
      <c r="G14" s="422"/>
      <c r="H14" s="352" t="s">
        <v>21</v>
      </c>
      <c r="I14" s="148"/>
      <c r="J14" s="148"/>
      <c r="K14" s="148"/>
      <c r="L14" s="353"/>
      <c r="M14" s="358"/>
      <c r="N14" s="192">
        <f t="shared" si="0"/>
        <v>0</v>
      </c>
      <c r="O14" s="192">
        <f t="shared" si="1"/>
        <v>0</v>
      </c>
    </row>
    <row r="15" spans="1:15" s="145" customFormat="1" ht="21" customHeight="1" hidden="1">
      <c r="A15" s="407"/>
      <c r="B15" s="410"/>
      <c r="C15" s="410"/>
      <c r="D15" s="416"/>
      <c r="E15" s="413"/>
      <c r="F15" s="413"/>
      <c r="G15" s="422"/>
      <c r="H15" s="352" t="s">
        <v>22</v>
      </c>
      <c r="I15" s="148"/>
      <c r="J15" s="148"/>
      <c r="K15" s="148"/>
      <c r="L15" s="353"/>
      <c r="M15" s="358"/>
      <c r="N15" s="192">
        <f t="shared" si="0"/>
        <v>0</v>
      </c>
      <c r="O15" s="192">
        <f t="shared" si="1"/>
        <v>0</v>
      </c>
    </row>
    <row r="16" spans="1:15" s="145" customFormat="1" ht="21" customHeight="1">
      <c r="A16" s="408"/>
      <c r="B16" s="411"/>
      <c r="C16" s="411"/>
      <c r="D16" s="417"/>
      <c r="E16" s="414"/>
      <c r="F16" s="414"/>
      <c r="G16" s="423"/>
      <c r="H16" s="349" t="s">
        <v>23</v>
      </c>
      <c r="I16" s="350"/>
      <c r="J16" s="350"/>
      <c r="K16" s="350"/>
      <c r="L16" s="351">
        <v>1300000000</v>
      </c>
      <c r="M16" s="358"/>
      <c r="N16" s="192">
        <f t="shared" si="0"/>
        <v>1300000000</v>
      </c>
      <c r="O16" s="192">
        <f t="shared" si="1"/>
        <v>1300000000</v>
      </c>
    </row>
    <row r="17" spans="1:15" ht="21" customHeight="1">
      <c r="A17" s="406" t="s">
        <v>135</v>
      </c>
      <c r="B17" s="409" t="s">
        <v>231</v>
      </c>
      <c r="C17" s="409" t="s">
        <v>468</v>
      </c>
      <c r="D17" s="412" t="s">
        <v>773</v>
      </c>
      <c r="E17" s="412" t="s">
        <v>571</v>
      </c>
      <c r="F17" s="412" t="s">
        <v>774</v>
      </c>
      <c r="G17" s="421">
        <v>4550000</v>
      </c>
      <c r="H17" s="321" t="s">
        <v>20</v>
      </c>
      <c r="I17" s="29">
        <f>SUM(I18,I19,I20)</f>
        <v>0</v>
      </c>
      <c r="J17" s="29">
        <f>SUM(J18,J19,J20)</f>
        <v>0</v>
      </c>
      <c r="K17" s="29">
        <f>SUM(K18,K19,K20)</f>
        <v>1500000</v>
      </c>
      <c r="L17" s="29">
        <f>SUM(L18,L19,L20)</f>
        <v>0</v>
      </c>
      <c r="M17" s="357">
        <f>G17-I17-J17-K17-L17</f>
        <v>3050000</v>
      </c>
      <c r="N17" s="192">
        <f t="shared" si="0"/>
        <v>1500000</v>
      </c>
      <c r="O17" s="192">
        <f t="shared" si="1"/>
        <v>-3050000</v>
      </c>
    </row>
    <row r="18" spans="1:15" s="145" customFormat="1" ht="21" customHeight="1">
      <c r="A18" s="407"/>
      <c r="B18" s="410"/>
      <c r="C18" s="410"/>
      <c r="D18" s="413"/>
      <c r="E18" s="413"/>
      <c r="F18" s="413"/>
      <c r="G18" s="422"/>
      <c r="H18" s="352" t="s">
        <v>21</v>
      </c>
      <c r="I18" s="148"/>
      <c r="J18" s="148"/>
      <c r="K18" s="148">
        <v>1500000</v>
      </c>
      <c r="L18" s="353"/>
      <c r="M18" s="358"/>
      <c r="N18" s="192">
        <f t="shared" si="0"/>
        <v>1500000</v>
      </c>
      <c r="O18" s="192">
        <f t="shared" si="1"/>
        <v>1500000</v>
      </c>
    </row>
    <row r="19" spans="1:15" s="145" customFormat="1" ht="21" customHeight="1" hidden="1">
      <c r="A19" s="407"/>
      <c r="B19" s="410"/>
      <c r="C19" s="410"/>
      <c r="D19" s="413"/>
      <c r="E19" s="413"/>
      <c r="F19" s="413"/>
      <c r="G19" s="422"/>
      <c r="H19" s="352" t="s">
        <v>22</v>
      </c>
      <c r="I19" s="148"/>
      <c r="J19" s="148"/>
      <c r="K19" s="148"/>
      <c r="L19" s="353"/>
      <c r="M19" s="358"/>
      <c r="N19" s="192">
        <f t="shared" si="0"/>
        <v>0</v>
      </c>
      <c r="O19" s="192">
        <f t="shared" si="1"/>
        <v>0</v>
      </c>
    </row>
    <row r="20" spans="1:15" s="145" customFormat="1" ht="21" customHeight="1">
      <c r="A20" s="408"/>
      <c r="B20" s="411"/>
      <c r="C20" s="411"/>
      <c r="D20" s="414"/>
      <c r="E20" s="414"/>
      <c r="F20" s="414"/>
      <c r="G20" s="423"/>
      <c r="H20" s="349" t="s">
        <v>23</v>
      </c>
      <c r="I20" s="350"/>
      <c r="J20" s="350"/>
      <c r="K20" s="350"/>
      <c r="L20" s="351"/>
      <c r="M20" s="358"/>
      <c r="N20" s="192">
        <f t="shared" si="0"/>
        <v>0</v>
      </c>
      <c r="O20" s="192">
        <f t="shared" si="1"/>
        <v>0</v>
      </c>
    </row>
    <row r="21" spans="1:15" ht="19.5" customHeight="1">
      <c r="A21" s="406" t="s">
        <v>152</v>
      </c>
      <c r="B21" s="409" t="s">
        <v>231</v>
      </c>
      <c r="C21" s="409" t="s">
        <v>468</v>
      </c>
      <c r="D21" s="415" t="s">
        <v>785</v>
      </c>
      <c r="E21" s="412" t="s">
        <v>571</v>
      </c>
      <c r="F21" s="412" t="s">
        <v>637</v>
      </c>
      <c r="G21" s="421">
        <v>2688000</v>
      </c>
      <c r="H21" s="321" t="s">
        <v>20</v>
      </c>
      <c r="I21" s="29">
        <f>SUM(I22,I23,I24)</f>
        <v>0</v>
      </c>
      <c r="J21" s="29">
        <f>SUM(J22,J23,J24)</f>
        <v>2438000</v>
      </c>
      <c r="K21" s="29">
        <f>SUM(K22,K23,K24)</f>
        <v>0</v>
      </c>
      <c r="L21" s="29">
        <f>SUM(L22,L23,L24)</f>
        <v>0</v>
      </c>
      <c r="M21" s="357">
        <f>G21-I21-J21-K21-L21</f>
        <v>250000</v>
      </c>
      <c r="N21" s="192">
        <f t="shared" si="0"/>
        <v>2438000</v>
      </c>
      <c r="O21" s="192">
        <f t="shared" si="1"/>
        <v>-250000</v>
      </c>
    </row>
    <row r="22" spans="1:15" s="145" customFormat="1" ht="19.5" customHeight="1">
      <c r="A22" s="407"/>
      <c r="B22" s="410"/>
      <c r="C22" s="410"/>
      <c r="D22" s="416"/>
      <c r="E22" s="413"/>
      <c r="F22" s="413"/>
      <c r="G22" s="422"/>
      <c r="H22" s="347" t="s">
        <v>21</v>
      </c>
      <c r="I22" s="142"/>
      <c r="J22" s="142">
        <v>288000</v>
      </c>
      <c r="K22" s="142"/>
      <c r="L22" s="348"/>
      <c r="M22" s="358"/>
      <c r="N22" s="192">
        <f t="shared" si="0"/>
        <v>288000</v>
      </c>
      <c r="O22" s="192">
        <f t="shared" si="1"/>
        <v>288000</v>
      </c>
    </row>
    <row r="23" spans="1:15" s="145" customFormat="1" ht="19.5" customHeight="1" hidden="1">
      <c r="A23" s="407"/>
      <c r="B23" s="410"/>
      <c r="C23" s="410"/>
      <c r="D23" s="416"/>
      <c r="E23" s="413"/>
      <c r="F23" s="413"/>
      <c r="G23" s="422"/>
      <c r="H23" s="352" t="s">
        <v>22</v>
      </c>
      <c r="I23" s="148"/>
      <c r="J23" s="148"/>
      <c r="K23" s="148"/>
      <c r="L23" s="353"/>
      <c r="M23" s="358">
        <f>G23-I23-J23-K23-L23</f>
        <v>0</v>
      </c>
      <c r="N23" s="192">
        <f t="shared" si="0"/>
        <v>0</v>
      </c>
      <c r="O23" s="192">
        <f t="shared" si="1"/>
        <v>0</v>
      </c>
    </row>
    <row r="24" spans="1:15" s="145" customFormat="1" ht="19.5" customHeight="1">
      <c r="A24" s="408"/>
      <c r="B24" s="411"/>
      <c r="C24" s="411"/>
      <c r="D24" s="417"/>
      <c r="E24" s="414"/>
      <c r="F24" s="414"/>
      <c r="G24" s="423"/>
      <c r="H24" s="349" t="s">
        <v>23</v>
      </c>
      <c r="I24" s="350"/>
      <c r="J24" s="350">
        <v>2150000</v>
      </c>
      <c r="K24" s="350"/>
      <c r="L24" s="351"/>
      <c r="M24" s="358"/>
      <c r="N24" s="192">
        <f t="shared" si="0"/>
        <v>2150000</v>
      </c>
      <c r="O24" s="192">
        <f t="shared" si="1"/>
        <v>2150000</v>
      </c>
    </row>
    <row r="25" spans="1:15" ht="22.5" customHeight="1">
      <c r="A25" s="406" t="s">
        <v>155</v>
      </c>
      <c r="B25" s="409">
        <v>600</v>
      </c>
      <c r="C25" s="424" t="s">
        <v>468</v>
      </c>
      <c r="D25" s="412" t="s">
        <v>707</v>
      </c>
      <c r="E25" s="412" t="s">
        <v>571</v>
      </c>
      <c r="F25" s="412" t="s">
        <v>747</v>
      </c>
      <c r="G25" s="421">
        <v>16301000</v>
      </c>
      <c r="H25" s="321" t="s">
        <v>20</v>
      </c>
      <c r="I25" s="29">
        <f>SUM(I26,I27,I28)</f>
        <v>6590000</v>
      </c>
      <c r="J25" s="29">
        <f>SUM(J26,J27,J28)</f>
        <v>9410000</v>
      </c>
      <c r="K25" s="29">
        <f>SUM(K26,K27,K28)</f>
        <v>0</v>
      </c>
      <c r="L25" s="29">
        <f>SUM(L26,L27,L28)</f>
        <v>0</v>
      </c>
      <c r="M25" s="357">
        <f>G25-I25-J25-K25-L25</f>
        <v>301000</v>
      </c>
      <c r="N25" s="192">
        <f t="shared" si="0"/>
        <v>16000000</v>
      </c>
      <c r="O25" s="192">
        <f t="shared" si="1"/>
        <v>-301000</v>
      </c>
    </row>
    <row r="26" spans="1:15" s="145" customFormat="1" ht="22.5" customHeight="1">
      <c r="A26" s="407"/>
      <c r="B26" s="410"/>
      <c r="C26" s="410"/>
      <c r="D26" s="413"/>
      <c r="E26" s="413"/>
      <c r="F26" s="413"/>
      <c r="G26" s="422"/>
      <c r="H26" s="347" t="s">
        <v>21</v>
      </c>
      <c r="I26" s="142">
        <v>3245000</v>
      </c>
      <c r="J26" s="142">
        <v>9410000</v>
      </c>
      <c r="K26" s="142"/>
      <c r="L26" s="348"/>
      <c r="M26" s="358"/>
      <c r="N26" s="192">
        <f t="shared" si="0"/>
        <v>12655000</v>
      </c>
      <c r="O26" s="192">
        <f t="shared" si="1"/>
        <v>12655000</v>
      </c>
    </row>
    <row r="27" spans="1:15" s="145" customFormat="1" ht="20.25" customHeight="1" hidden="1">
      <c r="A27" s="407"/>
      <c r="B27" s="410"/>
      <c r="C27" s="410"/>
      <c r="D27" s="413"/>
      <c r="E27" s="413"/>
      <c r="F27" s="413"/>
      <c r="G27" s="422"/>
      <c r="H27" s="347" t="s">
        <v>22</v>
      </c>
      <c r="I27" s="142"/>
      <c r="J27" s="142"/>
      <c r="K27" s="142"/>
      <c r="L27" s="348"/>
      <c r="M27" s="358"/>
      <c r="N27" s="192">
        <f t="shared" si="0"/>
        <v>0</v>
      </c>
      <c r="O27" s="192">
        <f t="shared" si="1"/>
        <v>0</v>
      </c>
    </row>
    <row r="28" spans="1:15" s="145" customFormat="1" ht="21" customHeight="1">
      <c r="A28" s="408"/>
      <c r="B28" s="411"/>
      <c r="C28" s="411"/>
      <c r="D28" s="414"/>
      <c r="E28" s="414"/>
      <c r="F28" s="414"/>
      <c r="G28" s="423"/>
      <c r="H28" s="349" t="s">
        <v>23</v>
      </c>
      <c r="I28" s="350">
        <v>3345000</v>
      </c>
      <c r="J28" s="350"/>
      <c r="K28" s="350"/>
      <c r="L28" s="351"/>
      <c r="M28" s="358"/>
      <c r="N28" s="192">
        <f t="shared" si="0"/>
        <v>3345000</v>
      </c>
      <c r="O28" s="192">
        <f t="shared" si="1"/>
        <v>3345000</v>
      </c>
    </row>
    <row r="29" spans="1:15" ht="27" customHeight="1">
      <c r="A29" s="406" t="s">
        <v>157</v>
      </c>
      <c r="B29" s="409" t="s">
        <v>231</v>
      </c>
      <c r="C29" s="409" t="s">
        <v>468</v>
      </c>
      <c r="D29" s="412" t="s">
        <v>703</v>
      </c>
      <c r="E29" s="412" t="s">
        <v>571</v>
      </c>
      <c r="F29" s="412" t="s">
        <v>748</v>
      </c>
      <c r="G29" s="421">
        <v>3100000</v>
      </c>
      <c r="H29" s="321" t="s">
        <v>20</v>
      </c>
      <c r="I29" s="29">
        <f>SUM(I30,I31,I32)</f>
        <v>3000000</v>
      </c>
      <c r="J29" s="29">
        <f>SUM(J30,J31,J32)</f>
        <v>0</v>
      </c>
      <c r="K29" s="29">
        <f>SUM(K30,K31,K32)</f>
        <v>0</v>
      </c>
      <c r="L29" s="29">
        <f>SUM(L30,L31,L32)</f>
        <v>0</v>
      </c>
      <c r="M29" s="357">
        <f>G29-I29-J29-K29-L29</f>
        <v>100000</v>
      </c>
      <c r="N29" s="192">
        <f t="shared" si="0"/>
        <v>3000000</v>
      </c>
      <c r="O29" s="192">
        <f t="shared" si="1"/>
        <v>-100000</v>
      </c>
    </row>
    <row r="30" spans="1:15" s="145" customFormat="1" ht="25.5" customHeight="1">
      <c r="A30" s="407"/>
      <c r="B30" s="410"/>
      <c r="C30" s="410"/>
      <c r="D30" s="413"/>
      <c r="E30" s="413"/>
      <c r="F30" s="413"/>
      <c r="G30" s="422"/>
      <c r="H30" s="347" t="s">
        <v>21</v>
      </c>
      <c r="I30" s="142">
        <v>450000</v>
      </c>
      <c r="J30" s="142"/>
      <c r="K30" s="142"/>
      <c r="L30" s="348"/>
      <c r="M30" s="358"/>
      <c r="N30" s="192">
        <f t="shared" si="0"/>
        <v>450000</v>
      </c>
      <c r="O30" s="192">
        <f t="shared" si="1"/>
        <v>450000</v>
      </c>
    </row>
    <row r="31" spans="1:15" s="145" customFormat="1" ht="21" customHeight="1" hidden="1">
      <c r="A31" s="407"/>
      <c r="B31" s="410"/>
      <c r="C31" s="410"/>
      <c r="D31" s="413"/>
      <c r="E31" s="413"/>
      <c r="F31" s="413"/>
      <c r="G31" s="422"/>
      <c r="H31" s="347" t="s">
        <v>22</v>
      </c>
      <c r="I31" s="142"/>
      <c r="J31" s="142"/>
      <c r="K31" s="142"/>
      <c r="L31" s="348"/>
      <c r="M31" s="358"/>
      <c r="N31" s="192">
        <f t="shared" si="0"/>
        <v>0</v>
      </c>
      <c r="O31" s="192">
        <f t="shared" si="1"/>
        <v>0</v>
      </c>
    </row>
    <row r="32" spans="1:15" s="145" customFormat="1" ht="25.5" customHeight="1">
      <c r="A32" s="408"/>
      <c r="B32" s="411"/>
      <c r="C32" s="411"/>
      <c r="D32" s="414"/>
      <c r="E32" s="414"/>
      <c r="F32" s="414"/>
      <c r="G32" s="423"/>
      <c r="H32" s="349" t="s">
        <v>23</v>
      </c>
      <c r="I32" s="350">
        <v>2550000</v>
      </c>
      <c r="J32" s="350"/>
      <c r="K32" s="350"/>
      <c r="L32" s="351"/>
      <c r="M32" s="358"/>
      <c r="N32" s="192">
        <f t="shared" si="0"/>
        <v>2550000</v>
      </c>
      <c r="O32" s="192">
        <f t="shared" si="1"/>
        <v>2550000</v>
      </c>
    </row>
    <row r="33" spans="1:15" ht="21" customHeight="1">
      <c r="A33" s="406" t="s">
        <v>160</v>
      </c>
      <c r="B33" s="409" t="s">
        <v>231</v>
      </c>
      <c r="C33" s="409" t="s">
        <v>468</v>
      </c>
      <c r="D33" s="412" t="s">
        <v>680</v>
      </c>
      <c r="E33" s="412" t="s">
        <v>571</v>
      </c>
      <c r="F33" s="412" t="s">
        <v>749</v>
      </c>
      <c r="G33" s="421">
        <v>8400000</v>
      </c>
      <c r="H33" s="321" t="s">
        <v>20</v>
      </c>
      <c r="I33" s="29">
        <f>SUM(I34,I35,I36)</f>
        <v>400000</v>
      </c>
      <c r="J33" s="29">
        <f>SUM(J34,J35,J36)</f>
        <v>0</v>
      </c>
      <c r="K33" s="29">
        <f>SUM(K34,K35,K36)</f>
        <v>1500000</v>
      </c>
      <c r="L33" s="29">
        <f>SUM(L34,L35,L36)</f>
        <v>6500000</v>
      </c>
      <c r="M33" s="357">
        <f>G33-I33-J33-K33-L33</f>
        <v>0</v>
      </c>
      <c r="N33" s="192">
        <f t="shared" si="0"/>
        <v>8400000</v>
      </c>
      <c r="O33" s="192">
        <f t="shared" si="1"/>
        <v>0</v>
      </c>
    </row>
    <row r="34" spans="1:15" s="145" customFormat="1" ht="21" customHeight="1">
      <c r="A34" s="407"/>
      <c r="B34" s="410"/>
      <c r="C34" s="410"/>
      <c r="D34" s="413"/>
      <c r="E34" s="413"/>
      <c r="F34" s="413"/>
      <c r="G34" s="422"/>
      <c r="H34" s="347" t="s">
        <v>21</v>
      </c>
      <c r="I34" s="142">
        <v>400000</v>
      </c>
      <c r="J34" s="142"/>
      <c r="K34" s="142">
        <v>1000000</v>
      </c>
      <c r="L34" s="348">
        <v>6000000</v>
      </c>
      <c r="M34" s="358"/>
      <c r="N34" s="192">
        <f t="shared" si="0"/>
        <v>7400000</v>
      </c>
      <c r="O34" s="192">
        <f t="shared" si="1"/>
        <v>7400000</v>
      </c>
    </row>
    <row r="35" spans="1:15" s="145" customFormat="1" ht="21" customHeight="1">
      <c r="A35" s="407"/>
      <c r="B35" s="410"/>
      <c r="C35" s="410"/>
      <c r="D35" s="413"/>
      <c r="E35" s="413"/>
      <c r="F35" s="413"/>
      <c r="G35" s="422"/>
      <c r="H35" s="352" t="s">
        <v>789</v>
      </c>
      <c r="I35" s="148"/>
      <c r="J35" s="148"/>
      <c r="K35" s="148">
        <v>500000</v>
      </c>
      <c r="L35" s="353">
        <v>500000</v>
      </c>
      <c r="M35" s="358"/>
      <c r="N35" s="192">
        <f t="shared" si="0"/>
        <v>1000000</v>
      </c>
      <c r="O35" s="192">
        <f t="shared" si="1"/>
        <v>1000000</v>
      </c>
    </row>
    <row r="36" spans="1:15" s="145" customFormat="1" ht="21" customHeight="1">
      <c r="A36" s="408"/>
      <c r="B36" s="411"/>
      <c r="C36" s="411"/>
      <c r="D36" s="414"/>
      <c r="E36" s="414"/>
      <c r="F36" s="414"/>
      <c r="G36" s="423"/>
      <c r="H36" s="349" t="s">
        <v>23</v>
      </c>
      <c r="I36" s="350"/>
      <c r="J36" s="350"/>
      <c r="K36" s="350"/>
      <c r="L36" s="351"/>
      <c r="M36" s="358"/>
      <c r="N36" s="192">
        <f t="shared" si="0"/>
        <v>0</v>
      </c>
      <c r="O36" s="192">
        <f t="shared" si="1"/>
        <v>0</v>
      </c>
    </row>
    <row r="37" spans="1:15" ht="21" customHeight="1">
      <c r="A37" s="406" t="s">
        <v>560</v>
      </c>
      <c r="B37" s="418">
        <v>600</v>
      </c>
      <c r="C37" s="418">
        <v>60015</v>
      </c>
      <c r="D37" s="415" t="s">
        <v>681</v>
      </c>
      <c r="E37" s="412" t="s">
        <v>571</v>
      </c>
      <c r="F37" s="412" t="s">
        <v>637</v>
      </c>
      <c r="G37" s="421">
        <v>18000000</v>
      </c>
      <c r="H37" s="321" t="s">
        <v>20</v>
      </c>
      <c r="I37" s="29">
        <f>SUM(I38,I39,I40)</f>
        <v>8312000</v>
      </c>
      <c r="J37" s="29">
        <f>SUM(J38,J39,J40)</f>
        <v>8888000</v>
      </c>
      <c r="K37" s="29">
        <f>SUM(K38,K39,K40)</f>
        <v>0</v>
      </c>
      <c r="L37" s="29">
        <f>SUM(L38,L39,L40)</f>
        <v>0</v>
      </c>
      <c r="M37" s="357">
        <f>G37-I37-J37-K37-L37</f>
        <v>800000</v>
      </c>
      <c r="N37" s="192">
        <f t="shared" si="0"/>
        <v>17200000</v>
      </c>
      <c r="O37" s="192">
        <f t="shared" si="1"/>
        <v>-800000</v>
      </c>
    </row>
    <row r="38" spans="1:15" s="145" customFormat="1" ht="21" customHeight="1">
      <c r="A38" s="407"/>
      <c r="B38" s="419"/>
      <c r="C38" s="419"/>
      <c r="D38" s="416"/>
      <c r="E38" s="413"/>
      <c r="F38" s="413"/>
      <c r="G38" s="422"/>
      <c r="H38" s="352" t="s">
        <v>21</v>
      </c>
      <c r="I38" s="148">
        <v>3812000</v>
      </c>
      <c r="J38" s="148">
        <v>4388000</v>
      </c>
      <c r="K38" s="148"/>
      <c r="L38" s="353"/>
      <c r="M38" s="358"/>
      <c r="N38" s="192">
        <f t="shared" si="0"/>
        <v>8200000</v>
      </c>
      <c r="O38" s="192">
        <f t="shared" si="1"/>
        <v>8200000</v>
      </c>
    </row>
    <row r="39" spans="1:15" s="145" customFormat="1" ht="21" customHeight="1" hidden="1">
      <c r="A39" s="407"/>
      <c r="B39" s="419"/>
      <c r="C39" s="419"/>
      <c r="D39" s="416"/>
      <c r="E39" s="413"/>
      <c r="F39" s="413"/>
      <c r="G39" s="422"/>
      <c r="H39" s="352" t="s">
        <v>22</v>
      </c>
      <c r="I39" s="148"/>
      <c r="J39" s="148"/>
      <c r="K39" s="148"/>
      <c r="L39" s="353"/>
      <c r="M39" s="358"/>
      <c r="N39" s="192">
        <f t="shared" si="0"/>
        <v>0</v>
      </c>
      <c r="O39" s="192">
        <f t="shared" si="1"/>
        <v>0</v>
      </c>
    </row>
    <row r="40" spans="1:15" s="145" customFormat="1" ht="21" customHeight="1">
      <c r="A40" s="408"/>
      <c r="B40" s="420"/>
      <c r="C40" s="420"/>
      <c r="D40" s="417"/>
      <c r="E40" s="414"/>
      <c r="F40" s="414"/>
      <c r="G40" s="423"/>
      <c r="H40" s="349" t="s">
        <v>23</v>
      </c>
      <c r="I40" s="350">
        <v>4500000</v>
      </c>
      <c r="J40" s="350">
        <v>4500000</v>
      </c>
      <c r="K40" s="350"/>
      <c r="L40" s="351"/>
      <c r="M40" s="358"/>
      <c r="N40" s="192">
        <f t="shared" si="0"/>
        <v>9000000</v>
      </c>
      <c r="O40" s="192">
        <f t="shared" si="1"/>
        <v>9000000</v>
      </c>
    </row>
    <row r="41" spans="1:15" ht="22.5" customHeight="1">
      <c r="A41" s="406" t="s">
        <v>561</v>
      </c>
      <c r="B41" s="418">
        <v>600</v>
      </c>
      <c r="C41" s="418">
        <v>60015</v>
      </c>
      <c r="D41" s="415" t="s">
        <v>32</v>
      </c>
      <c r="E41" s="412" t="s">
        <v>571</v>
      </c>
      <c r="F41" s="412" t="s">
        <v>750</v>
      </c>
      <c r="G41" s="421">
        <v>33255000</v>
      </c>
      <c r="H41" s="321" t="s">
        <v>20</v>
      </c>
      <c r="I41" s="29">
        <f>SUM(I42,I43,I44)</f>
        <v>3420000</v>
      </c>
      <c r="J41" s="29">
        <f>SUM(J42,J43,J44)</f>
        <v>4977000</v>
      </c>
      <c r="K41" s="29">
        <f>SUM(K42,K43,K44)</f>
        <v>5402000</v>
      </c>
      <c r="L41" s="29">
        <f>SUM(L42,L43,L44)</f>
        <v>18550000</v>
      </c>
      <c r="M41" s="357">
        <f>G41-I41-J41-K41-L41</f>
        <v>906000</v>
      </c>
      <c r="N41" s="192">
        <f t="shared" si="0"/>
        <v>32349000</v>
      </c>
      <c r="O41" s="192">
        <f t="shared" si="1"/>
        <v>-906000</v>
      </c>
    </row>
    <row r="42" spans="1:15" s="145" customFormat="1" ht="23.25" customHeight="1">
      <c r="A42" s="407"/>
      <c r="B42" s="419"/>
      <c r="C42" s="419"/>
      <c r="D42" s="416"/>
      <c r="E42" s="413"/>
      <c r="F42" s="413"/>
      <c r="G42" s="422"/>
      <c r="H42" s="352" t="s">
        <v>21</v>
      </c>
      <c r="I42" s="148">
        <v>100000</v>
      </c>
      <c r="J42" s="148"/>
      <c r="K42" s="148"/>
      <c r="L42" s="353"/>
      <c r="M42" s="358"/>
      <c r="N42" s="192">
        <f t="shared" si="0"/>
        <v>100000</v>
      </c>
      <c r="O42" s="192">
        <f t="shared" si="1"/>
        <v>100000</v>
      </c>
    </row>
    <row r="43" spans="1:15" s="145" customFormat="1" ht="21" customHeight="1" hidden="1">
      <c r="A43" s="407"/>
      <c r="B43" s="419"/>
      <c r="C43" s="419"/>
      <c r="D43" s="416"/>
      <c r="E43" s="413"/>
      <c r="F43" s="413"/>
      <c r="G43" s="422"/>
      <c r="H43" s="352" t="s">
        <v>22</v>
      </c>
      <c r="I43" s="148"/>
      <c r="J43" s="148"/>
      <c r="K43" s="148"/>
      <c r="L43" s="353"/>
      <c r="M43" s="358"/>
      <c r="N43" s="192">
        <f t="shared" si="0"/>
        <v>0</v>
      </c>
      <c r="O43" s="192">
        <f t="shared" si="1"/>
        <v>0</v>
      </c>
    </row>
    <row r="44" spans="1:15" s="145" customFormat="1" ht="21" customHeight="1">
      <c r="A44" s="408"/>
      <c r="B44" s="420"/>
      <c r="C44" s="420"/>
      <c r="D44" s="417"/>
      <c r="E44" s="414"/>
      <c r="F44" s="414"/>
      <c r="G44" s="423"/>
      <c r="H44" s="349" t="s">
        <v>23</v>
      </c>
      <c r="I44" s="350">
        <v>3320000</v>
      </c>
      <c r="J44" s="350">
        <v>4977000</v>
      </c>
      <c r="K44" s="350">
        <v>5402000</v>
      </c>
      <c r="L44" s="351">
        <v>18550000</v>
      </c>
      <c r="M44" s="358"/>
      <c r="N44" s="192">
        <f t="shared" si="0"/>
        <v>32249000</v>
      </c>
      <c r="O44" s="192">
        <f t="shared" si="1"/>
        <v>32249000</v>
      </c>
    </row>
    <row r="45" spans="1:15" ht="21" customHeight="1">
      <c r="A45" s="406" t="s">
        <v>562</v>
      </c>
      <c r="B45" s="418">
        <v>600</v>
      </c>
      <c r="C45" s="418">
        <v>60015</v>
      </c>
      <c r="D45" s="415" t="s">
        <v>708</v>
      </c>
      <c r="E45" s="412" t="s">
        <v>571</v>
      </c>
      <c r="F45" s="412" t="s">
        <v>751</v>
      </c>
      <c r="G45" s="421">
        <v>131250000</v>
      </c>
      <c r="H45" s="321" t="s">
        <v>20</v>
      </c>
      <c r="I45" s="29">
        <f>SUM(I46,I47,I48)</f>
        <v>11332000</v>
      </c>
      <c r="J45" s="29">
        <f>SUM(J46,J47,J48)</f>
        <v>18378000</v>
      </c>
      <c r="K45" s="29">
        <f>SUM(K46,K47,K48)</f>
        <v>15490000</v>
      </c>
      <c r="L45" s="29">
        <f>SUM(L46,L47,L48)</f>
        <v>83000000</v>
      </c>
      <c r="M45" s="357">
        <f>G45-I45-J45-K45-L45</f>
        <v>3050000</v>
      </c>
      <c r="N45" s="192">
        <f t="shared" si="0"/>
        <v>128200000</v>
      </c>
      <c r="O45" s="192">
        <f t="shared" si="1"/>
        <v>-3050000</v>
      </c>
    </row>
    <row r="46" spans="1:15" s="145" customFormat="1" ht="21" customHeight="1">
      <c r="A46" s="407"/>
      <c r="B46" s="419"/>
      <c r="C46" s="419"/>
      <c r="D46" s="416"/>
      <c r="E46" s="413"/>
      <c r="F46" s="413"/>
      <c r="G46" s="422"/>
      <c r="H46" s="347" t="s">
        <v>21</v>
      </c>
      <c r="I46" s="142">
        <v>1700000</v>
      </c>
      <c r="J46" s="142">
        <v>1444000</v>
      </c>
      <c r="K46" s="142">
        <v>1011000</v>
      </c>
      <c r="L46" s="348">
        <v>12450000</v>
      </c>
      <c r="M46" s="358"/>
      <c r="N46" s="192">
        <f t="shared" si="0"/>
        <v>16605000</v>
      </c>
      <c r="O46" s="192">
        <f t="shared" si="1"/>
        <v>16605000</v>
      </c>
    </row>
    <row r="47" spans="1:15" s="145" customFormat="1" ht="21" customHeight="1" hidden="1">
      <c r="A47" s="407"/>
      <c r="B47" s="419"/>
      <c r="C47" s="419"/>
      <c r="D47" s="416"/>
      <c r="E47" s="413"/>
      <c r="F47" s="413"/>
      <c r="G47" s="422"/>
      <c r="H47" s="352" t="s">
        <v>22</v>
      </c>
      <c r="I47" s="148"/>
      <c r="J47" s="148"/>
      <c r="K47" s="148"/>
      <c r="L47" s="353"/>
      <c r="M47" s="358"/>
      <c r="N47" s="192">
        <f t="shared" si="0"/>
        <v>0</v>
      </c>
      <c r="O47" s="192">
        <f t="shared" si="1"/>
        <v>0</v>
      </c>
    </row>
    <row r="48" spans="1:15" s="145" customFormat="1" ht="21" customHeight="1">
      <c r="A48" s="408"/>
      <c r="B48" s="420"/>
      <c r="C48" s="420"/>
      <c r="D48" s="417"/>
      <c r="E48" s="414"/>
      <c r="F48" s="414"/>
      <c r="G48" s="423"/>
      <c r="H48" s="349" t="s">
        <v>23</v>
      </c>
      <c r="I48" s="350">
        <v>9632000</v>
      </c>
      <c r="J48" s="350">
        <f>8184000+8750000</f>
        <v>16934000</v>
      </c>
      <c r="K48" s="350">
        <f>5729000+8750000</f>
        <v>14479000</v>
      </c>
      <c r="L48" s="351">
        <v>70550000</v>
      </c>
      <c r="M48" s="358"/>
      <c r="N48" s="192">
        <f t="shared" si="0"/>
        <v>111595000</v>
      </c>
      <c r="O48" s="192">
        <f t="shared" si="1"/>
        <v>111595000</v>
      </c>
    </row>
    <row r="49" spans="1:15" ht="21" customHeight="1">
      <c r="A49" s="406" t="s">
        <v>563</v>
      </c>
      <c r="B49" s="418">
        <v>600</v>
      </c>
      <c r="C49" s="418">
        <v>60015</v>
      </c>
      <c r="D49" s="415" t="s">
        <v>709</v>
      </c>
      <c r="E49" s="412" t="s">
        <v>571</v>
      </c>
      <c r="F49" s="412" t="s">
        <v>752</v>
      </c>
      <c r="G49" s="421">
        <v>6418000</v>
      </c>
      <c r="H49" s="321" t="s">
        <v>20</v>
      </c>
      <c r="I49" s="29">
        <f>SUM(I50,I51,I52)</f>
        <v>4000000</v>
      </c>
      <c r="J49" s="29">
        <f>SUM(J50,J51,J52)</f>
        <v>0</v>
      </c>
      <c r="K49" s="29">
        <f>SUM(K50,K51,K52)</f>
        <v>0</v>
      </c>
      <c r="L49" s="29">
        <f>SUM(L50,L51,L52)</f>
        <v>0</v>
      </c>
      <c r="M49" s="357">
        <f>G49-I49-J49-K49-L49</f>
        <v>2418000</v>
      </c>
      <c r="N49" s="192">
        <f t="shared" si="0"/>
        <v>4000000</v>
      </c>
      <c r="O49" s="192">
        <f t="shared" si="1"/>
        <v>-2418000</v>
      </c>
    </row>
    <row r="50" spans="1:15" s="145" customFormat="1" ht="21" customHeight="1">
      <c r="A50" s="407"/>
      <c r="B50" s="419"/>
      <c r="C50" s="419"/>
      <c r="D50" s="416"/>
      <c r="E50" s="413"/>
      <c r="F50" s="413"/>
      <c r="G50" s="422"/>
      <c r="H50" s="352" t="s">
        <v>21</v>
      </c>
      <c r="I50" s="148">
        <v>3485000</v>
      </c>
      <c r="J50" s="148"/>
      <c r="K50" s="148"/>
      <c r="L50" s="353"/>
      <c r="M50" s="358"/>
      <c r="N50" s="192">
        <f t="shared" si="0"/>
        <v>3485000</v>
      </c>
      <c r="O50" s="192">
        <f t="shared" si="1"/>
        <v>3485000</v>
      </c>
    </row>
    <row r="51" spans="1:15" s="145" customFormat="1" ht="21" customHeight="1">
      <c r="A51" s="407"/>
      <c r="B51" s="419"/>
      <c r="C51" s="419"/>
      <c r="D51" s="416"/>
      <c r="E51" s="413"/>
      <c r="F51" s="413"/>
      <c r="G51" s="422"/>
      <c r="H51" s="352" t="s">
        <v>789</v>
      </c>
      <c r="I51" s="148">
        <v>515000</v>
      </c>
      <c r="J51" s="148"/>
      <c r="K51" s="148"/>
      <c r="L51" s="353"/>
      <c r="M51" s="358"/>
      <c r="N51" s="192">
        <f t="shared" si="0"/>
        <v>515000</v>
      </c>
      <c r="O51" s="192">
        <f t="shared" si="1"/>
        <v>515000</v>
      </c>
    </row>
    <row r="52" spans="1:15" s="145" customFormat="1" ht="21" customHeight="1">
      <c r="A52" s="408"/>
      <c r="B52" s="420"/>
      <c r="C52" s="420"/>
      <c r="D52" s="417"/>
      <c r="E52" s="414"/>
      <c r="F52" s="414"/>
      <c r="G52" s="423"/>
      <c r="H52" s="349" t="s">
        <v>23</v>
      </c>
      <c r="I52" s="350"/>
      <c r="J52" s="350"/>
      <c r="K52" s="350"/>
      <c r="L52" s="351"/>
      <c r="M52" s="358"/>
      <c r="N52" s="192">
        <f t="shared" si="0"/>
        <v>0</v>
      </c>
      <c r="O52" s="192">
        <f t="shared" si="1"/>
        <v>0</v>
      </c>
    </row>
    <row r="53" spans="1:15" ht="21" customHeight="1">
      <c r="A53" s="406" t="s">
        <v>564</v>
      </c>
      <c r="B53" s="418">
        <v>600</v>
      </c>
      <c r="C53" s="418">
        <v>60015</v>
      </c>
      <c r="D53" s="412" t="s">
        <v>92</v>
      </c>
      <c r="E53" s="412" t="s">
        <v>571</v>
      </c>
      <c r="F53" s="412" t="s">
        <v>753</v>
      </c>
      <c r="G53" s="421">
        <v>3220000</v>
      </c>
      <c r="H53" s="321" t="s">
        <v>20</v>
      </c>
      <c r="I53" s="29">
        <f>SUM(I54,I55,I56)</f>
        <v>2400000</v>
      </c>
      <c r="J53" s="29">
        <f>SUM(J54,J55,J56)</f>
        <v>0</v>
      </c>
      <c r="K53" s="29">
        <f>SUM(K54,K55,K56)</f>
        <v>0</v>
      </c>
      <c r="L53" s="29">
        <f>SUM(L54,L55,L56)</f>
        <v>0</v>
      </c>
      <c r="M53" s="357">
        <f>G53-I53-J53-K53-L53</f>
        <v>820000</v>
      </c>
      <c r="N53" s="192">
        <f t="shared" si="0"/>
        <v>2400000</v>
      </c>
      <c r="O53" s="192">
        <f t="shared" si="1"/>
        <v>-820000</v>
      </c>
    </row>
    <row r="54" spans="1:15" s="145" customFormat="1" ht="21" customHeight="1">
      <c r="A54" s="407"/>
      <c r="B54" s="419"/>
      <c r="C54" s="419"/>
      <c r="D54" s="413"/>
      <c r="E54" s="413"/>
      <c r="F54" s="413"/>
      <c r="G54" s="422"/>
      <c r="H54" s="352" t="s">
        <v>21</v>
      </c>
      <c r="I54" s="148">
        <v>2309000</v>
      </c>
      <c r="J54" s="148"/>
      <c r="K54" s="148"/>
      <c r="L54" s="353"/>
      <c r="M54" s="358"/>
      <c r="N54" s="192">
        <f t="shared" si="0"/>
        <v>2309000</v>
      </c>
      <c r="O54" s="192">
        <f t="shared" si="1"/>
        <v>2309000</v>
      </c>
    </row>
    <row r="55" spans="1:15" s="145" customFormat="1" ht="21" customHeight="1">
      <c r="A55" s="407"/>
      <c r="B55" s="419"/>
      <c r="C55" s="419"/>
      <c r="D55" s="413"/>
      <c r="E55" s="413"/>
      <c r="F55" s="413"/>
      <c r="G55" s="422"/>
      <c r="H55" s="352" t="s">
        <v>790</v>
      </c>
      <c r="I55" s="148">
        <v>91000</v>
      </c>
      <c r="J55" s="148"/>
      <c r="K55" s="148"/>
      <c r="L55" s="353"/>
      <c r="M55" s="358"/>
      <c r="N55" s="192">
        <f t="shared" si="0"/>
        <v>91000</v>
      </c>
      <c r="O55" s="192">
        <f t="shared" si="1"/>
        <v>91000</v>
      </c>
    </row>
    <row r="56" spans="1:15" s="145" customFormat="1" ht="21" customHeight="1">
      <c r="A56" s="408"/>
      <c r="B56" s="420"/>
      <c r="C56" s="420"/>
      <c r="D56" s="414"/>
      <c r="E56" s="414"/>
      <c r="F56" s="414"/>
      <c r="G56" s="423"/>
      <c r="H56" s="349" t="s">
        <v>23</v>
      </c>
      <c r="I56" s="350"/>
      <c r="J56" s="350"/>
      <c r="K56" s="350"/>
      <c r="L56" s="351"/>
      <c r="M56" s="358"/>
      <c r="N56" s="192">
        <f t="shared" si="0"/>
        <v>0</v>
      </c>
      <c r="O56" s="192">
        <f t="shared" si="1"/>
        <v>0</v>
      </c>
    </row>
    <row r="57" spans="1:15" ht="18.75" customHeight="1">
      <c r="A57" s="406" t="s">
        <v>565</v>
      </c>
      <c r="B57" s="418">
        <v>600</v>
      </c>
      <c r="C57" s="418">
        <v>60015</v>
      </c>
      <c r="D57" s="415" t="s">
        <v>710</v>
      </c>
      <c r="E57" s="412" t="s">
        <v>571</v>
      </c>
      <c r="F57" s="412" t="s">
        <v>754</v>
      </c>
      <c r="G57" s="421">
        <v>3203000</v>
      </c>
      <c r="H57" s="321" t="s">
        <v>20</v>
      </c>
      <c r="I57" s="29">
        <f>SUM(I58,I59,I60)</f>
        <v>50000</v>
      </c>
      <c r="J57" s="29">
        <f>SUM(J58,J59,J60)</f>
        <v>0</v>
      </c>
      <c r="K57" s="29">
        <f>SUM(K58,K59,K60)</f>
        <v>1000000</v>
      </c>
      <c r="L57" s="29">
        <f>SUM(L58,L59,L60)</f>
        <v>2000000</v>
      </c>
      <c r="M57" s="357">
        <f>G57-I57-J57-K57-L57</f>
        <v>153000</v>
      </c>
      <c r="N57" s="192">
        <f t="shared" si="0"/>
        <v>3050000</v>
      </c>
      <c r="O57" s="192">
        <f t="shared" si="1"/>
        <v>-153000</v>
      </c>
    </row>
    <row r="58" spans="1:15" s="145" customFormat="1" ht="21" customHeight="1">
      <c r="A58" s="407"/>
      <c r="B58" s="419"/>
      <c r="C58" s="419"/>
      <c r="D58" s="416"/>
      <c r="E58" s="413"/>
      <c r="F58" s="413"/>
      <c r="G58" s="422"/>
      <c r="H58" s="352" t="s">
        <v>21</v>
      </c>
      <c r="I58" s="148">
        <v>50000</v>
      </c>
      <c r="J58" s="148"/>
      <c r="K58" s="148">
        <v>462000</v>
      </c>
      <c r="L58" s="353">
        <v>940000</v>
      </c>
      <c r="M58" s="358"/>
      <c r="N58" s="192">
        <f t="shared" si="0"/>
        <v>1452000</v>
      </c>
      <c r="O58" s="192">
        <f t="shared" si="1"/>
        <v>1452000</v>
      </c>
    </row>
    <row r="59" spans="1:15" s="145" customFormat="1" ht="21" customHeight="1" hidden="1">
      <c r="A59" s="407"/>
      <c r="B59" s="419"/>
      <c r="C59" s="419"/>
      <c r="D59" s="416"/>
      <c r="E59" s="413"/>
      <c r="F59" s="413"/>
      <c r="G59" s="422"/>
      <c r="H59" s="352" t="s">
        <v>22</v>
      </c>
      <c r="I59" s="148"/>
      <c r="J59" s="148"/>
      <c r="K59" s="148"/>
      <c r="L59" s="353"/>
      <c r="M59" s="358"/>
      <c r="N59" s="192">
        <f t="shared" si="0"/>
        <v>0</v>
      </c>
      <c r="O59" s="192">
        <f t="shared" si="1"/>
        <v>0</v>
      </c>
    </row>
    <row r="60" spans="1:15" s="145" customFormat="1" ht="19.5" customHeight="1">
      <c r="A60" s="408"/>
      <c r="B60" s="420"/>
      <c r="C60" s="420"/>
      <c r="D60" s="417"/>
      <c r="E60" s="414"/>
      <c r="F60" s="414"/>
      <c r="G60" s="423"/>
      <c r="H60" s="349" t="s">
        <v>23</v>
      </c>
      <c r="I60" s="350"/>
      <c r="J60" s="350"/>
      <c r="K60" s="350">
        <v>538000</v>
      </c>
      <c r="L60" s="351">
        <v>1060000</v>
      </c>
      <c r="M60" s="358"/>
      <c r="N60" s="192">
        <f t="shared" si="0"/>
        <v>1598000</v>
      </c>
      <c r="O60" s="192">
        <f t="shared" si="1"/>
        <v>1598000</v>
      </c>
    </row>
    <row r="61" spans="1:15" ht="21" customHeight="1">
      <c r="A61" s="406" t="s">
        <v>566</v>
      </c>
      <c r="B61" s="418">
        <v>600</v>
      </c>
      <c r="C61" s="418">
        <v>60015</v>
      </c>
      <c r="D61" s="415" t="s">
        <v>91</v>
      </c>
      <c r="E61" s="412" t="s">
        <v>571</v>
      </c>
      <c r="F61" s="412" t="s">
        <v>750</v>
      </c>
      <c r="G61" s="421">
        <v>9620000</v>
      </c>
      <c r="H61" s="321" t="s">
        <v>20</v>
      </c>
      <c r="I61" s="29">
        <f>SUM(I62,I63,I64)</f>
        <v>2700000</v>
      </c>
      <c r="J61" s="29">
        <f>SUM(J62,J63,J64)</f>
        <v>0</v>
      </c>
      <c r="K61" s="29">
        <f>SUM(K62,K63,K64)</f>
        <v>0</v>
      </c>
      <c r="L61" s="29">
        <f>SUM(L62,L63,L64)</f>
        <v>6500000</v>
      </c>
      <c r="M61" s="357">
        <f>G61-I61-J61-K61-L61</f>
        <v>420000</v>
      </c>
      <c r="N61" s="192">
        <f t="shared" si="0"/>
        <v>9200000</v>
      </c>
      <c r="O61" s="192">
        <f t="shared" si="1"/>
        <v>-420000</v>
      </c>
    </row>
    <row r="62" spans="1:15" s="145" customFormat="1" ht="21" customHeight="1">
      <c r="A62" s="407"/>
      <c r="B62" s="419"/>
      <c r="C62" s="419"/>
      <c r="D62" s="416"/>
      <c r="E62" s="413"/>
      <c r="F62" s="413"/>
      <c r="G62" s="422"/>
      <c r="H62" s="352" t="s">
        <v>21</v>
      </c>
      <c r="I62" s="148">
        <v>2390000</v>
      </c>
      <c r="J62" s="148"/>
      <c r="K62" s="148"/>
      <c r="L62" s="353">
        <v>6500000</v>
      </c>
      <c r="M62" s="358"/>
      <c r="N62" s="192">
        <f t="shared" si="0"/>
        <v>8890000</v>
      </c>
      <c r="O62" s="192">
        <f t="shared" si="1"/>
        <v>8890000</v>
      </c>
    </row>
    <row r="63" spans="1:15" s="145" customFormat="1" ht="23.25" customHeight="1">
      <c r="A63" s="407"/>
      <c r="B63" s="419"/>
      <c r="C63" s="419"/>
      <c r="D63" s="416"/>
      <c r="E63" s="413"/>
      <c r="F63" s="413"/>
      <c r="G63" s="422"/>
      <c r="H63" s="352" t="s">
        <v>790</v>
      </c>
      <c r="I63" s="148">
        <v>310000</v>
      </c>
      <c r="J63" s="148"/>
      <c r="K63" s="148"/>
      <c r="L63" s="353"/>
      <c r="M63" s="358"/>
      <c r="N63" s="192">
        <f t="shared" si="0"/>
        <v>310000</v>
      </c>
      <c r="O63" s="192">
        <f t="shared" si="1"/>
        <v>310000</v>
      </c>
    </row>
    <row r="64" spans="1:15" s="145" customFormat="1" ht="19.5" customHeight="1">
      <c r="A64" s="408"/>
      <c r="B64" s="420"/>
      <c r="C64" s="420"/>
      <c r="D64" s="417"/>
      <c r="E64" s="414"/>
      <c r="F64" s="414"/>
      <c r="G64" s="423"/>
      <c r="H64" s="349" t="s">
        <v>23</v>
      </c>
      <c r="I64" s="350"/>
      <c r="J64" s="350"/>
      <c r="K64" s="350"/>
      <c r="L64" s="351"/>
      <c r="M64" s="358"/>
      <c r="N64" s="192">
        <f t="shared" si="0"/>
        <v>0</v>
      </c>
      <c r="O64" s="192">
        <f t="shared" si="1"/>
        <v>0</v>
      </c>
    </row>
    <row r="65" spans="1:15" ht="21" customHeight="1">
      <c r="A65" s="406" t="s">
        <v>567</v>
      </c>
      <c r="B65" s="418" t="s">
        <v>231</v>
      </c>
      <c r="C65" s="418" t="s">
        <v>468</v>
      </c>
      <c r="D65" s="415" t="s">
        <v>61</v>
      </c>
      <c r="E65" s="412" t="s">
        <v>571</v>
      </c>
      <c r="F65" s="412" t="s">
        <v>755</v>
      </c>
      <c r="G65" s="421">
        <v>2173000</v>
      </c>
      <c r="H65" s="321" t="s">
        <v>20</v>
      </c>
      <c r="I65" s="29">
        <f>SUM(I66,I67,I68)</f>
        <v>23000</v>
      </c>
      <c r="J65" s="29">
        <f>SUM(J66,J67,J68)</f>
        <v>1491000</v>
      </c>
      <c r="K65" s="29">
        <f>SUM(K66,K67,K68)</f>
        <v>577000</v>
      </c>
      <c r="L65" s="29">
        <f>SUM(L66,L67,L68)</f>
        <v>0</v>
      </c>
      <c r="M65" s="357">
        <f>G65-I65-J65-K65-L65</f>
        <v>82000</v>
      </c>
      <c r="N65" s="192">
        <f t="shared" si="0"/>
        <v>2091000</v>
      </c>
      <c r="O65" s="192">
        <f t="shared" si="1"/>
        <v>-82000</v>
      </c>
    </row>
    <row r="66" spans="1:15" s="145" customFormat="1" ht="21" customHeight="1">
      <c r="A66" s="407"/>
      <c r="B66" s="419"/>
      <c r="C66" s="419"/>
      <c r="D66" s="416"/>
      <c r="E66" s="413"/>
      <c r="F66" s="413"/>
      <c r="G66" s="422"/>
      <c r="H66" s="352" t="s">
        <v>21</v>
      </c>
      <c r="I66" s="148">
        <v>23000</v>
      </c>
      <c r="J66" s="148">
        <v>1308000</v>
      </c>
      <c r="K66" s="148">
        <v>577000</v>
      </c>
      <c r="L66" s="353"/>
      <c r="M66" s="358"/>
      <c r="N66" s="192">
        <f t="shared" si="0"/>
        <v>1908000</v>
      </c>
      <c r="O66" s="192">
        <f t="shared" si="1"/>
        <v>1908000</v>
      </c>
    </row>
    <row r="67" spans="1:15" s="145" customFormat="1" ht="21" customHeight="1">
      <c r="A67" s="407"/>
      <c r="B67" s="419"/>
      <c r="C67" s="419"/>
      <c r="D67" s="416"/>
      <c r="E67" s="413"/>
      <c r="F67" s="413"/>
      <c r="G67" s="422"/>
      <c r="H67" s="352" t="s">
        <v>790</v>
      </c>
      <c r="I67" s="148"/>
      <c r="J67" s="148">
        <v>183000</v>
      </c>
      <c r="K67" s="148"/>
      <c r="L67" s="353"/>
      <c r="M67" s="358"/>
      <c r="N67" s="192">
        <f t="shared" si="0"/>
        <v>183000</v>
      </c>
      <c r="O67" s="192">
        <f t="shared" si="1"/>
        <v>183000</v>
      </c>
    </row>
    <row r="68" spans="1:15" s="145" customFormat="1" ht="21" customHeight="1">
      <c r="A68" s="408"/>
      <c r="B68" s="420"/>
      <c r="C68" s="420"/>
      <c r="D68" s="417"/>
      <c r="E68" s="414"/>
      <c r="F68" s="414"/>
      <c r="G68" s="423"/>
      <c r="H68" s="349" t="s">
        <v>23</v>
      </c>
      <c r="I68" s="350"/>
      <c r="J68" s="350"/>
      <c r="K68" s="350"/>
      <c r="L68" s="351"/>
      <c r="M68" s="358"/>
      <c r="N68" s="192">
        <f t="shared" si="0"/>
        <v>0</v>
      </c>
      <c r="O68" s="192">
        <f t="shared" si="1"/>
        <v>0</v>
      </c>
    </row>
    <row r="69" spans="1:15" ht="21" customHeight="1">
      <c r="A69" s="406" t="s">
        <v>568</v>
      </c>
      <c r="B69" s="418" t="s">
        <v>231</v>
      </c>
      <c r="C69" s="418" t="s">
        <v>468</v>
      </c>
      <c r="D69" s="415" t="s">
        <v>714</v>
      </c>
      <c r="E69" s="412" t="s">
        <v>571</v>
      </c>
      <c r="F69" s="412" t="s">
        <v>756</v>
      </c>
      <c r="G69" s="421">
        <v>1610000</v>
      </c>
      <c r="H69" s="321" t="s">
        <v>20</v>
      </c>
      <c r="I69" s="29">
        <f>SUM(I70,I71,I72)</f>
        <v>1590000</v>
      </c>
      <c r="J69" s="29">
        <f>SUM(J70,J71,J72)</f>
        <v>0</v>
      </c>
      <c r="K69" s="29">
        <f>SUM(K70,K71,K72)</f>
        <v>0</v>
      </c>
      <c r="L69" s="29">
        <f>SUM(L70,L71,L72)</f>
        <v>0</v>
      </c>
      <c r="M69" s="357">
        <f>G69-I69-J69-K69-L69</f>
        <v>20000</v>
      </c>
      <c r="N69" s="192">
        <f t="shared" si="0"/>
        <v>1590000</v>
      </c>
      <c r="O69" s="192">
        <f t="shared" si="1"/>
        <v>-20000</v>
      </c>
    </row>
    <row r="70" spans="1:15" s="145" customFormat="1" ht="21" customHeight="1">
      <c r="A70" s="407"/>
      <c r="B70" s="419"/>
      <c r="C70" s="419"/>
      <c r="D70" s="416"/>
      <c r="E70" s="413"/>
      <c r="F70" s="413"/>
      <c r="G70" s="422"/>
      <c r="H70" s="347" t="s">
        <v>21</v>
      </c>
      <c r="I70" s="142">
        <v>230000</v>
      </c>
      <c r="J70" s="142"/>
      <c r="K70" s="142"/>
      <c r="L70" s="348"/>
      <c r="M70" s="358"/>
      <c r="N70" s="192">
        <f t="shared" si="0"/>
        <v>230000</v>
      </c>
      <c r="O70" s="192">
        <f t="shared" si="1"/>
        <v>230000</v>
      </c>
    </row>
    <row r="71" spans="1:15" s="145" customFormat="1" ht="21" customHeight="1" hidden="1">
      <c r="A71" s="407"/>
      <c r="B71" s="419"/>
      <c r="C71" s="419"/>
      <c r="D71" s="416"/>
      <c r="E71" s="413"/>
      <c r="F71" s="413"/>
      <c r="G71" s="422"/>
      <c r="H71" s="352" t="s">
        <v>22</v>
      </c>
      <c r="I71" s="148"/>
      <c r="J71" s="148"/>
      <c r="K71" s="148"/>
      <c r="L71" s="353"/>
      <c r="M71" s="358"/>
      <c r="N71" s="192">
        <f aca="true" t="shared" si="2" ref="N71:N134">L71+K71+J71+I71</f>
        <v>0</v>
      </c>
      <c r="O71" s="192">
        <f aca="true" t="shared" si="3" ref="O71:O134">N71-G71</f>
        <v>0</v>
      </c>
    </row>
    <row r="72" spans="1:15" s="145" customFormat="1" ht="21" customHeight="1">
      <c r="A72" s="408"/>
      <c r="B72" s="420"/>
      <c r="C72" s="420"/>
      <c r="D72" s="417"/>
      <c r="E72" s="414"/>
      <c r="F72" s="414"/>
      <c r="G72" s="423"/>
      <c r="H72" s="349" t="s">
        <v>23</v>
      </c>
      <c r="I72" s="350">
        <v>1360000</v>
      </c>
      <c r="J72" s="350"/>
      <c r="K72" s="350"/>
      <c r="L72" s="351"/>
      <c r="M72" s="358"/>
      <c r="N72" s="192">
        <f t="shared" si="2"/>
        <v>1360000</v>
      </c>
      <c r="O72" s="192">
        <f t="shared" si="3"/>
        <v>1360000</v>
      </c>
    </row>
    <row r="73" spans="1:15" ht="23.25" customHeight="1">
      <c r="A73" s="406" t="s">
        <v>569</v>
      </c>
      <c r="B73" s="418" t="s">
        <v>231</v>
      </c>
      <c r="C73" s="418" t="s">
        <v>468</v>
      </c>
      <c r="D73" s="415" t="s">
        <v>711</v>
      </c>
      <c r="E73" s="412" t="s">
        <v>571</v>
      </c>
      <c r="F73" s="412" t="s">
        <v>750</v>
      </c>
      <c r="G73" s="421">
        <v>13925000</v>
      </c>
      <c r="H73" s="321" t="s">
        <v>20</v>
      </c>
      <c r="I73" s="29">
        <f>SUM(I74,I75,I76)</f>
        <v>65000</v>
      </c>
      <c r="J73" s="29">
        <f>SUM(J74,J75,J76)</f>
        <v>500000</v>
      </c>
      <c r="K73" s="29">
        <f>SUM(K74,K75,K76)</f>
        <v>6305000</v>
      </c>
      <c r="L73" s="29">
        <f>SUM(L74,L75,L76)</f>
        <v>6970000</v>
      </c>
      <c r="M73" s="357">
        <f>G73-I73-J73-K73-L73</f>
        <v>85000</v>
      </c>
      <c r="N73" s="192">
        <f t="shared" si="2"/>
        <v>13840000</v>
      </c>
      <c r="O73" s="192">
        <f t="shared" si="3"/>
        <v>-85000</v>
      </c>
    </row>
    <row r="74" spans="1:15" s="145" customFormat="1" ht="22.5" customHeight="1">
      <c r="A74" s="407"/>
      <c r="B74" s="419"/>
      <c r="C74" s="419"/>
      <c r="D74" s="416"/>
      <c r="E74" s="413"/>
      <c r="F74" s="413"/>
      <c r="G74" s="422"/>
      <c r="H74" s="347" t="s">
        <v>21</v>
      </c>
      <c r="I74" s="142">
        <v>65000</v>
      </c>
      <c r="J74" s="142">
        <v>175000</v>
      </c>
      <c r="K74" s="142">
        <v>946000</v>
      </c>
      <c r="L74" s="348">
        <v>1045000</v>
      </c>
      <c r="M74" s="358"/>
      <c r="N74" s="192">
        <f t="shared" si="2"/>
        <v>2231000</v>
      </c>
      <c r="O74" s="192">
        <f t="shared" si="3"/>
        <v>2231000</v>
      </c>
    </row>
    <row r="75" spans="1:15" s="145" customFormat="1" ht="21" customHeight="1" hidden="1">
      <c r="A75" s="407"/>
      <c r="B75" s="419"/>
      <c r="C75" s="419"/>
      <c r="D75" s="416"/>
      <c r="E75" s="413"/>
      <c r="F75" s="413"/>
      <c r="G75" s="422"/>
      <c r="H75" s="352" t="s">
        <v>22</v>
      </c>
      <c r="I75" s="148"/>
      <c r="J75" s="148"/>
      <c r="K75" s="148"/>
      <c r="L75" s="353"/>
      <c r="M75" s="358"/>
      <c r="N75" s="192">
        <f t="shared" si="2"/>
        <v>0</v>
      </c>
      <c r="O75" s="192">
        <f t="shared" si="3"/>
        <v>0</v>
      </c>
    </row>
    <row r="76" spans="1:15" s="145" customFormat="1" ht="21.75" customHeight="1">
      <c r="A76" s="408"/>
      <c r="B76" s="420"/>
      <c r="C76" s="420"/>
      <c r="D76" s="417"/>
      <c r="E76" s="414"/>
      <c r="F76" s="414"/>
      <c r="G76" s="423"/>
      <c r="H76" s="349" t="s">
        <v>23</v>
      </c>
      <c r="I76" s="350"/>
      <c r="J76" s="350">
        <v>325000</v>
      </c>
      <c r="K76" s="350">
        <v>5359000</v>
      </c>
      <c r="L76" s="351">
        <v>5925000</v>
      </c>
      <c r="M76" s="358"/>
      <c r="N76" s="192">
        <f t="shared" si="2"/>
        <v>11609000</v>
      </c>
      <c r="O76" s="192">
        <f t="shared" si="3"/>
        <v>11609000</v>
      </c>
    </row>
    <row r="77" spans="1:15" ht="21" customHeight="1">
      <c r="A77" s="406" t="s">
        <v>570</v>
      </c>
      <c r="B77" s="418" t="s">
        <v>231</v>
      </c>
      <c r="C77" s="418" t="s">
        <v>468</v>
      </c>
      <c r="D77" s="415" t="s">
        <v>685</v>
      </c>
      <c r="E77" s="412" t="s">
        <v>571</v>
      </c>
      <c r="F77" s="412" t="s">
        <v>757</v>
      </c>
      <c r="G77" s="421">
        <v>4682000</v>
      </c>
      <c r="H77" s="321" t="s">
        <v>20</v>
      </c>
      <c r="I77" s="29">
        <f>SUM(I78,I79,I80)</f>
        <v>200000</v>
      </c>
      <c r="J77" s="29">
        <f>SUM(J78,J79,J80)</f>
        <v>4482000</v>
      </c>
      <c r="K77" s="29">
        <f>SUM(K78,K79,K80)</f>
        <v>0</v>
      </c>
      <c r="L77" s="29">
        <f>SUM(L78,L79,L80)</f>
        <v>0</v>
      </c>
      <c r="M77" s="357">
        <f>G77-I77-J77-K77-L77</f>
        <v>0</v>
      </c>
      <c r="N77" s="192">
        <f t="shared" si="2"/>
        <v>4682000</v>
      </c>
      <c r="O77" s="192">
        <f t="shared" si="3"/>
        <v>0</v>
      </c>
    </row>
    <row r="78" spans="1:15" s="145" customFormat="1" ht="21" customHeight="1">
      <c r="A78" s="407"/>
      <c r="B78" s="419"/>
      <c r="C78" s="419"/>
      <c r="D78" s="416"/>
      <c r="E78" s="413"/>
      <c r="F78" s="413"/>
      <c r="G78" s="422"/>
      <c r="H78" s="347" t="s">
        <v>21</v>
      </c>
      <c r="I78" s="142">
        <v>200000</v>
      </c>
      <c r="J78" s="142">
        <v>3082000</v>
      </c>
      <c r="K78" s="142"/>
      <c r="L78" s="348"/>
      <c r="M78" s="358"/>
      <c r="N78" s="192">
        <f t="shared" si="2"/>
        <v>3282000</v>
      </c>
      <c r="O78" s="192">
        <f t="shared" si="3"/>
        <v>3282000</v>
      </c>
    </row>
    <row r="79" spans="1:15" s="145" customFormat="1" ht="21" customHeight="1">
      <c r="A79" s="407"/>
      <c r="B79" s="419"/>
      <c r="C79" s="419"/>
      <c r="D79" s="416"/>
      <c r="E79" s="413"/>
      <c r="F79" s="413"/>
      <c r="G79" s="422"/>
      <c r="H79" s="347" t="s">
        <v>790</v>
      </c>
      <c r="I79" s="142"/>
      <c r="J79" s="142">
        <v>498000</v>
      </c>
      <c r="K79" s="142"/>
      <c r="L79" s="348"/>
      <c r="M79" s="358"/>
      <c r="N79" s="192">
        <f t="shared" si="2"/>
        <v>498000</v>
      </c>
      <c r="O79" s="192">
        <f t="shared" si="3"/>
        <v>498000</v>
      </c>
    </row>
    <row r="80" spans="1:15" s="145" customFormat="1" ht="21" customHeight="1">
      <c r="A80" s="408"/>
      <c r="B80" s="420"/>
      <c r="C80" s="420"/>
      <c r="D80" s="417"/>
      <c r="E80" s="414"/>
      <c r="F80" s="414"/>
      <c r="G80" s="423"/>
      <c r="H80" s="349" t="s">
        <v>23</v>
      </c>
      <c r="I80" s="350"/>
      <c r="J80" s="350">
        <f>498000+902000-J79</f>
        <v>902000</v>
      </c>
      <c r="K80" s="350"/>
      <c r="L80" s="351"/>
      <c r="M80" s="358"/>
      <c r="N80" s="192">
        <f t="shared" si="2"/>
        <v>902000</v>
      </c>
      <c r="O80" s="192">
        <f t="shared" si="3"/>
        <v>902000</v>
      </c>
    </row>
    <row r="81" spans="1:15" ht="22.5" customHeight="1">
      <c r="A81" s="406" t="s">
        <v>94</v>
      </c>
      <c r="B81" s="418" t="s">
        <v>231</v>
      </c>
      <c r="C81" s="418" t="s">
        <v>468</v>
      </c>
      <c r="D81" s="415" t="s">
        <v>758</v>
      </c>
      <c r="E81" s="412" t="s">
        <v>571</v>
      </c>
      <c r="F81" s="412" t="s">
        <v>759</v>
      </c>
      <c r="G81" s="421">
        <v>4289000</v>
      </c>
      <c r="H81" s="321" t="s">
        <v>20</v>
      </c>
      <c r="I81" s="29">
        <f>SUM(I82,I83,I84)</f>
        <v>1090000</v>
      </c>
      <c r="J81" s="29">
        <f>SUM(J82,J83,J84)</f>
        <v>1199000</v>
      </c>
      <c r="K81" s="29">
        <f>SUM(K82,K83,K84)</f>
        <v>2000000</v>
      </c>
      <c r="L81" s="29">
        <f>SUM(L82,L83,L84)</f>
        <v>0</v>
      </c>
      <c r="M81" s="357">
        <f>G81-I81-J81-K81-L81</f>
        <v>0</v>
      </c>
      <c r="N81" s="192">
        <f t="shared" si="2"/>
        <v>4289000</v>
      </c>
      <c r="O81" s="192">
        <f t="shared" si="3"/>
        <v>0</v>
      </c>
    </row>
    <row r="82" spans="1:15" s="145" customFormat="1" ht="21" customHeight="1">
      <c r="A82" s="407"/>
      <c r="B82" s="419"/>
      <c r="C82" s="419"/>
      <c r="D82" s="416"/>
      <c r="E82" s="413"/>
      <c r="F82" s="413"/>
      <c r="G82" s="422"/>
      <c r="H82" s="347" t="s">
        <v>21</v>
      </c>
      <c r="I82" s="142">
        <v>1090000</v>
      </c>
      <c r="J82" s="142">
        <v>1199000</v>
      </c>
      <c r="K82" s="142">
        <v>2000000</v>
      </c>
      <c r="L82" s="348"/>
      <c r="M82" s="358"/>
      <c r="N82" s="192">
        <f t="shared" si="2"/>
        <v>4289000</v>
      </c>
      <c r="O82" s="192">
        <f t="shared" si="3"/>
        <v>4289000</v>
      </c>
    </row>
    <row r="83" spans="1:15" s="145" customFormat="1" ht="21" customHeight="1" hidden="1">
      <c r="A83" s="407"/>
      <c r="B83" s="419"/>
      <c r="C83" s="419"/>
      <c r="D83" s="416"/>
      <c r="E83" s="413"/>
      <c r="F83" s="413"/>
      <c r="G83" s="422"/>
      <c r="H83" s="352" t="s">
        <v>22</v>
      </c>
      <c r="I83" s="148"/>
      <c r="J83" s="148"/>
      <c r="K83" s="148"/>
      <c r="L83" s="353"/>
      <c r="M83" s="358"/>
      <c r="N83" s="192">
        <f t="shared" si="2"/>
        <v>0</v>
      </c>
      <c r="O83" s="192">
        <f t="shared" si="3"/>
        <v>0</v>
      </c>
    </row>
    <row r="84" spans="1:15" s="145" customFormat="1" ht="21" customHeight="1">
      <c r="A84" s="408"/>
      <c r="B84" s="420"/>
      <c r="C84" s="420"/>
      <c r="D84" s="417"/>
      <c r="E84" s="414"/>
      <c r="F84" s="414"/>
      <c r="G84" s="423"/>
      <c r="H84" s="349" t="s">
        <v>23</v>
      </c>
      <c r="I84" s="350"/>
      <c r="J84" s="350"/>
      <c r="K84" s="350"/>
      <c r="L84" s="351"/>
      <c r="M84" s="358"/>
      <c r="N84" s="192">
        <f t="shared" si="2"/>
        <v>0</v>
      </c>
      <c r="O84" s="192">
        <f t="shared" si="3"/>
        <v>0</v>
      </c>
    </row>
    <row r="85" spans="1:15" ht="21" customHeight="1">
      <c r="A85" s="406" t="s">
        <v>95</v>
      </c>
      <c r="B85" s="409" t="s">
        <v>231</v>
      </c>
      <c r="C85" s="409" t="s">
        <v>421</v>
      </c>
      <c r="D85" s="415" t="s">
        <v>777</v>
      </c>
      <c r="E85" s="412" t="s">
        <v>571</v>
      </c>
      <c r="F85" s="412" t="s">
        <v>778</v>
      </c>
      <c r="G85" s="421">
        <v>1934000</v>
      </c>
      <c r="H85" s="321" t="s">
        <v>20</v>
      </c>
      <c r="I85" s="29">
        <f>SUM(I86,I87,I88)</f>
        <v>0</v>
      </c>
      <c r="J85" s="29">
        <f>SUM(J86,J87,J88)</f>
        <v>1130000</v>
      </c>
      <c r="K85" s="29">
        <f>SUM(K86,K87,K88)</f>
        <v>0</v>
      </c>
      <c r="L85" s="29">
        <f>SUM(L86,L87,L88)</f>
        <v>0</v>
      </c>
      <c r="M85" s="357">
        <f>G85-I85-J85-K85-L85</f>
        <v>804000</v>
      </c>
      <c r="N85" s="192">
        <f t="shared" si="2"/>
        <v>1130000</v>
      </c>
      <c r="O85" s="192">
        <f t="shared" si="3"/>
        <v>-804000</v>
      </c>
    </row>
    <row r="86" spans="1:15" s="145" customFormat="1" ht="21" customHeight="1">
      <c r="A86" s="407"/>
      <c r="B86" s="410"/>
      <c r="C86" s="410"/>
      <c r="D86" s="416"/>
      <c r="E86" s="413"/>
      <c r="F86" s="413"/>
      <c r="G86" s="422"/>
      <c r="H86" s="352" t="s">
        <v>21</v>
      </c>
      <c r="I86" s="148"/>
      <c r="J86" s="148">
        <v>1130000</v>
      </c>
      <c r="K86" s="148"/>
      <c r="L86" s="353"/>
      <c r="M86" s="358"/>
      <c r="N86" s="192">
        <f t="shared" si="2"/>
        <v>1130000</v>
      </c>
      <c r="O86" s="192">
        <f t="shared" si="3"/>
        <v>1130000</v>
      </c>
    </row>
    <row r="87" spans="1:15" s="145" customFormat="1" ht="21" customHeight="1" hidden="1">
      <c r="A87" s="407"/>
      <c r="B87" s="410"/>
      <c r="C87" s="410"/>
      <c r="D87" s="416"/>
      <c r="E87" s="413"/>
      <c r="F87" s="413"/>
      <c r="G87" s="422"/>
      <c r="H87" s="352" t="s">
        <v>22</v>
      </c>
      <c r="I87" s="148"/>
      <c r="J87" s="148"/>
      <c r="K87" s="148"/>
      <c r="L87" s="353"/>
      <c r="M87" s="358"/>
      <c r="N87" s="192">
        <f t="shared" si="2"/>
        <v>0</v>
      </c>
      <c r="O87" s="192">
        <f t="shared" si="3"/>
        <v>0</v>
      </c>
    </row>
    <row r="88" spans="1:15" s="145" customFormat="1" ht="21" customHeight="1">
      <c r="A88" s="408"/>
      <c r="B88" s="411"/>
      <c r="C88" s="411"/>
      <c r="D88" s="417"/>
      <c r="E88" s="414"/>
      <c r="F88" s="414"/>
      <c r="G88" s="423"/>
      <c r="H88" s="349" t="s">
        <v>23</v>
      </c>
      <c r="I88" s="350"/>
      <c r="J88" s="350"/>
      <c r="K88" s="350"/>
      <c r="L88" s="351"/>
      <c r="M88" s="358"/>
      <c r="N88" s="192">
        <f t="shared" si="2"/>
        <v>0</v>
      </c>
      <c r="O88" s="192">
        <f t="shared" si="3"/>
        <v>0</v>
      </c>
    </row>
    <row r="89" spans="1:15" ht="21" customHeight="1">
      <c r="A89" s="406" t="s">
        <v>96</v>
      </c>
      <c r="B89" s="409" t="s">
        <v>231</v>
      </c>
      <c r="C89" s="409" t="s">
        <v>421</v>
      </c>
      <c r="D89" s="415" t="s">
        <v>787</v>
      </c>
      <c r="E89" s="412" t="s">
        <v>571</v>
      </c>
      <c r="F89" s="412" t="s">
        <v>770</v>
      </c>
      <c r="G89" s="421">
        <v>3923000</v>
      </c>
      <c r="H89" s="321" t="s">
        <v>20</v>
      </c>
      <c r="I89" s="29">
        <f>SUM(I90,I91,I92)</f>
        <v>0</v>
      </c>
      <c r="J89" s="29">
        <f>SUM(J90,J91,J92)</f>
        <v>1316000</v>
      </c>
      <c r="K89" s="29">
        <f>SUM(K90,K91,K92)</f>
        <v>1495000</v>
      </c>
      <c r="L89" s="29">
        <f>SUM(L90,L91,L92)</f>
        <v>0</v>
      </c>
      <c r="M89" s="357">
        <f>G89-I89-J89-K89-L89</f>
        <v>1112000</v>
      </c>
      <c r="N89" s="192">
        <f t="shared" si="2"/>
        <v>2811000</v>
      </c>
      <c r="O89" s="192">
        <f t="shared" si="3"/>
        <v>-1112000</v>
      </c>
    </row>
    <row r="90" spans="1:15" s="145" customFormat="1" ht="21" customHeight="1">
      <c r="A90" s="407"/>
      <c r="B90" s="410"/>
      <c r="C90" s="410"/>
      <c r="D90" s="416"/>
      <c r="E90" s="413"/>
      <c r="F90" s="413"/>
      <c r="G90" s="422"/>
      <c r="H90" s="352" t="s">
        <v>21</v>
      </c>
      <c r="I90" s="148"/>
      <c r="J90" s="148">
        <v>895000</v>
      </c>
      <c r="K90" s="148">
        <v>1017000</v>
      </c>
      <c r="L90" s="353"/>
      <c r="M90" s="358"/>
      <c r="N90" s="192">
        <f t="shared" si="2"/>
        <v>1912000</v>
      </c>
      <c r="O90" s="192">
        <f t="shared" si="3"/>
        <v>1912000</v>
      </c>
    </row>
    <row r="91" spans="1:15" s="145" customFormat="1" ht="21" customHeight="1">
      <c r="A91" s="407"/>
      <c r="B91" s="410"/>
      <c r="C91" s="410"/>
      <c r="D91" s="416"/>
      <c r="E91" s="413"/>
      <c r="F91" s="413"/>
      <c r="G91" s="422"/>
      <c r="H91" s="352" t="s">
        <v>790</v>
      </c>
      <c r="I91" s="148"/>
      <c r="J91" s="148">
        <v>421000</v>
      </c>
      <c r="K91" s="148">
        <v>478000</v>
      </c>
      <c r="L91" s="348"/>
      <c r="M91" s="358"/>
      <c r="N91" s="192">
        <f t="shared" si="2"/>
        <v>899000</v>
      </c>
      <c r="O91" s="192">
        <f t="shared" si="3"/>
        <v>899000</v>
      </c>
    </row>
    <row r="92" spans="1:15" s="145" customFormat="1" ht="21" customHeight="1">
      <c r="A92" s="408"/>
      <c r="B92" s="411"/>
      <c r="C92" s="411"/>
      <c r="D92" s="417"/>
      <c r="E92" s="414"/>
      <c r="F92" s="414"/>
      <c r="G92" s="423"/>
      <c r="H92" s="349" t="s">
        <v>23</v>
      </c>
      <c r="I92" s="350"/>
      <c r="J92" s="350"/>
      <c r="K92" s="350"/>
      <c r="L92" s="351"/>
      <c r="M92" s="358"/>
      <c r="N92" s="192">
        <f t="shared" si="2"/>
        <v>0</v>
      </c>
      <c r="O92" s="192">
        <f t="shared" si="3"/>
        <v>0</v>
      </c>
    </row>
    <row r="93" spans="1:15" ht="19.5" customHeight="1">
      <c r="A93" s="406" t="s">
        <v>97</v>
      </c>
      <c r="B93" s="409" t="s">
        <v>231</v>
      </c>
      <c r="C93" s="409" t="s">
        <v>421</v>
      </c>
      <c r="D93" s="415" t="s">
        <v>779</v>
      </c>
      <c r="E93" s="412" t="s">
        <v>571</v>
      </c>
      <c r="F93" s="412" t="s">
        <v>761</v>
      </c>
      <c r="G93" s="421">
        <v>14194000</v>
      </c>
      <c r="H93" s="321" t="s">
        <v>20</v>
      </c>
      <c r="I93" s="29">
        <f>SUM(I94,I95,I96)</f>
        <v>0</v>
      </c>
      <c r="J93" s="29">
        <f>SUM(J94,J95,J96)</f>
        <v>3080000</v>
      </c>
      <c r="K93" s="29">
        <f>SUM(K94,K95,K96)</f>
        <v>1998000</v>
      </c>
      <c r="L93" s="29">
        <f>SUM(L94,L95,L96)</f>
        <v>6139000</v>
      </c>
      <c r="M93" s="357">
        <f>G93-I93-J93-K93-L93</f>
        <v>2977000</v>
      </c>
      <c r="N93" s="192">
        <f t="shared" si="2"/>
        <v>11217000</v>
      </c>
      <c r="O93" s="192">
        <f t="shared" si="3"/>
        <v>-2977000</v>
      </c>
    </row>
    <row r="94" spans="1:15" s="145" customFormat="1" ht="19.5" customHeight="1">
      <c r="A94" s="407"/>
      <c r="B94" s="410"/>
      <c r="C94" s="410"/>
      <c r="D94" s="416"/>
      <c r="E94" s="413"/>
      <c r="F94" s="413"/>
      <c r="G94" s="422"/>
      <c r="H94" s="347" t="s">
        <v>21</v>
      </c>
      <c r="I94" s="142"/>
      <c r="J94" s="142">
        <v>3080000</v>
      </c>
      <c r="K94" s="142">
        <v>1613000</v>
      </c>
      <c r="L94" s="348">
        <v>5589000</v>
      </c>
      <c r="M94" s="358"/>
      <c r="N94" s="192">
        <f t="shared" si="2"/>
        <v>10282000</v>
      </c>
      <c r="O94" s="192">
        <f t="shared" si="3"/>
        <v>10282000</v>
      </c>
    </row>
    <row r="95" spans="1:15" s="145" customFormat="1" ht="19.5" customHeight="1">
      <c r="A95" s="407"/>
      <c r="B95" s="410"/>
      <c r="C95" s="410"/>
      <c r="D95" s="416"/>
      <c r="E95" s="413"/>
      <c r="F95" s="413"/>
      <c r="G95" s="422"/>
      <c r="H95" s="352" t="s">
        <v>790</v>
      </c>
      <c r="I95" s="148"/>
      <c r="J95" s="148"/>
      <c r="K95" s="148">
        <v>385000</v>
      </c>
      <c r="L95" s="353">
        <v>550000</v>
      </c>
      <c r="M95" s="358"/>
      <c r="N95" s="192">
        <f t="shared" si="2"/>
        <v>935000</v>
      </c>
      <c r="O95" s="192">
        <f t="shared" si="3"/>
        <v>935000</v>
      </c>
    </row>
    <row r="96" spans="1:15" s="145" customFormat="1" ht="19.5" customHeight="1">
      <c r="A96" s="408"/>
      <c r="B96" s="411"/>
      <c r="C96" s="411"/>
      <c r="D96" s="417"/>
      <c r="E96" s="414"/>
      <c r="F96" s="414"/>
      <c r="G96" s="423"/>
      <c r="H96" s="349" t="s">
        <v>23</v>
      </c>
      <c r="I96" s="350"/>
      <c r="J96" s="350"/>
      <c r="K96" s="350"/>
      <c r="L96" s="351"/>
      <c r="M96" s="358"/>
      <c r="N96" s="192">
        <f t="shared" si="2"/>
        <v>0</v>
      </c>
      <c r="O96" s="192">
        <f t="shared" si="3"/>
        <v>0</v>
      </c>
    </row>
    <row r="97" spans="1:15" ht="19.5" customHeight="1">
      <c r="A97" s="406" t="s">
        <v>98</v>
      </c>
      <c r="B97" s="409" t="s">
        <v>231</v>
      </c>
      <c r="C97" s="409" t="s">
        <v>421</v>
      </c>
      <c r="D97" s="415" t="s">
        <v>780</v>
      </c>
      <c r="E97" s="412" t="s">
        <v>571</v>
      </c>
      <c r="F97" s="412" t="s">
        <v>778</v>
      </c>
      <c r="G97" s="421">
        <v>2252000</v>
      </c>
      <c r="H97" s="321" t="s">
        <v>20</v>
      </c>
      <c r="I97" s="29">
        <f>SUM(I98,I99,I100)</f>
        <v>0</v>
      </c>
      <c r="J97" s="29">
        <f>SUM(J98,J99,J100)</f>
        <v>1812000</v>
      </c>
      <c r="K97" s="29">
        <f>SUM(K98,K99,K100)</f>
        <v>0</v>
      </c>
      <c r="L97" s="29">
        <f>SUM(L98,L99,L100)</f>
        <v>0</v>
      </c>
      <c r="M97" s="357">
        <f>G97-I97-J97-K97-L97</f>
        <v>440000</v>
      </c>
      <c r="N97" s="192">
        <f t="shared" si="2"/>
        <v>1812000</v>
      </c>
      <c r="O97" s="192">
        <f t="shared" si="3"/>
        <v>-440000</v>
      </c>
    </row>
    <row r="98" spans="1:15" s="145" customFormat="1" ht="19.5" customHeight="1">
      <c r="A98" s="407"/>
      <c r="B98" s="410"/>
      <c r="C98" s="410"/>
      <c r="D98" s="416"/>
      <c r="E98" s="413"/>
      <c r="F98" s="413"/>
      <c r="G98" s="422"/>
      <c r="H98" s="347" t="s">
        <v>21</v>
      </c>
      <c r="I98" s="142"/>
      <c r="J98" s="142">
        <v>1812000</v>
      </c>
      <c r="K98" s="142"/>
      <c r="L98" s="348"/>
      <c r="M98" s="358"/>
      <c r="N98" s="192">
        <f t="shared" si="2"/>
        <v>1812000</v>
      </c>
      <c r="O98" s="192">
        <f t="shared" si="3"/>
        <v>1812000</v>
      </c>
    </row>
    <row r="99" spans="1:15" s="145" customFormat="1" ht="19.5" customHeight="1" hidden="1">
      <c r="A99" s="407"/>
      <c r="B99" s="410"/>
      <c r="C99" s="410"/>
      <c r="D99" s="416"/>
      <c r="E99" s="413"/>
      <c r="F99" s="413"/>
      <c r="G99" s="422"/>
      <c r="H99" s="352" t="s">
        <v>22</v>
      </c>
      <c r="I99" s="148"/>
      <c r="J99" s="148"/>
      <c r="K99" s="148"/>
      <c r="L99" s="353"/>
      <c r="M99" s="358">
        <f>G99-I99-J99-K99-L99</f>
        <v>0</v>
      </c>
      <c r="N99" s="192">
        <f t="shared" si="2"/>
        <v>0</v>
      </c>
      <c r="O99" s="192">
        <f t="shared" si="3"/>
        <v>0</v>
      </c>
    </row>
    <row r="100" spans="1:15" s="145" customFormat="1" ht="19.5" customHeight="1">
      <c r="A100" s="408"/>
      <c r="B100" s="411"/>
      <c r="C100" s="411"/>
      <c r="D100" s="417"/>
      <c r="E100" s="414"/>
      <c r="F100" s="414"/>
      <c r="G100" s="423"/>
      <c r="H100" s="349" t="s">
        <v>23</v>
      </c>
      <c r="I100" s="350"/>
      <c r="J100" s="350"/>
      <c r="K100" s="350"/>
      <c r="L100" s="351"/>
      <c r="M100" s="358"/>
      <c r="N100" s="192">
        <f t="shared" si="2"/>
        <v>0</v>
      </c>
      <c r="O100" s="192">
        <f t="shared" si="3"/>
        <v>0</v>
      </c>
    </row>
    <row r="101" spans="1:15" ht="19.5" customHeight="1">
      <c r="A101" s="406" t="s">
        <v>99</v>
      </c>
      <c r="B101" s="409" t="s">
        <v>231</v>
      </c>
      <c r="C101" s="409" t="s">
        <v>421</v>
      </c>
      <c r="D101" s="415" t="s">
        <v>781</v>
      </c>
      <c r="E101" s="412" t="s">
        <v>571</v>
      </c>
      <c r="F101" s="412" t="s">
        <v>782</v>
      </c>
      <c r="G101" s="421">
        <v>8899000</v>
      </c>
      <c r="H101" s="321" t="s">
        <v>20</v>
      </c>
      <c r="I101" s="29">
        <f>SUM(I102,I103,I104)</f>
        <v>0</v>
      </c>
      <c r="J101" s="29">
        <f>SUM(J102,J103,J104)</f>
        <v>0</v>
      </c>
      <c r="K101" s="29">
        <f>SUM(K102,K103,K104)</f>
        <v>217000</v>
      </c>
      <c r="L101" s="29">
        <f>SUM(L102,L103,L104)</f>
        <v>8682000</v>
      </c>
      <c r="M101" s="357">
        <f>G101-I101-J101-K101-L101</f>
        <v>0</v>
      </c>
      <c r="N101" s="192">
        <f t="shared" si="2"/>
        <v>8899000</v>
      </c>
      <c r="O101" s="192">
        <f t="shared" si="3"/>
        <v>0</v>
      </c>
    </row>
    <row r="102" spans="1:15" s="145" customFormat="1" ht="19.5" customHeight="1">
      <c r="A102" s="407"/>
      <c r="B102" s="410"/>
      <c r="C102" s="410"/>
      <c r="D102" s="416"/>
      <c r="E102" s="413"/>
      <c r="F102" s="413"/>
      <c r="G102" s="422"/>
      <c r="H102" s="347" t="s">
        <v>21</v>
      </c>
      <c r="I102" s="142"/>
      <c r="J102" s="142"/>
      <c r="K102" s="142">
        <v>217000</v>
      </c>
      <c r="L102" s="348">
        <v>894000</v>
      </c>
      <c r="M102" s="358"/>
      <c r="N102" s="192">
        <f t="shared" si="2"/>
        <v>1111000</v>
      </c>
      <c r="O102" s="192">
        <f t="shared" si="3"/>
        <v>1111000</v>
      </c>
    </row>
    <row r="103" spans="1:15" s="145" customFormat="1" ht="19.5" customHeight="1" hidden="1">
      <c r="A103" s="407"/>
      <c r="B103" s="410"/>
      <c r="C103" s="410"/>
      <c r="D103" s="416"/>
      <c r="E103" s="413"/>
      <c r="F103" s="413"/>
      <c r="G103" s="422"/>
      <c r="H103" s="352" t="s">
        <v>22</v>
      </c>
      <c r="I103" s="148"/>
      <c r="J103" s="148"/>
      <c r="K103" s="148"/>
      <c r="L103" s="353"/>
      <c r="M103" s="358">
        <f>G103-I103-J103-K103-L103</f>
        <v>0</v>
      </c>
      <c r="N103" s="192">
        <f t="shared" si="2"/>
        <v>0</v>
      </c>
      <c r="O103" s="192">
        <f t="shared" si="3"/>
        <v>0</v>
      </c>
    </row>
    <row r="104" spans="1:15" s="145" customFormat="1" ht="19.5" customHeight="1">
      <c r="A104" s="408"/>
      <c r="B104" s="411"/>
      <c r="C104" s="411"/>
      <c r="D104" s="417"/>
      <c r="E104" s="414"/>
      <c r="F104" s="414"/>
      <c r="G104" s="423"/>
      <c r="H104" s="349" t="s">
        <v>23</v>
      </c>
      <c r="I104" s="350"/>
      <c r="J104" s="350"/>
      <c r="K104" s="350"/>
      <c r="L104" s="351">
        <f>900000+6888000</f>
        <v>7788000</v>
      </c>
      <c r="M104" s="358"/>
      <c r="N104" s="192">
        <f t="shared" si="2"/>
        <v>7788000</v>
      </c>
      <c r="O104" s="192">
        <f t="shared" si="3"/>
        <v>7788000</v>
      </c>
    </row>
    <row r="105" spans="1:15" ht="19.5" customHeight="1">
      <c r="A105" s="406" t="s">
        <v>116</v>
      </c>
      <c r="B105" s="409" t="s">
        <v>231</v>
      </c>
      <c r="C105" s="409" t="s">
        <v>421</v>
      </c>
      <c r="D105" s="415" t="s">
        <v>783</v>
      </c>
      <c r="E105" s="412" t="s">
        <v>571</v>
      </c>
      <c r="F105" s="412" t="s">
        <v>784</v>
      </c>
      <c r="G105" s="421">
        <v>1400000</v>
      </c>
      <c r="H105" s="321" t="s">
        <v>20</v>
      </c>
      <c r="I105" s="29">
        <f>SUM(I106,I107,I108)</f>
        <v>0</v>
      </c>
      <c r="J105" s="29">
        <f>SUM(J106,J107,J108)</f>
        <v>0</v>
      </c>
      <c r="K105" s="29">
        <f>SUM(K106,K107,K108)</f>
        <v>0</v>
      </c>
      <c r="L105" s="29">
        <f>SUM(L106,L107,L108)</f>
        <v>1400000</v>
      </c>
      <c r="M105" s="357">
        <f>G105-I105-J105-K105-L105</f>
        <v>0</v>
      </c>
      <c r="N105" s="192">
        <f t="shared" si="2"/>
        <v>1400000</v>
      </c>
      <c r="O105" s="192">
        <f t="shared" si="3"/>
        <v>0</v>
      </c>
    </row>
    <row r="106" spans="1:15" s="145" customFormat="1" ht="19.5" customHeight="1">
      <c r="A106" s="407"/>
      <c r="B106" s="410"/>
      <c r="C106" s="410"/>
      <c r="D106" s="416"/>
      <c r="E106" s="413"/>
      <c r="F106" s="413"/>
      <c r="G106" s="422"/>
      <c r="H106" s="347" t="s">
        <v>21</v>
      </c>
      <c r="I106" s="142"/>
      <c r="J106" s="142"/>
      <c r="K106" s="142"/>
      <c r="L106" s="348">
        <v>1400000</v>
      </c>
      <c r="M106" s="358"/>
      <c r="N106" s="192">
        <f t="shared" si="2"/>
        <v>1400000</v>
      </c>
      <c r="O106" s="192">
        <f t="shared" si="3"/>
        <v>1400000</v>
      </c>
    </row>
    <row r="107" spans="1:15" s="145" customFormat="1" ht="19.5" customHeight="1" hidden="1">
      <c r="A107" s="407"/>
      <c r="B107" s="410"/>
      <c r="C107" s="410"/>
      <c r="D107" s="416"/>
      <c r="E107" s="413"/>
      <c r="F107" s="413"/>
      <c r="G107" s="422"/>
      <c r="H107" s="352" t="s">
        <v>22</v>
      </c>
      <c r="I107" s="148"/>
      <c r="J107" s="148"/>
      <c r="K107" s="148"/>
      <c r="L107" s="353"/>
      <c r="M107" s="358">
        <f>G107-I107-J107-K107-L107</f>
        <v>0</v>
      </c>
      <c r="N107" s="192">
        <f t="shared" si="2"/>
        <v>0</v>
      </c>
      <c r="O107" s="192">
        <f t="shared" si="3"/>
        <v>0</v>
      </c>
    </row>
    <row r="108" spans="1:15" s="145" customFormat="1" ht="19.5" customHeight="1">
      <c r="A108" s="408"/>
      <c r="B108" s="411"/>
      <c r="C108" s="411"/>
      <c r="D108" s="417"/>
      <c r="E108" s="414"/>
      <c r="F108" s="414"/>
      <c r="G108" s="423"/>
      <c r="H108" s="349" t="s">
        <v>23</v>
      </c>
      <c r="I108" s="350"/>
      <c r="J108" s="350"/>
      <c r="K108" s="350"/>
      <c r="L108" s="351"/>
      <c r="M108" s="358"/>
      <c r="N108" s="192">
        <f t="shared" si="2"/>
        <v>0</v>
      </c>
      <c r="O108" s="192">
        <f t="shared" si="3"/>
        <v>0</v>
      </c>
    </row>
    <row r="109" spans="1:15" ht="21" customHeight="1">
      <c r="A109" s="406" t="s">
        <v>100</v>
      </c>
      <c r="B109" s="409" t="s">
        <v>231</v>
      </c>
      <c r="C109" s="409" t="s">
        <v>421</v>
      </c>
      <c r="D109" s="415" t="s">
        <v>730</v>
      </c>
      <c r="E109" s="412" t="s">
        <v>571</v>
      </c>
      <c r="F109" s="412" t="s">
        <v>760</v>
      </c>
      <c r="G109" s="421">
        <v>16982000</v>
      </c>
      <c r="H109" s="321" t="s">
        <v>20</v>
      </c>
      <c r="I109" s="29">
        <f>SUM(I110,I111,I112)</f>
        <v>980000</v>
      </c>
      <c r="J109" s="29">
        <f>SUM(J110,J111,J112)</f>
        <v>1550000</v>
      </c>
      <c r="K109" s="29">
        <f>SUM(K110,K111,K112)</f>
        <v>2500000</v>
      </c>
      <c r="L109" s="29">
        <f>SUM(L110,L111,L112)</f>
        <v>8000000</v>
      </c>
      <c r="M109" s="357">
        <f>G109-I109-J109-K109-L109</f>
        <v>3952000</v>
      </c>
      <c r="N109" s="192">
        <f t="shared" si="2"/>
        <v>13030000</v>
      </c>
      <c r="O109" s="192">
        <f t="shared" si="3"/>
        <v>-3952000</v>
      </c>
    </row>
    <row r="110" spans="1:15" s="145" customFormat="1" ht="21" customHeight="1">
      <c r="A110" s="407"/>
      <c r="B110" s="410"/>
      <c r="C110" s="410"/>
      <c r="D110" s="416"/>
      <c r="E110" s="413"/>
      <c r="F110" s="413"/>
      <c r="G110" s="422"/>
      <c r="H110" s="352" t="s">
        <v>21</v>
      </c>
      <c r="I110" s="148">
        <v>980000</v>
      </c>
      <c r="J110" s="148">
        <v>232000</v>
      </c>
      <c r="K110" s="148">
        <v>500000</v>
      </c>
      <c r="L110" s="353">
        <v>1200000</v>
      </c>
      <c r="M110" s="358"/>
      <c r="N110" s="192">
        <f t="shared" si="2"/>
        <v>2912000</v>
      </c>
      <c r="O110" s="192">
        <f t="shared" si="3"/>
        <v>2912000</v>
      </c>
    </row>
    <row r="111" spans="1:15" s="145" customFormat="1" ht="21" customHeight="1" hidden="1">
      <c r="A111" s="407"/>
      <c r="B111" s="410"/>
      <c r="C111" s="410"/>
      <c r="D111" s="416"/>
      <c r="E111" s="413"/>
      <c r="F111" s="413"/>
      <c r="G111" s="422"/>
      <c r="H111" s="352" t="s">
        <v>22</v>
      </c>
      <c r="I111" s="148"/>
      <c r="J111" s="148"/>
      <c r="K111" s="148"/>
      <c r="L111" s="353"/>
      <c r="M111" s="358">
        <f>G111-I111-J111-K111-L111</f>
        <v>0</v>
      </c>
      <c r="N111" s="192">
        <f t="shared" si="2"/>
        <v>0</v>
      </c>
      <c r="O111" s="192">
        <f t="shared" si="3"/>
        <v>0</v>
      </c>
    </row>
    <row r="112" spans="1:15" s="145" customFormat="1" ht="21" customHeight="1">
      <c r="A112" s="408"/>
      <c r="B112" s="411"/>
      <c r="C112" s="411"/>
      <c r="D112" s="417"/>
      <c r="E112" s="414"/>
      <c r="F112" s="414"/>
      <c r="G112" s="423"/>
      <c r="H112" s="349" t="s">
        <v>23</v>
      </c>
      <c r="I112" s="350"/>
      <c r="J112" s="350">
        <v>1318000</v>
      </c>
      <c r="K112" s="350">
        <v>2000000</v>
      </c>
      <c r="L112" s="351">
        <v>6800000</v>
      </c>
      <c r="M112" s="358"/>
      <c r="N112" s="192">
        <f t="shared" si="2"/>
        <v>10118000</v>
      </c>
      <c r="O112" s="192">
        <f t="shared" si="3"/>
        <v>10118000</v>
      </c>
    </row>
    <row r="113" spans="1:15" ht="23.25" customHeight="1">
      <c r="A113" s="406" t="s">
        <v>101</v>
      </c>
      <c r="B113" s="409" t="s">
        <v>231</v>
      </c>
      <c r="C113" s="409" t="s">
        <v>421</v>
      </c>
      <c r="D113" s="415" t="s">
        <v>686</v>
      </c>
      <c r="E113" s="412" t="s">
        <v>571</v>
      </c>
      <c r="F113" s="412" t="s">
        <v>761</v>
      </c>
      <c r="G113" s="421">
        <v>11862000</v>
      </c>
      <c r="H113" s="321" t="s">
        <v>20</v>
      </c>
      <c r="I113" s="29">
        <f>SUM(I114,I115,I116)</f>
        <v>400000</v>
      </c>
      <c r="J113" s="29">
        <f>SUM(J114,J115,J116)</f>
        <v>2031000</v>
      </c>
      <c r="K113" s="29">
        <f>SUM(K114,K115,K116)</f>
        <v>3602000</v>
      </c>
      <c r="L113" s="29">
        <f>SUM(L114,L115,L116)</f>
        <v>4002000</v>
      </c>
      <c r="M113" s="357">
        <f>G113-I113-J113-K113-L113</f>
        <v>1827000</v>
      </c>
      <c r="N113" s="192">
        <f t="shared" si="2"/>
        <v>10035000</v>
      </c>
      <c r="O113" s="192">
        <f t="shared" si="3"/>
        <v>-1827000</v>
      </c>
    </row>
    <row r="114" spans="1:15" s="145" customFormat="1" ht="22.5" customHeight="1">
      <c r="A114" s="407"/>
      <c r="B114" s="410"/>
      <c r="C114" s="410"/>
      <c r="D114" s="416"/>
      <c r="E114" s="413"/>
      <c r="F114" s="413"/>
      <c r="G114" s="422"/>
      <c r="H114" s="352" t="s">
        <v>21</v>
      </c>
      <c r="I114" s="148">
        <v>400000</v>
      </c>
      <c r="J114" s="148">
        <v>1015000</v>
      </c>
      <c r="K114" s="148">
        <v>1801000</v>
      </c>
      <c r="L114" s="353">
        <v>2001000</v>
      </c>
      <c r="M114" s="358"/>
      <c r="N114" s="192">
        <f t="shared" si="2"/>
        <v>5217000</v>
      </c>
      <c r="O114" s="192">
        <f t="shared" si="3"/>
        <v>5217000</v>
      </c>
    </row>
    <row r="115" spans="1:15" s="145" customFormat="1" ht="21" customHeight="1" hidden="1">
      <c r="A115" s="407"/>
      <c r="B115" s="410"/>
      <c r="C115" s="410"/>
      <c r="D115" s="416"/>
      <c r="E115" s="413"/>
      <c r="F115" s="413"/>
      <c r="G115" s="422"/>
      <c r="H115" s="352" t="s">
        <v>22</v>
      </c>
      <c r="I115" s="148"/>
      <c r="J115" s="148"/>
      <c r="K115" s="148"/>
      <c r="L115" s="353"/>
      <c r="M115" s="358">
        <f>G115-I115-J115-K115-L115</f>
        <v>0</v>
      </c>
      <c r="N115" s="192">
        <f t="shared" si="2"/>
        <v>0</v>
      </c>
      <c r="O115" s="192">
        <f t="shared" si="3"/>
        <v>0</v>
      </c>
    </row>
    <row r="116" spans="1:15" s="145" customFormat="1" ht="22.5" customHeight="1">
      <c r="A116" s="408"/>
      <c r="B116" s="411"/>
      <c r="C116" s="411"/>
      <c r="D116" s="417"/>
      <c r="E116" s="414"/>
      <c r="F116" s="414"/>
      <c r="G116" s="423"/>
      <c r="H116" s="349" t="s">
        <v>23</v>
      </c>
      <c r="I116" s="350"/>
      <c r="J116" s="350">
        <v>1016000</v>
      </c>
      <c r="K116" s="350">
        <v>1801000</v>
      </c>
      <c r="L116" s="351">
        <v>2001000</v>
      </c>
      <c r="M116" s="358"/>
      <c r="N116" s="192">
        <f t="shared" si="2"/>
        <v>4818000</v>
      </c>
      <c r="O116" s="192">
        <f t="shared" si="3"/>
        <v>4818000</v>
      </c>
    </row>
    <row r="117" spans="1:15" ht="21" customHeight="1">
      <c r="A117" s="406" t="s">
        <v>102</v>
      </c>
      <c r="B117" s="418">
        <v>600</v>
      </c>
      <c r="C117" s="418" t="s">
        <v>421</v>
      </c>
      <c r="D117" s="415" t="s">
        <v>35</v>
      </c>
      <c r="E117" s="412" t="s">
        <v>571</v>
      </c>
      <c r="F117" s="412" t="s">
        <v>762</v>
      </c>
      <c r="G117" s="421">
        <v>2620000</v>
      </c>
      <c r="H117" s="321" t="s">
        <v>20</v>
      </c>
      <c r="I117" s="29">
        <f>SUM(I118,I119,I120)</f>
        <v>2330000</v>
      </c>
      <c r="J117" s="29">
        <f>SUM(J118,J119,J120)</f>
        <v>0</v>
      </c>
      <c r="K117" s="29">
        <f>SUM(K118,K119,K120)</f>
        <v>0</v>
      </c>
      <c r="L117" s="29">
        <f>SUM(L118,L119,L120)</f>
        <v>0</v>
      </c>
      <c r="M117" s="357">
        <f>G117-I117-J117-K117-L117</f>
        <v>290000</v>
      </c>
      <c r="N117" s="192">
        <f t="shared" si="2"/>
        <v>2330000</v>
      </c>
      <c r="O117" s="192">
        <f t="shared" si="3"/>
        <v>-290000</v>
      </c>
    </row>
    <row r="118" spans="1:15" s="145" customFormat="1" ht="21" customHeight="1">
      <c r="A118" s="407"/>
      <c r="B118" s="419"/>
      <c r="C118" s="419"/>
      <c r="D118" s="416"/>
      <c r="E118" s="413"/>
      <c r="F118" s="413"/>
      <c r="G118" s="422"/>
      <c r="H118" s="352" t="s">
        <v>21</v>
      </c>
      <c r="I118" s="148">
        <v>2330000</v>
      </c>
      <c r="J118" s="148"/>
      <c r="K118" s="148"/>
      <c r="L118" s="353"/>
      <c r="M118" s="358"/>
      <c r="N118" s="192">
        <f t="shared" si="2"/>
        <v>2330000</v>
      </c>
      <c r="O118" s="192">
        <f t="shared" si="3"/>
        <v>2330000</v>
      </c>
    </row>
    <row r="119" spans="1:15" s="145" customFormat="1" ht="21" customHeight="1" hidden="1">
      <c r="A119" s="407"/>
      <c r="B119" s="419"/>
      <c r="C119" s="419"/>
      <c r="D119" s="416"/>
      <c r="E119" s="413"/>
      <c r="F119" s="413"/>
      <c r="G119" s="422"/>
      <c r="H119" s="352" t="s">
        <v>22</v>
      </c>
      <c r="I119" s="148"/>
      <c r="J119" s="148"/>
      <c r="K119" s="148"/>
      <c r="L119" s="353"/>
      <c r="M119" s="358"/>
      <c r="N119" s="192">
        <f t="shared" si="2"/>
        <v>0</v>
      </c>
      <c r="O119" s="192">
        <f t="shared" si="3"/>
        <v>0</v>
      </c>
    </row>
    <row r="120" spans="1:15" s="145" customFormat="1" ht="21" customHeight="1">
      <c r="A120" s="408"/>
      <c r="B120" s="420"/>
      <c r="C120" s="420"/>
      <c r="D120" s="417"/>
      <c r="E120" s="414"/>
      <c r="F120" s="414"/>
      <c r="G120" s="423"/>
      <c r="H120" s="349" t="s">
        <v>23</v>
      </c>
      <c r="I120" s="350"/>
      <c r="J120" s="350"/>
      <c r="K120" s="350"/>
      <c r="L120" s="351"/>
      <c r="M120" s="358"/>
      <c r="N120" s="192">
        <f t="shared" si="2"/>
        <v>0</v>
      </c>
      <c r="O120" s="192">
        <f t="shared" si="3"/>
        <v>0</v>
      </c>
    </row>
    <row r="121" spans="1:15" ht="21" customHeight="1">
      <c r="A121" s="406" t="s">
        <v>103</v>
      </c>
      <c r="B121" s="409" t="s">
        <v>231</v>
      </c>
      <c r="C121" s="409" t="s">
        <v>421</v>
      </c>
      <c r="D121" s="412" t="s">
        <v>687</v>
      </c>
      <c r="E121" s="412" t="s">
        <v>571</v>
      </c>
      <c r="F121" s="412" t="s">
        <v>763</v>
      </c>
      <c r="G121" s="421">
        <v>2323000</v>
      </c>
      <c r="H121" s="321" t="s">
        <v>20</v>
      </c>
      <c r="I121" s="29">
        <f>SUM(I122,I123,I124)</f>
        <v>50000</v>
      </c>
      <c r="J121" s="29">
        <f>SUM(J122,J123,J124)</f>
        <v>642000</v>
      </c>
      <c r="K121" s="29">
        <f>SUM(K122,K123,K124)</f>
        <v>911000</v>
      </c>
      <c r="L121" s="29">
        <f>SUM(L122,L123,L124)</f>
        <v>720000</v>
      </c>
      <c r="M121" s="357">
        <f>G121-I121-J121-K121-L121</f>
        <v>0</v>
      </c>
      <c r="N121" s="192">
        <f t="shared" si="2"/>
        <v>2323000</v>
      </c>
      <c r="O121" s="192">
        <f t="shared" si="3"/>
        <v>0</v>
      </c>
    </row>
    <row r="122" spans="1:15" s="145" customFormat="1" ht="21" customHeight="1">
      <c r="A122" s="407"/>
      <c r="B122" s="410"/>
      <c r="C122" s="410"/>
      <c r="D122" s="413"/>
      <c r="E122" s="413"/>
      <c r="F122" s="413"/>
      <c r="G122" s="422"/>
      <c r="H122" s="347" t="s">
        <v>21</v>
      </c>
      <c r="I122" s="142">
        <v>50000</v>
      </c>
      <c r="J122" s="142">
        <v>490000</v>
      </c>
      <c r="K122" s="142">
        <v>715000</v>
      </c>
      <c r="L122" s="348">
        <v>585000</v>
      </c>
      <c r="M122" s="358"/>
      <c r="N122" s="192">
        <f t="shared" si="2"/>
        <v>1840000</v>
      </c>
      <c r="O122" s="192">
        <f t="shared" si="3"/>
        <v>1840000</v>
      </c>
    </row>
    <row r="123" spans="1:15" s="145" customFormat="1" ht="21" customHeight="1">
      <c r="A123" s="407"/>
      <c r="B123" s="410"/>
      <c r="C123" s="410"/>
      <c r="D123" s="413"/>
      <c r="E123" s="413"/>
      <c r="F123" s="413"/>
      <c r="G123" s="422"/>
      <c r="H123" s="352" t="s">
        <v>790</v>
      </c>
      <c r="I123" s="148"/>
      <c r="J123" s="148">
        <v>152000</v>
      </c>
      <c r="K123" s="148">
        <v>196000</v>
      </c>
      <c r="L123" s="353">
        <v>135000</v>
      </c>
      <c r="M123" s="358"/>
      <c r="N123" s="192">
        <f t="shared" si="2"/>
        <v>483000</v>
      </c>
      <c r="O123" s="192">
        <f t="shared" si="3"/>
        <v>483000</v>
      </c>
    </row>
    <row r="124" spans="1:15" s="145" customFormat="1" ht="21" customHeight="1">
      <c r="A124" s="408"/>
      <c r="B124" s="411"/>
      <c r="C124" s="411"/>
      <c r="D124" s="414"/>
      <c r="E124" s="414"/>
      <c r="F124" s="414"/>
      <c r="G124" s="423"/>
      <c r="H124" s="349" t="s">
        <v>23</v>
      </c>
      <c r="I124" s="350"/>
      <c r="J124" s="350"/>
      <c r="K124" s="350"/>
      <c r="L124" s="351"/>
      <c r="M124" s="358"/>
      <c r="N124" s="192">
        <f t="shared" si="2"/>
        <v>0</v>
      </c>
      <c r="O124" s="192">
        <f t="shared" si="3"/>
        <v>0</v>
      </c>
    </row>
    <row r="125" spans="1:15" ht="21" customHeight="1">
      <c r="A125" s="406" t="s">
        <v>104</v>
      </c>
      <c r="B125" s="409" t="s">
        <v>231</v>
      </c>
      <c r="C125" s="409" t="s">
        <v>421</v>
      </c>
      <c r="D125" s="412" t="s">
        <v>688</v>
      </c>
      <c r="E125" s="412" t="s">
        <v>571</v>
      </c>
      <c r="F125" s="412" t="s">
        <v>757</v>
      </c>
      <c r="G125" s="421">
        <v>760000</v>
      </c>
      <c r="H125" s="321" t="s">
        <v>20</v>
      </c>
      <c r="I125" s="29">
        <f>SUM(I126,I127,I128)</f>
        <v>20000</v>
      </c>
      <c r="J125" s="29">
        <f>SUM(J126,J127,J128)</f>
        <v>740000</v>
      </c>
      <c r="K125" s="29">
        <f>SUM(K126,K127,K128)</f>
        <v>0</v>
      </c>
      <c r="L125" s="29">
        <f>SUM(L126,L127,L128)</f>
        <v>0</v>
      </c>
      <c r="M125" s="357">
        <f>G125-I125-J125-K125-L125</f>
        <v>0</v>
      </c>
      <c r="N125" s="192">
        <f t="shared" si="2"/>
        <v>760000</v>
      </c>
      <c r="O125" s="192">
        <f t="shared" si="3"/>
        <v>0</v>
      </c>
    </row>
    <row r="126" spans="1:15" s="145" customFormat="1" ht="21" customHeight="1">
      <c r="A126" s="407"/>
      <c r="B126" s="410"/>
      <c r="C126" s="410"/>
      <c r="D126" s="413"/>
      <c r="E126" s="413"/>
      <c r="F126" s="413"/>
      <c r="G126" s="422"/>
      <c r="H126" s="352" t="s">
        <v>21</v>
      </c>
      <c r="I126" s="148">
        <v>20000</v>
      </c>
      <c r="J126" s="148">
        <v>740000</v>
      </c>
      <c r="K126" s="148"/>
      <c r="L126" s="353"/>
      <c r="M126" s="358"/>
      <c r="N126" s="192">
        <f t="shared" si="2"/>
        <v>760000</v>
      </c>
      <c r="O126" s="192">
        <f t="shared" si="3"/>
        <v>760000</v>
      </c>
    </row>
    <row r="127" spans="1:15" s="145" customFormat="1" ht="21" customHeight="1" hidden="1">
      <c r="A127" s="407"/>
      <c r="B127" s="410"/>
      <c r="C127" s="410"/>
      <c r="D127" s="413"/>
      <c r="E127" s="413"/>
      <c r="F127" s="413"/>
      <c r="G127" s="422"/>
      <c r="H127" s="352" t="s">
        <v>22</v>
      </c>
      <c r="I127" s="148"/>
      <c r="J127" s="148"/>
      <c r="K127" s="148"/>
      <c r="L127" s="353"/>
      <c r="M127" s="358"/>
      <c r="N127" s="192">
        <f t="shared" si="2"/>
        <v>0</v>
      </c>
      <c r="O127" s="192">
        <f t="shared" si="3"/>
        <v>0</v>
      </c>
    </row>
    <row r="128" spans="1:15" s="145" customFormat="1" ht="21" customHeight="1">
      <c r="A128" s="408"/>
      <c r="B128" s="411"/>
      <c r="C128" s="411"/>
      <c r="D128" s="414"/>
      <c r="E128" s="414"/>
      <c r="F128" s="414"/>
      <c r="G128" s="423"/>
      <c r="H128" s="349" t="s">
        <v>23</v>
      </c>
      <c r="I128" s="350"/>
      <c r="J128" s="350"/>
      <c r="K128" s="350"/>
      <c r="L128" s="351"/>
      <c r="M128" s="358"/>
      <c r="N128" s="192">
        <f t="shared" si="2"/>
        <v>0</v>
      </c>
      <c r="O128" s="192">
        <f t="shared" si="3"/>
        <v>0</v>
      </c>
    </row>
    <row r="129" spans="1:15" ht="21" customHeight="1">
      <c r="A129" s="406" t="s">
        <v>105</v>
      </c>
      <c r="B129" s="409" t="s">
        <v>231</v>
      </c>
      <c r="C129" s="409" t="s">
        <v>421</v>
      </c>
      <c r="D129" s="412" t="s">
        <v>689</v>
      </c>
      <c r="E129" s="412" t="s">
        <v>571</v>
      </c>
      <c r="F129" s="412" t="s">
        <v>749</v>
      </c>
      <c r="G129" s="421">
        <v>3197000</v>
      </c>
      <c r="H129" s="321" t="s">
        <v>20</v>
      </c>
      <c r="I129" s="29">
        <f>SUM(I130,I131,I132)</f>
        <v>100000</v>
      </c>
      <c r="J129" s="29">
        <f>SUM(J130,J131,J132)</f>
        <v>0</v>
      </c>
      <c r="K129" s="29">
        <f>SUM(K130,K131,K132)</f>
        <v>0</v>
      </c>
      <c r="L129" s="29">
        <f>SUM(L130,L131,L132)</f>
        <v>3097000</v>
      </c>
      <c r="M129" s="357">
        <f>G129-I129-J129-K129-L129</f>
        <v>0</v>
      </c>
      <c r="N129" s="192">
        <f t="shared" si="2"/>
        <v>3197000</v>
      </c>
      <c r="O129" s="192">
        <f t="shared" si="3"/>
        <v>0</v>
      </c>
    </row>
    <row r="130" spans="1:15" s="145" customFormat="1" ht="21" customHeight="1">
      <c r="A130" s="407"/>
      <c r="B130" s="410"/>
      <c r="C130" s="410"/>
      <c r="D130" s="413"/>
      <c r="E130" s="413"/>
      <c r="F130" s="413"/>
      <c r="G130" s="422"/>
      <c r="H130" s="352" t="s">
        <v>21</v>
      </c>
      <c r="I130" s="148">
        <v>100000</v>
      </c>
      <c r="J130" s="148"/>
      <c r="K130" s="148"/>
      <c r="L130" s="353">
        <v>3097000</v>
      </c>
      <c r="M130" s="358"/>
      <c r="N130" s="192">
        <f t="shared" si="2"/>
        <v>3197000</v>
      </c>
      <c r="O130" s="192">
        <f t="shared" si="3"/>
        <v>3197000</v>
      </c>
    </row>
    <row r="131" spans="1:15" s="145" customFormat="1" ht="21" customHeight="1" hidden="1">
      <c r="A131" s="407"/>
      <c r="B131" s="410"/>
      <c r="C131" s="410"/>
      <c r="D131" s="413"/>
      <c r="E131" s="413"/>
      <c r="F131" s="413"/>
      <c r="G131" s="422"/>
      <c r="H131" s="352" t="s">
        <v>22</v>
      </c>
      <c r="I131" s="148"/>
      <c r="J131" s="148"/>
      <c r="K131" s="148"/>
      <c r="L131" s="353"/>
      <c r="M131" s="358"/>
      <c r="N131" s="192">
        <f t="shared" si="2"/>
        <v>0</v>
      </c>
      <c r="O131" s="192">
        <f t="shared" si="3"/>
        <v>0</v>
      </c>
    </row>
    <row r="132" spans="1:15" s="145" customFormat="1" ht="21" customHeight="1">
      <c r="A132" s="408"/>
      <c r="B132" s="411"/>
      <c r="C132" s="411"/>
      <c r="D132" s="414"/>
      <c r="E132" s="414"/>
      <c r="F132" s="414"/>
      <c r="G132" s="423"/>
      <c r="H132" s="349" t="s">
        <v>23</v>
      </c>
      <c r="I132" s="350"/>
      <c r="J132" s="350"/>
      <c r="K132" s="350"/>
      <c r="L132" s="351"/>
      <c r="M132" s="358"/>
      <c r="N132" s="192">
        <f t="shared" si="2"/>
        <v>0</v>
      </c>
      <c r="O132" s="192">
        <f t="shared" si="3"/>
        <v>0</v>
      </c>
    </row>
    <row r="133" spans="1:15" ht="21" customHeight="1">
      <c r="A133" s="406" t="s">
        <v>106</v>
      </c>
      <c r="B133" s="409" t="s">
        <v>231</v>
      </c>
      <c r="C133" s="409" t="s">
        <v>421</v>
      </c>
      <c r="D133" s="412" t="s">
        <v>690</v>
      </c>
      <c r="E133" s="412" t="s">
        <v>571</v>
      </c>
      <c r="F133" s="412" t="s">
        <v>763</v>
      </c>
      <c r="G133" s="421">
        <v>3194000</v>
      </c>
      <c r="H133" s="321" t="s">
        <v>20</v>
      </c>
      <c r="I133" s="29">
        <f>SUM(I134,I135,I136)</f>
        <v>150000</v>
      </c>
      <c r="J133" s="29">
        <f>SUM(J134,J135,J136)</f>
        <v>0</v>
      </c>
      <c r="K133" s="29">
        <f>SUM(K134,K135,K136)</f>
        <v>1353000</v>
      </c>
      <c r="L133" s="29">
        <f>SUM(L134,L135,L136)</f>
        <v>1691000</v>
      </c>
      <c r="M133" s="357">
        <f>G133-I133-J133-K133-L133</f>
        <v>0</v>
      </c>
      <c r="N133" s="192">
        <f t="shared" si="2"/>
        <v>3194000</v>
      </c>
      <c r="O133" s="192">
        <f t="shared" si="3"/>
        <v>0</v>
      </c>
    </row>
    <row r="134" spans="1:15" s="145" customFormat="1" ht="21" customHeight="1">
      <c r="A134" s="407"/>
      <c r="B134" s="410"/>
      <c r="C134" s="410"/>
      <c r="D134" s="413"/>
      <c r="E134" s="413"/>
      <c r="F134" s="413"/>
      <c r="G134" s="422"/>
      <c r="H134" s="347" t="s">
        <v>21</v>
      </c>
      <c r="I134" s="142">
        <v>150000</v>
      </c>
      <c r="J134" s="142"/>
      <c r="K134" s="142">
        <v>1353000</v>
      </c>
      <c r="L134" s="348">
        <v>1691000</v>
      </c>
      <c r="M134" s="358"/>
      <c r="N134" s="192">
        <f t="shared" si="2"/>
        <v>3194000</v>
      </c>
      <c r="O134" s="192">
        <f t="shared" si="3"/>
        <v>3194000</v>
      </c>
    </row>
    <row r="135" spans="1:15" s="145" customFormat="1" ht="21" customHeight="1" hidden="1">
      <c r="A135" s="407"/>
      <c r="B135" s="410"/>
      <c r="C135" s="410"/>
      <c r="D135" s="413"/>
      <c r="E135" s="413"/>
      <c r="F135" s="413"/>
      <c r="G135" s="422"/>
      <c r="H135" s="354" t="s">
        <v>22</v>
      </c>
      <c r="I135" s="338"/>
      <c r="J135" s="338"/>
      <c r="K135" s="338"/>
      <c r="L135" s="355"/>
      <c r="M135" s="358"/>
      <c r="N135" s="192">
        <f aca="true" t="shared" si="4" ref="N135:N198">L135+K135+J135+I135</f>
        <v>0</v>
      </c>
      <c r="O135" s="192">
        <f aca="true" t="shared" si="5" ref="O135:O198">N135-G135</f>
        <v>0</v>
      </c>
    </row>
    <row r="136" spans="1:15" s="145" customFormat="1" ht="21" customHeight="1">
      <c r="A136" s="408"/>
      <c r="B136" s="411"/>
      <c r="C136" s="411"/>
      <c r="D136" s="414"/>
      <c r="E136" s="414"/>
      <c r="F136" s="414"/>
      <c r="G136" s="423"/>
      <c r="H136" s="349" t="s">
        <v>23</v>
      </c>
      <c r="I136" s="350"/>
      <c r="J136" s="350"/>
      <c r="K136" s="350"/>
      <c r="L136" s="351"/>
      <c r="M136" s="358"/>
      <c r="N136" s="192">
        <f t="shared" si="4"/>
        <v>0</v>
      </c>
      <c r="O136" s="192">
        <f t="shared" si="5"/>
        <v>0</v>
      </c>
    </row>
    <row r="137" spans="1:15" ht="21" customHeight="1">
      <c r="A137" s="406" t="s">
        <v>107</v>
      </c>
      <c r="B137" s="418">
        <v>600</v>
      </c>
      <c r="C137" s="418">
        <v>60016</v>
      </c>
      <c r="D137" s="443" t="s">
        <v>691</v>
      </c>
      <c r="E137" s="412" t="s">
        <v>571</v>
      </c>
      <c r="F137" s="412">
        <v>2009</v>
      </c>
      <c r="G137" s="421">
        <v>641000</v>
      </c>
      <c r="H137" s="321" t="s">
        <v>20</v>
      </c>
      <c r="I137" s="29">
        <f>SUM(I138,I139,I140)</f>
        <v>641000</v>
      </c>
      <c r="J137" s="29">
        <f>SUM(J138,J139,J140)</f>
        <v>0</v>
      </c>
      <c r="K137" s="29">
        <f>SUM(K138,K139,K140)</f>
        <v>0</v>
      </c>
      <c r="L137" s="29">
        <f>SUM(L138,L139,L140)</f>
        <v>0</v>
      </c>
      <c r="M137" s="357">
        <f>G137-I137-J137-K137-L137</f>
        <v>0</v>
      </c>
      <c r="N137" s="192">
        <f t="shared" si="4"/>
        <v>641000</v>
      </c>
      <c r="O137" s="192">
        <f t="shared" si="5"/>
        <v>0</v>
      </c>
    </row>
    <row r="138" spans="1:15" s="145" customFormat="1" ht="21" customHeight="1">
      <c r="A138" s="407"/>
      <c r="B138" s="419"/>
      <c r="C138" s="419"/>
      <c r="D138" s="444"/>
      <c r="E138" s="413"/>
      <c r="F138" s="413"/>
      <c r="G138" s="422"/>
      <c r="H138" s="352" t="s">
        <v>21</v>
      </c>
      <c r="I138" s="148">
        <v>641000</v>
      </c>
      <c r="J138" s="148"/>
      <c r="K138" s="148"/>
      <c r="L138" s="353"/>
      <c r="M138" s="358"/>
      <c r="N138" s="192">
        <f t="shared" si="4"/>
        <v>641000</v>
      </c>
      <c r="O138" s="192">
        <f t="shared" si="5"/>
        <v>641000</v>
      </c>
    </row>
    <row r="139" spans="1:15" s="145" customFormat="1" ht="21" customHeight="1" hidden="1">
      <c r="A139" s="407"/>
      <c r="B139" s="419"/>
      <c r="C139" s="419"/>
      <c r="D139" s="444"/>
      <c r="E139" s="413"/>
      <c r="F139" s="413"/>
      <c r="G139" s="422"/>
      <c r="H139" s="352" t="s">
        <v>22</v>
      </c>
      <c r="I139" s="148"/>
      <c r="J139" s="148"/>
      <c r="K139" s="148"/>
      <c r="L139" s="353"/>
      <c r="M139" s="358"/>
      <c r="N139" s="192">
        <f t="shared" si="4"/>
        <v>0</v>
      </c>
      <c r="O139" s="192">
        <f t="shared" si="5"/>
        <v>0</v>
      </c>
    </row>
    <row r="140" spans="1:15" s="145" customFormat="1" ht="21" customHeight="1">
      <c r="A140" s="408"/>
      <c r="B140" s="420"/>
      <c r="C140" s="420"/>
      <c r="D140" s="445"/>
      <c r="E140" s="414"/>
      <c r="F140" s="414"/>
      <c r="G140" s="423"/>
      <c r="H140" s="349" t="s">
        <v>23</v>
      </c>
      <c r="I140" s="350"/>
      <c r="J140" s="350"/>
      <c r="K140" s="350"/>
      <c r="L140" s="351"/>
      <c r="M140" s="358"/>
      <c r="N140" s="192">
        <f t="shared" si="4"/>
        <v>0</v>
      </c>
      <c r="O140" s="192">
        <f t="shared" si="5"/>
        <v>0</v>
      </c>
    </row>
    <row r="141" spans="1:15" ht="19.5" customHeight="1">
      <c r="A141" s="406" t="s">
        <v>108</v>
      </c>
      <c r="B141" s="418">
        <v>600</v>
      </c>
      <c r="C141" s="418">
        <v>60016</v>
      </c>
      <c r="D141" s="443" t="s">
        <v>764</v>
      </c>
      <c r="E141" s="412" t="s">
        <v>571</v>
      </c>
      <c r="F141" s="412" t="s">
        <v>759</v>
      </c>
      <c r="G141" s="421">
        <v>5344000</v>
      </c>
      <c r="H141" s="321" t="s">
        <v>20</v>
      </c>
      <c r="I141" s="29">
        <f>SUM(I142,I143,I144)</f>
        <v>1640000</v>
      </c>
      <c r="J141" s="29">
        <f>SUM(J142,J143,J144)</f>
        <v>1804000</v>
      </c>
      <c r="K141" s="29">
        <f>SUM(K142,K143,K144)</f>
        <v>1900000</v>
      </c>
      <c r="L141" s="29">
        <f>SUM(L142,L143,L144)</f>
        <v>0</v>
      </c>
      <c r="M141" s="357">
        <f>G141-I141-J141-K141-L141</f>
        <v>0</v>
      </c>
      <c r="N141" s="192">
        <f t="shared" si="4"/>
        <v>5344000</v>
      </c>
      <c r="O141" s="192">
        <f t="shared" si="5"/>
        <v>0</v>
      </c>
    </row>
    <row r="142" spans="1:15" s="145" customFormat="1" ht="21" customHeight="1">
      <c r="A142" s="407"/>
      <c r="B142" s="419"/>
      <c r="C142" s="419"/>
      <c r="D142" s="444"/>
      <c r="E142" s="413"/>
      <c r="F142" s="413"/>
      <c r="G142" s="422"/>
      <c r="H142" s="352" t="s">
        <v>21</v>
      </c>
      <c r="I142" s="148">
        <v>1640000</v>
      </c>
      <c r="J142" s="148">
        <v>1804000</v>
      </c>
      <c r="K142" s="148">
        <v>1900000</v>
      </c>
      <c r="L142" s="353"/>
      <c r="M142" s="358"/>
      <c r="N142" s="192">
        <f t="shared" si="4"/>
        <v>5344000</v>
      </c>
      <c r="O142" s="192">
        <f t="shared" si="5"/>
        <v>5344000</v>
      </c>
    </row>
    <row r="143" spans="1:15" s="145" customFormat="1" ht="21" customHeight="1" hidden="1">
      <c r="A143" s="407"/>
      <c r="B143" s="419"/>
      <c r="C143" s="419"/>
      <c r="D143" s="444"/>
      <c r="E143" s="413"/>
      <c r="F143" s="413"/>
      <c r="G143" s="422"/>
      <c r="H143" s="352" t="s">
        <v>22</v>
      </c>
      <c r="I143" s="148"/>
      <c r="J143" s="148"/>
      <c r="K143" s="148"/>
      <c r="L143" s="353"/>
      <c r="M143" s="358"/>
      <c r="N143" s="192">
        <f t="shared" si="4"/>
        <v>0</v>
      </c>
      <c r="O143" s="192">
        <f t="shared" si="5"/>
        <v>0</v>
      </c>
    </row>
    <row r="144" spans="1:15" s="145" customFormat="1" ht="18.75" customHeight="1">
      <c r="A144" s="408"/>
      <c r="B144" s="420"/>
      <c r="C144" s="420"/>
      <c r="D144" s="445"/>
      <c r="E144" s="414"/>
      <c r="F144" s="414"/>
      <c r="G144" s="423"/>
      <c r="H144" s="349" t="s">
        <v>23</v>
      </c>
      <c r="I144" s="350"/>
      <c r="J144" s="350"/>
      <c r="K144" s="350"/>
      <c r="L144" s="351"/>
      <c r="M144" s="358"/>
      <c r="N144" s="192">
        <f t="shared" si="4"/>
        <v>0</v>
      </c>
      <c r="O144" s="192">
        <f t="shared" si="5"/>
        <v>0</v>
      </c>
    </row>
    <row r="145" spans="1:15" ht="21" customHeight="1">
      <c r="A145" s="406" t="s">
        <v>109</v>
      </c>
      <c r="B145" s="418" t="s">
        <v>235</v>
      </c>
      <c r="C145" s="418" t="s">
        <v>422</v>
      </c>
      <c r="D145" s="443" t="s">
        <v>692</v>
      </c>
      <c r="E145" s="412" t="s">
        <v>571</v>
      </c>
      <c r="F145" s="412" t="s">
        <v>765</v>
      </c>
      <c r="G145" s="421">
        <v>14380000</v>
      </c>
      <c r="H145" s="321" t="s">
        <v>20</v>
      </c>
      <c r="I145" s="29">
        <f>SUM(I146,I147,I148)</f>
        <v>1560000</v>
      </c>
      <c r="J145" s="29">
        <f>SUM(J146,J147,J148)</f>
        <v>3000000</v>
      </c>
      <c r="K145" s="29">
        <f>SUM(K146,K147,K148)</f>
        <v>4330000</v>
      </c>
      <c r="L145" s="29">
        <f>SUM(L146,L147,L148)</f>
        <v>4000000</v>
      </c>
      <c r="M145" s="357">
        <f>G145-I145-J145-K145-L145</f>
        <v>1490000</v>
      </c>
      <c r="N145" s="192">
        <f t="shared" si="4"/>
        <v>12890000</v>
      </c>
      <c r="O145" s="192">
        <f t="shared" si="5"/>
        <v>-1490000</v>
      </c>
    </row>
    <row r="146" spans="1:15" s="145" customFormat="1" ht="21" customHeight="1">
      <c r="A146" s="407"/>
      <c r="B146" s="419"/>
      <c r="C146" s="419"/>
      <c r="D146" s="444"/>
      <c r="E146" s="413"/>
      <c r="F146" s="413"/>
      <c r="G146" s="422"/>
      <c r="H146" s="352" t="s">
        <v>21</v>
      </c>
      <c r="I146" s="148">
        <v>780000</v>
      </c>
      <c r="J146" s="148">
        <v>895000</v>
      </c>
      <c r="K146" s="148">
        <v>2165000</v>
      </c>
      <c r="L146" s="353">
        <v>2000000</v>
      </c>
      <c r="M146" s="358"/>
      <c r="N146" s="192">
        <f t="shared" si="4"/>
        <v>5840000</v>
      </c>
      <c r="O146" s="192">
        <f t="shared" si="5"/>
        <v>5840000</v>
      </c>
    </row>
    <row r="147" spans="1:15" s="145" customFormat="1" ht="21" customHeight="1" hidden="1">
      <c r="A147" s="407"/>
      <c r="B147" s="419"/>
      <c r="C147" s="419"/>
      <c r="D147" s="444"/>
      <c r="E147" s="413"/>
      <c r="F147" s="413"/>
      <c r="G147" s="422"/>
      <c r="H147" s="352" t="s">
        <v>22</v>
      </c>
      <c r="I147" s="148"/>
      <c r="J147" s="148"/>
      <c r="K147" s="148"/>
      <c r="L147" s="353"/>
      <c r="M147" s="358"/>
      <c r="N147" s="192">
        <f t="shared" si="4"/>
        <v>0</v>
      </c>
      <c r="O147" s="192">
        <f t="shared" si="5"/>
        <v>0</v>
      </c>
    </row>
    <row r="148" spans="1:15" s="145" customFormat="1" ht="19.5" customHeight="1">
      <c r="A148" s="408"/>
      <c r="B148" s="420"/>
      <c r="C148" s="420"/>
      <c r="D148" s="445"/>
      <c r="E148" s="414"/>
      <c r="F148" s="414"/>
      <c r="G148" s="423"/>
      <c r="H148" s="349" t="s">
        <v>23</v>
      </c>
      <c r="I148" s="350">
        <v>780000</v>
      </c>
      <c r="J148" s="350">
        <v>2105000</v>
      </c>
      <c r="K148" s="350">
        <v>2165000</v>
      </c>
      <c r="L148" s="351">
        <v>2000000</v>
      </c>
      <c r="M148" s="358"/>
      <c r="N148" s="192">
        <f t="shared" si="4"/>
        <v>7050000</v>
      </c>
      <c r="O148" s="192">
        <f t="shared" si="5"/>
        <v>7050000</v>
      </c>
    </row>
    <row r="149" spans="1:15" ht="21" customHeight="1">
      <c r="A149" s="406" t="s">
        <v>110</v>
      </c>
      <c r="B149" s="418" t="s">
        <v>235</v>
      </c>
      <c r="C149" s="418" t="s">
        <v>422</v>
      </c>
      <c r="D149" s="443" t="s">
        <v>36</v>
      </c>
      <c r="E149" s="412" t="s">
        <v>571</v>
      </c>
      <c r="F149" s="412" t="s">
        <v>750</v>
      </c>
      <c r="G149" s="421">
        <v>6400000</v>
      </c>
      <c r="H149" s="321" t="s">
        <v>20</v>
      </c>
      <c r="I149" s="29">
        <f>SUM(I150,I151,I152)</f>
        <v>126000</v>
      </c>
      <c r="J149" s="29">
        <f>SUM(J150,J151,J152)</f>
        <v>1152000</v>
      </c>
      <c r="K149" s="29">
        <f>SUM(K150,K151,K152)</f>
        <v>1835000</v>
      </c>
      <c r="L149" s="29">
        <f>SUM(L150,L151,L152)</f>
        <v>2987000</v>
      </c>
      <c r="M149" s="357">
        <f>G149-I149-J149-K149-L149</f>
        <v>300000</v>
      </c>
      <c r="N149" s="192">
        <f t="shared" si="4"/>
        <v>6100000</v>
      </c>
      <c r="O149" s="192">
        <f t="shared" si="5"/>
        <v>-300000</v>
      </c>
    </row>
    <row r="150" spans="1:15" s="145" customFormat="1" ht="21" customHeight="1">
      <c r="A150" s="407"/>
      <c r="B150" s="419"/>
      <c r="C150" s="419"/>
      <c r="D150" s="444"/>
      <c r="E150" s="413"/>
      <c r="F150" s="413"/>
      <c r="G150" s="422"/>
      <c r="H150" s="352" t="s">
        <v>21</v>
      </c>
      <c r="I150" s="148">
        <v>126000</v>
      </c>
      <c r="J150" s="148">
        <v>350000</v>
      </c>
      <c r="K150" s="148">
        <v>500000</v>
      </c>
      <c r="L150" s="353">
        <v>644000</v>
      </c>
      <c r="M150" s="358"/>
      <c r="N150" s="192">
        <f t="shared" si="4"/>
        <v>1620000</v>
      </c>
      <c r="O150" s="192">
        <f t="shared" si="5"/>
        <v>1620000</v>
      </c>
    </row>
    <row r="151" spans="1:15" s="145" customFormat="1" ht="21" customHeight="1" hidden="1">
      <c r="A151" s="407"/>
      <c r="B151" s="419"/>
      <c r="C151" s="419"/>
      <c r="D151" s="444"/>
      <c r="E151" s="413"/>
      <c r="F151" s="413"/>
      <c r="G151" s="422"/>
      <c r="H151" s="352" t="s">
        <v>22</v>
      </c>
      <c r="I151" s="148"/>
      <c r="J151" s="148"/>
      <c r="K151" s="148"/>
      <c r="L151" s="353"/>
      <c r="M151" s="358"/>
      <c r="N151" s="192">
        <f t="shared" si="4"/>
        <v>0</v>
      </c>
      <c r="O151" s="192">
        <f t="shared" si="5"/>
        <v>0</v>
      </c>
    </row>
    <row r="152" spans="1:15" s="145" customFormat="1" ht="21" customHeight="1">
      <c r="A152" s="408"/>
      <c r="B152" s="420"/>
      <c r="C152" s="420"/>
      <c r="D152" s="445"/>
      <c r="E152" s="414"/>
      <c r="F152" s="414"/>
      <c r="G152" s="423"/>
      <c r="H152" s="349" t="s">
        <v>23</v>
      </c>
      <c r="I152" s="350"/>
      <c r="J152" s="350">
        <v>802000</v>
      </c>
      <c r="K152" s="350">
        <v>1335000</v>
      </c>
      <c r="L152" s="351">
        <v>2343000</v>
      </c>
      <c r="M152" s="358"/>
      <c r="N152" s="192">
        <f t="shared" si="4"/>
        <v>4480000</v>
      </c>
      <c r="O152" s="192">
        <f t="shared" si="5"/>
        <v>4480000</v>
      </c>
    </row>
    <row r="153" spans="1:15" ht="21" customHeight="1">
      <c r="A153" s="406" t="s">
        <v>111</v>
      </c>
      <c r="B153" s="418" t="s">
        <v>235</v>
      </c>
      <c r="C153" s="418" t="s">
        <v>422</v>
      </c>
      <c r="D153" s="443" t="s">
        <v>693</v>
      </c>
      <c r="E153" s="412" t="s">
        <v>571</v>
      </c>
      <c r="F153" s="412">
        <v>2009</v>
      </c>
      <c r="G153" s="421">
        <v>100000</v>
      </c>
      <c r="H153" s="321" t="s">
        <v>20</v>
      </c>
      <c r="I153" s="29">
        <f>SUM(I154,I155,I156)</f>
        <v>100000</v>
      </c>
      <c r="J153" s="29">
        <f>SUM(J154,J155,J156)</f>
        <v>0</v>
      </c>
      <c r="K153" s="29">
        <f>SUM(K154,K155,K156)</f>
        <v>0</v>
      </c>
      <c r="L153" s="29">
        <f>SUM(L154,L155,L156)</f>
        <v>0</v>
      </c>
      <c r="M153" s="357">
        <f>G153-I153-J153-K153-L153</f>
        <v>0</v>
      </c>
      <c r="N153" s="192">
        <f t="shared" si="4"/>
        <v>100000</v>
      </c>
      <c r="O153" s="192">
        <f t="shared" si="5"/>
        <v>0</v>
      </c>
    </row>
    <row r="154" spans="1:15" s="145" customFormat="1" ht="21" customHeight="1">
      <c r="A154" s="407"/>
      <c r="B154" s="419"/>
      <c r="C154" s="419"/>
      <c r="D154" s="444"/>
      <c r="E154" s="413"/>
      <c r="F154" s="413"/>
      <c r="G154" s="422"/>
      <c r="H154" s="352" t="s">
        <v>21</v>
      </c>
      <c r="I154" s="148">
        <v>100000</v>
      </c>
      <c r="J154" s="148"/>
      <c r="K154" s="148"/>
      <c r="L154" s="353"/>
      <c r="M154" s="358"/>
      <c r="N154" s="192">
        <f t="shared" si="4"/>
        <v>100000</v>
      </c>
      <c r="O154" s="192">
        <f t="shared" si="5"/>
        <v>100000</v>
      </c>
    </row>
    <row r="155" spans="1:15" s="145" customFormat="1" ht="21" customHeight="1" hidden="1">
      <c r="A155" s="407"/>
      <c r="B155" s="419"/>
      <c r="C155" s="419"/>
      <c r="D155" s="444"/>
      <c r="E155" s="413"/>
      <c r="F155" s="413"/>
      <c r="G155" s="422"/>
      <c r="H155" s="352" t="s">
        <v>22</v>
      </c>
      <c r="I155" s="148"/>
      <c r="J155" s="148"/>
      <c r="K155" s="148"/>
      <c r="L155" s="353"/>
      <c r="M155" s="358"/>
      <c r="N155" s="192">
        <f t="shared" si="4"/>
        <v>0</v>
      </c>
      <c r="O155" s="192">
        <f t="shared" si="5"/>
        <v>0</v>
      </c>
    </row>
    <row r="156" spans="1:15" s="145" customFormat="1" ht="21" customHeight="1">
      <c r="A156" s="408"/>
      <c r="B156" s="420"/>
      <c r="C156" s="420"/>
      <c r="D156" s="445"/>
      <c r="E156" s="414"/>
      <c r="F156" s="414"/>
      <c r="G156" s="423"/>
      <c r="H156" s="349" t="s">
        <v>23</v>
      </c>
      <c r="I156" s="350"/>
      <c r="J156" s="350"/>
      <c r="K156" s="350"/>
      <c r="L156" s="351"/>
      <c r="M156" s="358"/>
      <c r="N156" s="192">
        <f t="shared" si="4"/>
        <v>0</v>
      </c>
      <c r="O156" s="192">
        <f t="shared" si="5"/>
        <v>0</v>
      </c>
    </row>
    <row r="157" spans="1:15" ht="21" customHeight="1">
      <c r="A157" s="406" t="s">
        <v>112</v>
      </c>
      <c r="B157" s="409" t="s">
        <v>241</v>
      </c>
      <c r="C157" s="409" t="s">
        <v>424</v>
      </c>
      <c r="D157" s="412" t="s">
        <v>694</v>
      </c>
      <c r="E157" s="412" t="s">
        <v>571</v>
      </c>
      <c r="F157" s="412" t="s">
        <v>754</v>
      </c>
      <c r="G157" s="421">
        <v>21285000</v>
      </c>
      <c r="H157" s="321" t="s">
        <v>20</v>
      </c>
      <c r="I157" s="29">
        <f>SUM(I158,I159,I160)</f>
        <v>4227000</v>
      </c>
      <c r="J157" s="29">
        <f>SUM(J158,J159,J160)</f>
        <v>5661000</v>
      </c>
      <c r="K157" s="29">
        <f>SUM(K158,K159,K160)</f>
        <v>6314000</v>
      </c>
      <c r="L157" s="29">
        <f>SUM(L158,L159,L160)</f>
        <v>4963000</v>
      </c>
      <c r="M157" s="357">
        <f>G157-I157-J157-K157-L157</f>
        <v>120000</v>
      </c>
      <c r="N157" s="192">
        <f t="shared" si="4"/>
        <v>21165000</v>
      </c>
      <c r="O157" s="192">
        <f t="shared" si="5"/>
        <v>-120000</v>
      </c>
    </row>
    <row r="158" spans="1:15" s="145" customFormat="1" ht="21" customHeight="1">
      <c r="A158" s="407"/>
      <c r="B158" s="410"/>
      <c r="C158" s="410"/>
      <c r="D158" s="413"/>
      <c r="E158" s="413"/>
      <c r="F158" s="413"/>
      <c r="G158" s="422"/>
      <c r="H158" s="347" t="s">
        <v>21</v>
      </c>
      <c r="I158" s="142">
        <v>2114000</v>
      </c>
      <c r="J158" s="142">
        <v>2831000</v>
      </c>
      <c r="K158" s="142">
        <v>3157000</v>
      </c>
      <c r="L158" s="348">
        <v>2482000</v>
      </c>
      <c r="M158" s="358"/>
      <c r="N158" s="192">
        <f t="shared" si="4"/>
        <v>10584000</v>
      </c>
      <c r="O158" s="192">
        <f t="shared" si="5"/>
        <v>10584000</v>
      </c>
    </row>
    <row r="159" spans="1:15" s="145" customFormat="1" ht="21" customHeight="1" hidden="1">
      <c r="A159" s="407"/>
      <c r="B159" s="410"/>
      <c r="C159" s="410"/>
      <c r="D159" s="413"/>
      <c r="E159" s="413"/>
      <c r="F159" s="413"/>
      <c r="G159" s="422"/>
      <c r="H159" s="352" t="s">
        <v>22</v>
      </c>
      <c r="I159" s="148"/>
      <c r="J159" s="148"/>
      <c r="K159" s="148"/>
      <c r="L159" s="353"/>
      <c r="M159" s="358"/>
      <c r="N159" s="192">
        <f t="shared" si="4"/>
        <v>0</v>
      </c>
      <c r="O159" s="192">
        <f t="shared" si="5"/>
        <v>0</v>
      </c>
    </row>
    <row r="160" spans="1:15" s="145" customFormat="1" ht="21" customHeight="1">
      <c r="A160" s="408"/>
      <c r="B160" s="411"/>
      <c r="C160" s="411"/>
      <c r="D160" s="414"/>
      <c r="E160" s="414"/>
      <c r="F160" s="414"/>
      <c r="G160" s="423"/>
      <c r="H160" s="349" t="s">
        <v>23</v>
      </c>
      <c r="I160" s="350">
        <v>2113000</v>
      </c>
      <c r="J160" s="350">
        <v>2830000</v>
      </c>
      <c r="K160" s="350">
        <v>3157000</v>
      </c>
      <c r="L160" s="351">
        <v>2481000</v>
      </c>
      <c r="M160" s="358"/>
      <c r="N160" s="192">
        <f t="shared" si="4"/>
        <v>10581000</v>
      </c>
      <c r="O160" s="192">
        <f t="shared" si="5"/>
        <v>10581000</v>
      </c>
    </row>
    <row r="161" spans="1:15" ht="21" customHeight="1">
      <c r="A161" s="406" t="s">
        <v>113</v>
      </c>
      <c r="B161" s="409" t="s">
        <v>241</v>
      </c>
      <c r="C161" s="409" t="s">
        <v>424</v>
      </c>
      <c r="D161" s="412" t="s">
        <v>695</v>
      </c>
      <c r="E161" s="412" t="s">
        <v>571</v>
      </c>
      <c r="F161" s="412" t="s">
        <v>757</v>
      </c>
      <c r="G161" s="421">
        <v>6250000</v>
      </c>
      <c r="H161" s="321" t="s">
        <v>20</v>
      </c>
      <c r="I161" s="29">
        <f>SUM(I162,I163,I164)</f>
        <v>150000</v>
      </c>
      <c r="J161" s="29">
        <f>SUM(J162,J163,J164)</f>
        <v>6100000</v>
      </c>
      <c r="K161" s="29">
        <f>SUM(K162,K163,K164)</f>
        <v>0</v>
      </c>
      <c r="L161" s="29">
        <f>SUM(L162,L163,L164)</f>
        <v>0</v>
      </c>
      <c r="M161" s="357">
        <f>G161-I161-J161-K161-L161</f>
        <v>0</v>
      </c>
      <c r="N161" s="192">
        <f t="shared" si="4"/>
        <v>6250000</v>
      </c>
      <c r="O161" s="192">
        <f t="shared" si="5"/>
        <v>0</v>
      </c>
    </row>
    <row r="162" spans="1:15" s="145" customFormat="1" ht="21" customHeight="1">
      <c r="A162" s="407"/>
      <c r="B162" s="410"/>
      <c r="C162" s="410"/>
      <c r="D162" s="413"/>
      <c r="E162" s="413"/>
      <c r="F162" s="413"/>
      <c r="G162" s="422"/>
      <c r="H162" s="347" t="s">
        <v>21</v>
      </c>
      <c r="I162" s="142">
        <v>150000</v>
      </c>
      <c r="J162" s="142">
        <v>4575000</v>
      </c>
      <c r="K162" s="142"/>
      <c r="L162" s="348"/>
      <c r="M162" s="358"/>
      <c r="N162" s="192">
        <f t="shared" si="4"/>
        <v>4725000</v>
      </c>
      <c r="O162" s="192">
        <f t="shared" si="5"/>
        <v>4725000</v>
      </c>
    </row>
    <row r="163" spans="1:15" s="145" customFormat="1" ht="21" customHeight="1" hidden="1">
      <c r="A163" s="407"/>
      <c r="B163" s="410"/>
      <c r="C163" s="410"/>
      <c r="D163" s="413"/>
      <c r="E163" s="413"/>
      <c r="F163" s="413"/>
      <c r="G163" s="422"/>
      <c r="H163" s="352" t="s">
        <v>22</v>
      </c>
      <c r="I163" s="148"/>
      <c r="J163" s="148"/>
      <c r="K163" s="148"/>
      <c r="L163" s="353"/>
      <c r="M163" s="358"/>
      <c r="N163" s="192">
        <f t="shared" si="4"/>
        <v>0</v>
      </c>
      <c r="O163" s="192">
        <f t="shared" si="5"/>
        <v>0</v>
      </c>
    </row>
    <row r="164" spans="1:15" s="145" customFormat="1" ht="21" customHeight="1">
      <c r="A164" s="408"/>
      <c r="B164" s="411"/>
      <c r="C164" s="411"/>
      <c r="D164" s="414"/>
      <c r="E164" s="414"/>
      <c r="F164" s="414"/>
      <c r="G164" s="423"/>
      <c r="H164" s="349" t="s">
        <v>23</v>
      </c>
      <c r="I164" s="350"/>
      <c r="J164" s="350">
        <v>1525000</v>
      </c>
      <c r="K164" s="350"/>
      <c r="L164" s="351"/>
      <c r="M164" s="358"/>
      <c r="N164" s="192">
        <f t="shared" si="4"/>
        <v>1525000</v>
      </c>
      <c r="O164" s="192">
        <f t="shared" si="5"/>
        <v>1525000</v>
      </c>
    </row>
    <row r="165" spans="1:15" ht="21" customHeight="1">
      <c r="A165" s="406" t="s">
        <v>114</v>
      </c>
      <c r="B165" s="409" t="s">
        <v>256</v>
      </c>
      <c r="C165" s="409" t="s">
        <v>264</v>
      </c>
      <c r="D165" s="412" t="s">
        <v>696</v>
      </c>
      <c r="E165" s="412" t="s">
        <v>571</v>
      </c>
      <c r="F165" s="412" t="s">
        <v>766</v>
      </c>
      <c r="G165" s="421">
        <v>8021000</v>
      </c>
      <c r="H165" s="321" t="s">
        <v>20</v>
      </c>
      <c r="I165" s="29">
        <f>SUM(I166,I167,I168)</f>
        <v>300000</v>
      </c>
      <c r="J165" s="29">
        <f>SUM(J166,J167,J168)</f>
        <v>2529000</v>
      </c>
      <c r="K165" s="29">
        <f>SUM(K166,K167,K168)</f>
        <v>3948000</v>
      </c>
      <c r="L165" s="29">
        <f>SUM(L166,L167,L168)</f>
        <v>0</v>
      </c>
      <c r="M165" s="357">
        <f>G165-I165-J165-K165-L165</f>
        <v>1244000</v>
      </c>
      <c r="N165" s="192">
        <f t="shared" si="4"/>
        <v>6777000</v>
      </c>
      <c r="O165" s="192">
        <f t="shared" si="5"/>
        <v>-1244000</v>
      </c>
    </row>
    <row r="166" spans="1:15" s="145" customFormat="1" ht="21" customHeight="1">
      <c r="A166" s="407"/>
      <c r="B166" s="410"/>
      <c r="C166" s="410"/>
      <c r="D166" s="413"/>
      <c r="E166" s="413"/>
      <c r="F166" s="413"/>
      <c r="G166" s="422"/>
      <c r="H166" s="347" t="s">
        <v>21</v>
      </c>
      <c r="I166" s="142">
        <v>300000</v>
      </c>
      <c r="J166" s="142">
        <v>2529000</v>
      </c>
      <c r="K166" s="142">
        <v>3948000</v>
      </c>
      <c r="L166" s="348"/>
      <c r="M166" s="358"/>
      <c r="N166" s="192">
        <f t="shared" si="4"/>
        <v>6777000</v>
      </c>
      <c r="O166" s="192">
        <f t="shared" si="5"/>
        <v>6777000</v>
      </c>
    </row>
    <row r="167" spans="1:15" s="145" customFormat="1" ht="21" customHeight="1" hidden="1">
      <c r="A167" s="407"/>
      <c r="B167" s="410"/>
      <c r="C167" s="410"/>
      <c r="D167" s="413"/>
      <c r="E167" s="413"/>
      <c r="F167" s="413"/>
      <c r="G167" s="422"/>
      <c r="H167" s="352" t="s">
        <v>22</v>
      </c>
      <c r="I167" s="148"/>
      <c r="J167" s="148"/>
      <c r="K167" s="148"/>
      <c r="L167" s="353"/>
      <c r="M167" s="358"/>
      <c r="N167" s="192">
        <f t="shared" si="4"/>
        <v>0</v>
      </c>
      <c r="O167" s="192">
        <f t="shared" si="5"/>
        <v>0</v>
      </c>
    </row>
    <row r="168" spans="1:15" s="145" customFormat="1" ht="18.75" customHeight="1">
      <c r="A168" s="408"/>
      <c r="B168" s="411"/>
      <c r="C168" s="411"/>
      <c r="D168" s="414"/>
      <c r="E168" s="414"/>
      <c r="F168" s="414"/>
      <c r="G168" s="423"/>
      <c r="H168" s="349" t="s">
        <v>23</v>
      </c>
      <c r="I168" s="350"/>
      <c r="J168" s="350"/>
      <c r="K168" s="350"/>
      <c r="L168" s="351"/>
      <c r="M168" s="358"/>
      <c r="N168" s="192">
        <f t="shared" si="4"/>
        <v>0</v>
      </c>
      <c r="O168" s="192">
        <f t="shared" si="5"/>
        <v>0</v>
      </c>
    </row>
    <row r="169" spans="1:15" ht="21" customHeight="1">
      <c r="A169" s="406" t="s">
        <v>124</v>
      </c>
      <c r="B169" s="409" t="s">
        <v>268</v>
      </c>
      <c r="C169" s="409" t="s">
        <v>427</v>
      </c>
      <c r="D169" s="412" t="s">
        <v>741</v>
      </c>
      <c r="E169" s="412" t="s">
        <v>571</v>
      </c>
      <c r="F169" s="412" t="s">
        <v>759</v>
      </c>
      <c r="G169" s="421">
        <v>1528000</v>
      </c>
      <c r="H169" s="321" t="s">
        <v>20</v>
      </c>
      <c r="I169" s="29">
        <f>SUM(I170,I171,I172)</f>
        <v>100000</v>
      </c>
      <c r="J169" s="29">
        <f>SUM(J170,J171,J172)</f>
        <v>400000</v>
      </c>
      <c r="K169" s="29">
        <f>SUM(K170,K171,K172)</f>
        <v>1028000</v>
      </c>
      <c r="L169" s="29">
        <f>SUM(L170,L171,L172)</f>
        <v>0</v>
      </c>
      <c r="M169" s="357">
        <f>G169-I169-J169-K169-L169</f>
        <v>0</v>
      </c>
      <c r="N169" s="192">
        <f t="shared" si="4"/>
        <v>1528000</v>
      </c>
      <c r="O169" s="192">
        <f t="shared" si="5"/>
        <v>0</v>
      </c>
    </row>
    <row r="170" spans="1:15" s="145" customFormat="1" ht="21" customHeight="1">
      <c r="A170" s="407"/>
      <c r="B170" s="410"/>
      <c r="C170" s="410"/>
      <c r="D170" s="413"/>
      <c r="E170" s="413"/>
      <c r="F170" s="413"/>
      <c r="G170" s="422"/>
      <c r="H170" s="352" t="s">
        <v>21</v>
      </c>
      <c r="I170" s="148">
        <v>100000</v>
      </c>
      <c r="J170" s="148">
        <v>400000</v>
      </c>
      <c r="K170" s="148">
        <v>1028000</v>
      </c>
      <c r="L170" s="353"/>
      <c r="M170" s="358"/>
      <c r="N170" s="192">
        <f t="shared" si="4"/>
        <v>1528000</v>
      </c>
      <c r="O170" s="192">
        <f t="shared" si="5"/>
        <v>1528000</v>
      </c>
    </row>
    <row r="171" spans="1:15" s="145" customFormat="1" ht="21" customHeight="1" hidden="1">
      <c r="A171" s="407"/>
      <c r="B171" s="410"/>
      <c r="C171" s="410"/>
      <c r="D171" s="413"/>
      <c r="E171" s="413"/>
      <c r="F171" s="413"/>
      <c r="G171" s="422"/>
      <c r="H171" s="352" t="s">
        <v>22</v>
      </c>
      <c r="I171" s="148"/>
      <c r="J171" s="148"/>
      <c r="K171" s="148"/>
      <c r="L171" s="353"/>
      <c r="M171" s="358"/>
      <c r="N171" s="192">
        <f t="shared" si="4"/>
        <v>0</v>
      </c>
      <c r="O171" s="192">
        <f t="shared" si="5"/>
        <v>0</v>
      </c>
    </row>
    <row r="172" spans="1:15" s="145" customFormat="1" ht="18" customHeight="1">
      <c r="A172" s="408"/>
      <c r="B172" s="411"/>
      <c r="C172" s="411"/>
      <c r="D172" s="414"/>
      <c r="E172" s="414"/>
      <c r="F172" s="414"/>
      <c r="G172" s="423"/>
      <c r="H172" s="349" t="s">
        <v>23</v>
      </c>
      <c r="I172" s="350"/>
      <c r="J172" s="350"/>
      <c r="K172" s="350"/>
      <c r="L172" s="351"/>
      <c r="M172" s="358"/>
      <c r="N172" s="192">
        <f t="shared" si="4"/>
        <v>0</v>
      </c>
      <c r="O172" s="192">
        <f t="shared" si="5"/>
        <v>0</v>
      </c>
    </row>
    <row r="173" spans="1:15" ht="21" customHeight="1">
      <c r="A173" s="406" t="s">
        <v>125</v>
      </c>
      <c r="B173" s="446">
        <v>750</v>
      </c>
      <c r="C173" s="409" t="s">
        <v>427</v>
      </c>
      <c r="D173" s="412" t="s">
        <v>712</v>
      </c>
      <c r="E173" s="412" t="s">
        <v>571</v>
      </c>
      <c r="F173" s="412" t="s">
        <v>765</v>
      </c>
      <c r="G173" s="421">
        <v>2493000</v>
      </c>
      <c r="H173" s="321" t="s">
        <v>20</v>
      </c>
      <c r="I173" s="29">
        <f>SUM(I174,I175,I176)</f>
        <v>993000</v>
      </c>
      <c r="J173" s="29">
        <f>SUM(J174,J175,J176)</f>
        <v>460000</v>
      </c>
      <c r="K173" s="29">
        <f>SUM(K174,K175,K176)</f>
        <v>460000</v>
      </c>
      <c r="L173" s="29">
        <f>SUM(L174,L175,L176)</f>
        <v>500000</v>
      </c>
      <c r="M173" s="357">
        <f>G173-I173-J173-K173-L173</f>
        <v>80000</v>
      </c>
      <c r="N173" s="192">
        <f t="shared" si="4"/>
        <v>2413000</v>
      </c>
      <c r="O173" s="192">
        <f t="shared" si="5"/>
        <v>-80000</v>
      </c>
    </row>
    <row r="174" spans="1:15" s="145" customFormat="1" ht="21" customHeight="1">
      <c r="A174" s="407"/>
      <c r="B174" s="410"/>
      <c r="C174" s="410"/>
      <c r="D174" s="413"/>
      <c r="E174" s="413"/>
      <c r="F174" s="413"/>
      <c r="G174" s="422"/>
      <c r="H174" s="352" t="s">
        <v>21</v>
      </c>
      <c r="I174" s="148">
        <v>993000</v>
      </c>
      <c r="J174" s="148">
        <v>460000</v>
      </c>
      <c r="K174" s="148">
        <v>460000</v>
      </c>
      <c r="L174" s="353">
        <v>500000</v>
      </c>
      <c r="M174" s="358"/>
      <c r="N174" s="192">
        <f t="shared" si="4"/>
        <v>2413000</v>
      </c>
      <c r="O174" s="192">
        <f t="shared" si="5"/>
        <v>2413000</v>
      </c>
    </row>
    <row r="175" spans="1:15" s="145" customFormat="1" ht="21" customHeight="1" hidden="1">
      <c r="A175" s="407"/>
      <c r="B175" s="410"/>
      <c r="C175" s="410"/>
      <c r="D175" s="413"/>
      <c r="E175" s="413"/>
      <c r="F175" s="413"/>
      <c r="G175" s="422"/>
      <c r="H175" s="352" t="s">
        <v>22</v>
      </c>
      <c r="I175" s="148"/>
      <c r="J175" s="148"/>
      <c r="K175" s="148"/>
      <c r="L175" s="353"/>
      <c r="M175" s="358"/>
      <c r="N175" s="192">
        <f t="shared" si="4"/>
        <v>0</v>
      </c>
      <c r="O175" s="192">
        <f t="shared" si="5"/>
        <v>0</v>
      </c>
    </row>
    <row r="176" spans="1:15" s="145" customFormat="1" ht="20.25" customHeight="1">
      <c r="A176" s="408"/>
      <c r="B176" s="411"/>
      <c r="C176" s="411"/>
      <c r="D176" s="414"/>
      <c r="E176" s="414"/>
      <c r="F176" s="414"/>
      <c r="G176" s="423"/>
      <c r="H176" s="349" t="s">
        <v>23</v>
      </c>
      <c r="I176" s="350"/>
      <c r="J176" s="350"/>
      <c r="K176" s="350"/>
      <c r="L176" s="351"/>
      <c r="M176" s="358"/>
      <c r="N176" s="192">
        <f t="shared" si="4"/>
        <v>0</v>
      </c>
      <c r="O176" s="192">
        <f t="shared" si="5"/>
        <v>0</v>
      </c>
    </row>
    <row r="177" spans="1:15" ht="21" customHeight="1">
      <c r="A177" s="406" t="s">
        <v>126</v>
      </c>
      <c r="B177" s="447" t="s">
        <v>715</v>
      </c>
      <c r="C177" s="424" t="s">
        <v>704</v>
      </c>
      <c r="D177" s="412" t="s">
        <v>37</v>
      </c>
      <c r="E177" s="412" t="s">
        <v>571</v>
      </c>
      <c r="F177" s="412" t="s">
        <v>755</v>
      </c>
      <c r="G177" s="421">
        <v>2992000</v>
      </c>
      <c r="H177" s="321" t="s">
        <v>20</v>
      </c>
      <c r="I177" s="29">
        <f>SUM(I178,I179,I180)</f>
        <v>1431000</v>
      </c>
      <c r="J177" s="29">
        <f>SUM(J178,J179,J180)</f>
        <v>682000</v>
      </c>
      <c r="K177" s="29">
        <f>SUM(K178,K179,K180)</f>
        <v>804000</v>
      </c>
      <c r="L177" s="29">
        <f>SUM(L178,L179,L180)</f>
        <v>0</v>
      </c>
      <c r="M177" s="357">
        <f>G177-I177-J177-K177-L177</f>
        <v>75000</v>
      </c>
      <c r="N177" s="192">
        <f t="shared" si="4"/>
        <v>2917000</v>
      </c>
      <c r="O177" s="192">
        <f t="shared" si="5"/>
        <v>-75000</v>
      </c>
    </row>
    <row r="178" spans="1:15" s="145" customFormat="1" ht="21" customHeight="1">
      <c r="A178" s="407"/>
      <c r="B178" s="410"/>
      <c r="C178" s="410"/>
      <c r="D178" s="413"/>
      <c r="E178" s="413"/>
      <c r="F178" s="413"/>
      <c r="G178" s="422"/>
      <c r="H178" s="352" t="s">
        <v>21</v>
      </c>
      <c r="I178" s="148">
        <v>1431000</v>
      </c>
      <c r="J178" s="148">
        <v>682000</v>
      </c>
      <c r="K178" s="148">
        <v>804000</v>
      </c>
      <c r="L178" s="353"/>
      <c r="M178" s="358"/>
      <c r="N178" s="192">
        <f t="shared" si="4"/>
        <v>2917000</v>
      </c>
      <c r="O178" s="192">
        <f t="shared" si="5"/>
        <v>2917000</v>
      </c>
    </row>
    <row r="179" spans="1:15" s="145" customFormat="1" ht="21" customHeight="1" hidden="1">
      <c r="A179" s="407"/>
      <c r="B179" s="410"/>
      <c r="C179" s="410"/>
      <c r="D179" s="413"/>
      <c r="E179" s="413"/>
      <c r="F179" s="413"/>
      <c r="G179" s="422"/>
      <c r="H179" s="352" t="s">
        <v>22</v>
      </c>
      <c r="I179" s="148"/>
      <c r="J179" s="148"/>
      <c r="K179" s="148"/>
      <c r="L179" s="353"/>
      <c r="M179" s="358"/>
      <c r="N179" s="192">
        <f t="shared" si="4"/>
        <v>0</v>
      </c>
      <c r="O179" s="192">
        <f t="shared" si="5"/>
        <v>0</v>
      </c>
    </row>
    <row r="180" spans="1:15" s="145" customFormat="1" ht="21" customHeight="1">
      <c r="A180" s="408"/>
      <c r="B180" s="411"/>
      <c r="C180" s="411"/>
      <c r="D180" s="414"/>
      <c r="E180" s="414"/>
      <c r="F180" s="414"/>
      <c r="G180" s="423"/>
      <c r="H180" s="349" t="s">
        <v>23</v>
      </c>
      <c r="I180" s="350"/>
      <c r="J180" s="350"/>
      <c r="K180" s="350"/>
      <c r="L180" s="351"/>
      <c r="M180" s="358"/>
      <c r="N180" s="192">
        <f t="shared" si="4"/>
        <v>0</v>
      </c>
      <c r="O180" s="192">
        <f t="shared" si="5"/>
        <v>0</v>
      </c>
    </row>
    <row r="181" spans="1:15" ht="21" customHeight="1">
      <c r="A181" s="406" t="s">
        <v>127</v>
      </c>
      <c r="B181" s="446">
        <v>801</v>
      </c>
      <c r="C181" s="409" t="s">
        <v>434</v>
      </c>
      <c r="D181" s="412" t="s">
        <v>38</v>
      </c>
      <c r="E181" s="412" t="s">
        <v>571</v>
      </c>
      <c r="F181" s="412" t="s">
        <v>767</v>
      </c>
      <c r="G181" s="421">
        <v>3210000</v>
      </c>
      <c r="H181" s="321" t="s">
        <v>20</v>
      </c>
      <c r="I181" s="29">
        <f>SUM(I182,I183,I184)</f>
        <v>510000</v>
      </c>
      <c r="J181" s="29">
        <f>SUM(J182,J183,J184)</f>
        <v>400000</v>
      </c>
      <c r="K181" s="29">
        <f>SUM(K182,K183,K184)</f>
        <v>300000</v>
      </c>
      <c r="L181" s="29">
        <f>SUM(L182,L183,L184)</f>
        <v>2000000</v>
      </c>
      <c r="M181" s="357">
        <f>G181-I181-J181-K181-L181</f>
        <v>0</v>
      </c>
      <c r="N181" s="192">
        <f t="shared" si="4"/>
        <v>3210000</v>
      </c>
      <c r="O181" s="192">
        <f t="shared" si="5"/>
        <v>0</v>
      </c>
    </row>
    <row r="182" spans="1:15" s="145" customFormat="1" ht="21" customHeight="1">
      <c r="A182" s="407"/>
      <c r="B182" s="410"/>
      <c r="C182" s="410"/>
      <c r="D182" s="413"/>
      <c r="E182" s="413"/>
      <c r="F182" s="413"/>
      <c r="G182" s="422"/>
      <c r="H182" s="352" t="s">
        <v>21</v>
      </c>
      <c r="I182" s="148">
        <v>510000</v>
      </c>
      <c r="J182" s="148">
        <v>400000</v>
      </c>
      <c r="K182" s="148">
        <v>0</v>
      </c>
      <c r="L182" s="353">
        <v>0</v>
      </c>
      <c r="M182" s="358"/>
      <c r="N182" s="192">
        <f t="shared" si="4"/>
        <v>910000</v>
      </c>
      <c r="O182" s="192">
        <f t="shared" si="5"/>
        <v>910000</v>
      </c>
    </row>
    <row r="183" spans="1:15" s="145" customFormat="1" ht="21" customHeight="1" hidden="1">
      <c r="A183" s="407"/>
      <c r="B183" s="410"/>
      <c r="C183" s="410"/>
      <c r="D183" s="413"/>
      <c r="E183" s="413"/>
      <c r="F183" s="413"/>
      <c r="G183" s="422"/>
      <c r="H183" s="352" t="s">
        <v>22</v>
      </c>
      <c r="I183" s="148"/>
      <c r="J183" s="148"/>
      <c r="K183" s="148"/>
      <c r="L183" s="353"/>
      <c r="M183" s="358"/>
      <c r="N183" s="192">
        <f t="shared" si="4"/>
        <v>0</v>
      </c>
      <c r="O183" s="192">
        <f t="shared" si="5"/>
        <v>0</v>
      </c>
    </row>
    <row r="184" spans="1:15" s="145" customFormat="1" ht="21" customHeight="1">
      <c r="A184" s="408"/>
      <c r="B184" s="411"/>
      <c r="C184" s="411"/>
      <c r="D184" s="414"/>
      <c r="E184" s="414"/>
      <c r="F184" s="414"/>
      <c r="G184" s="423"/>
      <c r="H184" s="349" t="s">
        <v>23</v>
      </c>
      <c r="I184" s="350"/>
      <c r="J184" s="350"/>
      <c r="K184" s="350">
        <v>300000</v>
      </c>
      <c r="L184" s="351">
        <v>2000000</v>
      </c>
      <c r="M184" s="358"/>
      <c r="N184" s="192">
        <f t="shared" si="4"/>
        <v>2300000</v>
      </c>
      <c r="O184" s="192">
        <f t="shared" si="5"/>
        <v>2300000</v>
      </c>
    </row>
    <row r="185" spans="1:15" ht="26.25" customHeight="1">
      <c r="A185" s="406" t="s">
        <v>128</v>
      </c>
      <c r="B185" s="409" t="s">
        <v>364</v>
      </c>
      <c r="C185" s="409" t="s">
        <v>479</v>
      </c>
      <c r="D185" s="412" t="s">
        <v>742</v>
      </c>
      <c r="E185" s="412" t="s">
        <v>571</v>
      </c>
      <c r="F185" s="412" t="s">
        <v>756</v>
      </c>
      <c r="G185" s="421">
        <v>430000</v>
      </c>
      <c r="H185" s="321" t="s">
        <v>20</v>
      </c>
      <c r="I185" s="29">
        <f>SUM(I186,I187,I188)</f>
        <v>400000</v>
      </c>
      <c r="J185" s="29">
        <f>SUM(J186,J187,J188)</f>
        <v>0</v>
      </c>
      <c r="K185" s="29">
        <f>SUM(K186,K187,K188)</f>
        <v>0</v>
      </c>
      <c r="L185" s="29">
        <f>SUM(L186,L187,L188)</f>
        <v>0</v>
      </c>
      <c r="M185" s="357">
        <f>G185-I185-J185-K185-L185</f>
        <v>30000</v>
      </c>
      <c r="N185" s="192">
        <f t="shared" si="4"/>
        <v>400000</v>
      </c>
      <c r="O185" s="192">
        <f t="shared" si="5"/>
        <v>-30000</v>
      </c>
    </row>
    <row r="186" spans="1:15" s="145" customFormat="1" ht="22.5" customHeight="1">
      <c r="A186" s="407"/>
      <c r="B186" s="410"/>
      <c r="C186" s="410"/>
      <c r="D186" s="413"/>
      <c r="E186" s="413"/>
      <c r="F186" s="413"/>
      <c r="G186" s="422"/>
      <c r="H186" s="352" t="s">
        <v>21</v>
      </c>
      <c r="I186" s="148">
        <v>400000</v>
      </c>
      <c r="J186" s="148"/>
      <c r="K186" s="148"/>
      <c r="L186" s="353"/>
      <c r="M186" s="358"/>
      <c r="N186" s="192">
        <f t="shared" si="4"/>
        <v>400000</v>
      </c>
      <c r="O186" s="192">
        <f t="shared" si="5"/>
        <v>400000</v>
      </c>
    </row>
    <row r="187" spans="1:15" s="145" customFormat="1" ht="21" customHeight="1" hidden="1">
      <c r="A187" s="407"/>
      <c r="B187" s="410"/>
      <c r="C187" s="410"/>
      <c r="D187" s="413"/>
      <c r="E187" s="413"/>
      <c r="F187" s="413"/>
      <c r="G187" s="422"/>
      <c r="H187" s="352" t="s">
        <v>22</v>
      </c>
      <c r="I187" s="148"/>
      <c r="J187" s="148"/>
      <c r="K187" s="148"/>
      <c r="L187" s="353"/>
      <c r="M187" s="358"/>
      <c r="N187" s="192">
        <f t="shared" si="4"/>
        <v>0</v>
      </c>
      <c r="O187" s="192">
        <f t="shared" si="5"/>
        <v>0</v>
      </c>
    </row>
    <row r="188" spans="1:15" s="145" customFormat="1" ht="20.25" customHeight="1">
      <c r="A188" s="408"/>
      <c r="B188" s="411"/>
      <c r="C188" s="411"/>
      <c r="D188" s="414"/>
      <c r="E188" s="414"/>
      <c r="F188" s="414"/>
      <c r="G188" s="423"/>
      <c r="H188" s="349" t="s">
        <v>23</v>
      </c>
      <c r="I188" s="350"/>
      <c r="J188" s="350"/>
      <c r="K188" s="350"/>
      <c r="L188" s="351"/>
      <c r="M188" s="358"/>
      <c r="N188" s="192">
        <f t="shared" si="4"/>
        <v>0</v>
      </c>
      <c r="O188" s="192">
        <f t="shared" si="5"/>
        <v>0</v>
      </c>
    </row>
    <row r="189" spans="1:15" ht="21" customHeight="1">
      <c r="A189" s="406" t="s">
        <v>129</v>
      </c>
      <c r="B189" s="409" t="s">
        <v>364</v>
      </c>
      <c r="C189" s="409" t="s">
        <v>383</v>
      </c>
      <c r="D189" s="412" t="s">
        <v>39</v>
      </c>
      <c r="E189" s="412" t="s">
        <v>571</v>
      </c>
      <c r="F189" s="412" t="s">
        <v>748</v>
      </c>
      <c r="G189" s="421">
        <v>4948000</v>
      </c>
      <c r="H189" s="321" t="s">
        <v>20</v>
      </c>
      <c r="I189" s="29">
        <f>SUM(I190,I191,I192)</f>
        <v>4495000</v>
      </c>
      <c r="J189" s="29">
        <f>SUM(J190,J191,J192)</f>
        <v>0</v>
      </c>
      <c r="K189" s="29">
        <f>SUM(K190,K191,K192)</f>
        <v>0</v>
      </c>
      <c r="L189" s="29">
        <f>SUM(L190,L191,L192)</f>
        <v>0</v>
      </c>
      <c r="M189" s="357">
        <f>G189-I189-J189-K189-L189</f>
        <v>453000</v>
      </c>
      <c r="N189" s="192">
        <f t="shared" si="4"/>
        <v>4495000</v>
      </c>
      <c r="O189" s="192">
        <f t="shared" si="5"/>
        <v>-453000</v>
      </c>
    </row>
    <row r="190" spans="1:15" s="145" customFormat="1" ht="21" customHeight="1">
      <c r="A190" s="407"/>
      <c r="B190" s="410"/>
      <c r="C190" s="410"/>
      <c r="D190" s="413"/>
      <c r="E190" s="413"/>
      <c r="F190" s="413"/>
      <c r="G190" s="422"/>
      <c r="H190" s="352" t="s">
        <v>21</v>
      </c>
      <c r="I190" s="148">
        <v>3095000</v>
      </c>
      <c r="J190" s="148"/>
      <c r="K190" s="148"/>
      <c r="L190" s="353"/>
      <c r="M190" s="358"/>
      <c r="N190" s="192">
        <f t="shared" si="4"/>
        <v>3095000</v>
      </c>
      <c r="O190" s="192">
        <f t="shared" si="5"/>
        <v>3095000</v>
      </c>
    </row>
    <row r="191" spans="1:15" s="145" customFormat="1" ht="21" customHeight="1" hidden="1">
      <c r="A191" s="407"/>
      <c r="B191" s="410"/>
      <c r="C191" s="410"/>
      <c r="D191" s="413"/>
      <c r="E191" s="413"/>
      <c r="F191" s="413"/>
      <c r="G191" s="422"/>
      <c r="H191" s="352" t="s">
        <v>22</v>
      </c>
      <c r="I191" s="148"/>
      <c r="J191" s="148"/>
      <c r="K191" s="148"/>
      <c r="L191" s="353"/>
      <c r="M191" s="358"/>
      <c r="N191" s="192">
        <f t="shared" si="4"/>
        <v>0</v>
      </c>
      <c r="O191" s="192">
        <f t="shared" si="5"/>
        <v>0</v>
      </c>
    </row>
    <row r="192" spans="1:15" s="145" customFormat="1" ht="19.5" customHeight="1">
      <c r="A192" s="408"/>
      <c r="B192" s="411"/>
      <c r="C192" s="411"/>
      <c r="D192" s="414"/>
      <c r="E192" s="414"/>
      <c r="F192" s="414"/>
      <c r="G192" s="423"/>
      <c r="H192" s="349" t="s">
        <v>23</v>
      </c>
      <c r="I192" s="350">
        <v>1400000</v>
      </c>
      <c r="J192" s="350"/>
      <c r="K192" s="350"/>
      <c r="L192" s="351"/>
      <c r="M192" s="358"/>
      <c r="N192" s="192">
        <f t="shared" si="4"/>
        <v>1400000</v>
      </c>
      <c r="O192" s="192">
        <f t="shared" si="5"/>
        <v>1400000</v>
      </c>
    </row>
    <row r="193" spans="1:15" ht="19.5" customHeight="1">
      <c r="A193" s="406" t="s">
        <v>130</v>
      </c>
      <c r="B193" s="409" t="s">
        <v>384</v>
      </c>
      <c r="C193" s="409" t="s">
        <v>449</v>
      </c>
      <c r="D193" s="412" t="s">
        <v>62</v>
      </c>
      <c r="E193" s="412" t="s">
        <v>571</v>
      </c>
      <c r="F193" s="412" t="s">
        <v>755</v>
      </c>
      <c r="G193" s="421">
        <v>4127000</v>
      </c>
      <c r="H193" s="321" t="s">
        <v>20</v>
      </c>
      <c r="I193" s="29">
        <f>SUM(I194,I195,I196)</f>
        <v>100000</v>
      </c>
      <c r="J193" s="29">
        <f>SUM(J194,J195,J196)</f>
        <v>0</v>
      </c>
      <c r="K193" s="29">
        <f>SUM(K194,K195,K196)</f>
        <v>3900000</v>
      </c>
      <c r="L193" s="29">
        <f>SUM(L194,L195,L196)</f>
        <v>0</v>
      </c>
      <c r="M193" s="357">
        <f>G193-I193-J193-K193-L193</f>
        <v>127000</v>
      </c>
      <c r="N193" s="192">
        <f t="shared" si="4"/>
        <v>4000000</v>
      </c>
      <c r="O193" s="192">
        <f t="shared" si="5"/>
        <v>-127000</v>
      </c>
    </row>
    <row r="194" spans="1:15" s="145" customFormat="1" ht="21" customHeight="1">
      <c r="A194" s="407"/>
      <c r="B194" s="410"/>
      <c r="C194" s="410"/>
      <c r="D194" s="413"/>
      <c r="E194" s="413"/>
      <c r="F194" s="413"/>
      <c r="G194" s="422"/>
      <c r="H194" s="352" t="s">
        <v>21</v>
      </c>
      <c r="I194" s="148">
        <v>100000</v>
      </c>
      <c r="J194" s="148"/>
      <c r="K194" s="148">
        <v>2600000</v>
      </c>
      <c r="L194" s="353"/>
      <c r="M194" s="358"/>
      <c r="N194" s="192">
        <f t="shared" si="4"/>
        <v>2700000</v>
      </c>
      <c r="O194" s="192">
        <f t="shared" si="5"/>
        <v>2700000</v>
      </c>
    </row>
    <row r="195" spans="1:15" s="145" customFormat="1" ht="21" customHeight="1" hidden="1">
      <c r="A195" s="407"/>
      <c r="B195" s="410"/>
      <c r="C195" s="410"/>
      <c r="D195" s="413"/>
      <c r="E195" s="413"/>
      <c r="F195" s="413"/>
      <c r="G195" s="422"/>
      <c r="H195" s="352" t="s">
        <v>22</v>
      </c>
      <c r="I195" s="148"/>
      <c r="J195" s="148"/>
      <c r="K195" s="148"/>
      <c r="L195" s="353"/>
      <c r="M195" s="358"/>
      <c r="N195" s="192">
        <f t="shared" si="4"/>
        <v>0</v>
      </c>
      <c r="O195" s="192">
        <f t="shared" si="5"/>
        <v>0</v>
      </c>
    </row>
    <row r="196" spans="1:15" s="145" customFormat="1" ht="18" customHeight="1">
      <c r="A196" s="408"/>
      <c r="B196" s="411"/>
      <c r="C196" s="411"/>
      <c r="D196" s="414"/>
      <c r="E196" s="414"/>
      <c r="F196" s="414"/>
      <c r="G196" s="423"/>
      <c r="H196" s="349" t="s">
        <v>23</v>
      </c>
      <c r="I196" s="350"/>
      <c r="J196" s="350"/>
      <c r="K196" s="350">
        <v>1300000</v>
      </c>
      <c r="L196" s="351"/>
      <c r="M196" s="358"/>
      <c r="N196" s="192">
        <f t="shared" si="4"/>
        <v>1300000</v>
      </c>
      <c r="O196" s="192">
        <f t="shared" si="5"/>
        <v>1300000</v>
      </c>
    </row>
    <row r="197" spans="1:15" s="145" customFormat="1" ht="19.5" customHeight="1">
      <c r="A197" s="406" t="s">
        <v>131</v>
      </c>
      <c r="B197" s="409" t="s">
        <v>388</v>
      </c>
      <c r="C197" s="409" t="s">
        <v>115</v>
      </c>
      <c r="D197" s="412" t="s">
        <v>793</v>
      </c>
      <c r="E197" s="412" t="s">
        <v>571</v>
      </c>
      <c r="F197" s="412" t="s">
        <v>755</v>
      </c>
      <c r="G197" s="421">
        <v>8250000</v>
      </c>
      <c r="H197" s="321" t="s">
        <v>20</v>
      </c>
      <c r="I197" s="363">
        <f>I198+I199+I199</f>
        <v>0</v>
      </c>
      <c r="J197" s="363">
        <f>J198+J199+J199</f>
        <v>4000000</v>
      </c>
      <c r="K197" s="363">
        <f>K198+K199+K199</f>
        <v>4000000</v>
      </c>
      <c r="L197" s="363">
        <f>L198+L199+L199</f>
        <v>0</v>
      </c>
      <c r="M197" s="358"/>
      <c r="N197" s="192">
        <f t="shared" si="4"/>
        <v>8000000</v>
      </c>
      <c r="O197" s="192">
        <f t="shared" si="5"/>
        <v>-250000</v>
      </c>
    </row>
    <row r="198" spans="1:15" s="145" customFormat="1" ht="21" customHeight="1">
      <c r="A198" s="407"/>
      <c r="B198" s="410"/>
      <c r="C198" s="410"/>
      <c r="D198" s="413"/>
      <c r="E198" s="413"/>
      <c r="F198" s="413"/>
      <c r="G198" s="422"/>
      <c r="H198" s="352" t="s">
        <v>21</v>
      </c>
      <c r="I198" s="142"/>
      <c r="J198" s="142">
        <v>4000000</v>
      </c>
      <c r="K198" s="142">
        <v>4000000</v>
      </c>
      <c r="L198" s="348"/>
      <c r="M198" s="358"/>
      <c r="N198" s="192">
        <f t="shared" si="4"/>
        <v>8000000</v>
      </c>
      <c r="O198" s="192">
        <f t="shared" si="5"/>
        <v>8000000</v>
      </c>
    </row>
    <row r="199" spans="1:15" s="145" customFormat="1" ht="19.5" customHeight="1">
      <c r="A199" s="408"/>
      <c r="B199" s="411"/>
      <c r="C199" s="411"/>
      <c r="D199" s="414"/>
      <c r="E199" s="414"/>
      <c r="F199" s="414"/>
      <c r="G199" s="423"/>
      <c r="H199" s="349" t="s">
        <v>23</v>
      </c>
      <c r="I199" s="332"/>
      <c r="J199" s="332"/>
      <c r="K199" s="332"/>
      <c r="L199" s="364"/>
      <c r="M199" s="358"/>
      <c r="N199" s="192">
        <f aca="true" t="shared" si="6" ref="N199:N251">L199+K199+J199+I199</f>
        <v>0</v>
      </c>
      <c r="O199" s="192">
        <f aca="true" t="shared" si="7" ref="O199:O251">N199-G199</f>
        <v>0</v>
      </c>
    </row>
    <row r="200" spans="1:15" ht="21" customHeight="1">
      <c r="A200" s="406" t="s">
        <v>132</v>
      </c>
      <c r="B200" s="409" t="s">
        <v>388</v>
      </c>
      <c r="C200" s="409" t="s">
        <v>457</v>
      </c>
      <c r="D200" s="412" t="s">
        <v>699</v>
      </c>
      <c r="E200" s="412" t="s">
        <v>571</v>
      </c>
      <c r="F200" s="412" t="s">
        <v>768</v>
      </c>
      <c r="G200" s="421">
        <v>25158000</v>
      </c>
      <c r="H200" s="321" t="s">
        <v>20</v>
      </c>
      <c r="I200" s="29">
        <f>SUM(I201,I202,I203)</f>
        <v>1000000</v>
      </c>
      <c r="J200" s="29">
        <f>SUM(J201,J202,J203)</f>
        <v>7000000</v>
      </c>
      <c r="K200" s="29">
        <f>SUM(K201,K202,K203)</f>
        <v>2000000</v>
      </c>
      <c r="L200" s="29">
        <f>SUM(L201,L202,L203)</f>
        <v>9446000</v>
      </c>
      <c r="M200" s="357">
        <f>G200-I200-J200-K200-L200</f>
        <v>5712000</v>
      </c>
      <c r="N200" s="192">
        <f t="shared" si="6"/>
        <v>19446000</v>
      </c>
      <c r="O200" s="192">
        <f t="shared" si="7"/>
        <v>-5712000</v>
      </c>
    </row>
    <row r="201" spans="1:15" s="145" customFormat="1" ht="21" customHeight="1">
      <c r="A201" s="407"/>
      <c r="B201" s="410"/>
      <c r="C201" s="410"/>
      <c r="D201" s="413"/>
      <c r="E201" s="413"/>
      <c r="F201" s="413"/>
      <c r="G201" s="422"/>
      <c r="H201" s="352" t="s">
        <v>21</v>
      </c>
      <c r="I201" s="148">
        <v>500000</v>
      </c>
      <c r="J201" s="148">
        <v>3500000</v>
      </c>
      <c r="K201" s="148">
        <v>1000000</v>
      </c>
      <c r="L201" s="353">
        <v>9446000</v>
      </c>
      <c r="M201" s="358"/>
      <c r="N201" s="192">
        <f t="shared" si="6"/>
        <v>14446000</v>
      </c>
      <c r="O201" s="192">
        <f t="shared" si="7"/>
        <v>14446000</v>
      </c>
    </row>
    <row r="202" spans="1:15" s="145" customFormat="1" ht="21" customHeight="1" hidden="1">
      <c r="A202" s="407"/>
      <c r="B202" s="410"/>
      <c r="C202" s="410"/>
      <c r="D202" s="413"/>
      <c r="E202" s="413"/>
      <c r="F202" s="413"/>
      <c r="G202" s="422"/>
      <c r="H202" s="352" t="s">
        <v>22</v>
      </c>
      <c r="I202" s="148"/>
      <c r="J202" s="148"/>
      <c r="K202" s="148"/>
      <c r="L202" s="353"/>
      <c r="M202" s="358"/>
      <c r="N202" s="192">
        <f t="shared" si="6"/>
        <v>0</v>
      </c>
      <c r="O202" s="192">
        <f t="shared" si="7"/>
        <v>0</v>
      </c>
    </row>
    <row r="203" spans="1:15" s="145" customFormat="1" ht="19.5" customHeight="1">
      <c r="A203" s="408"/>
      <c r="B203" s="411"/>
      <c r="C203" s="411"/>
      <c r="D203" s="414"/>
      <c r="E203" s="414"/>
      <c r="F203" s="414"/>
      <c r="G203" s="423"/>
      <c r="H203" s="349" t="s">
        <v>23</v>
      </c>
      <c r="I203" s="350">
        <v>500000</v>
      </c>
      <c r="J203" s="350">
        <v>3500000</v>
      </c>
      <c r="K203" s="350">
        <v>1000000</v>
      </c>
      <c r="L203" s="351"/>
      <c r="M203" s="358"/>
      <c r="N203" s="192">
        <f t="shared" si="6"/>
        <v>5000000</v>
      </c>
      <c r="O203" s="192">
        <f t="shared" si="7"/>
        <v>5000000</v>
      </c>
    </row>
    <row r="204" spans="1:15" ht="39" customHeight="1">
      <c r="A204" s="406" t="s">
        <v>133</v>
      </c>
      <c r="B204" s="418" t="s">
        <v>388</v>
      </c>
      <c r="C204" s="418" t="s">
        <v>457</v>
      </c>
      <c r="D204" s="443" t="s">
        <v>1</v>
      </c>
      <c r="E204" s="412" t="s">
        <v>571</v>
      </c>
      <c r="F204" s="412" t="s">
        <v>756</v>
      </c>
      <c r="G204" s="421">
        <v>2119000</v>
      </c>
      <c r="H204" s="321" t="s">
        <v>20</v>
      </c>
      <c r="I204" s="29">
        <f>SUM(I205,I206,I207)</f>
        <v>2105000</v>
      </c>
      <c r="J204" s="29">
        <f>SUM(J205,J206,J207)</f>
        <v>0</v>
      </c>
      <c r="K204" s="29">
        <f>SUM(K205,K206,K207)</f>
        <v>0</v>
      </c>
      <c r="L204" s="29">
        <f>SUM(L205,L206,L207)</f>
        <v>0</v>
      </c>
      <c r="M204" s="357">
        <f>G204-I204-J204-K204-L204</f>
        <v>14000</v>
      </c>
      <c r="N204" s="192">
        <f t="shared" si="6"/>
        <v>2105000</v>
      </c>
      <c r="O204" s="192">
        <f t="shared" si="7"/>
        <v>-14000</v>
      </c>
    </row>
    <row r="205" spans="1:15" s="145" customFormat="1" ht="35.25" customHeight="1">
      <c r="A205" s="407"/>
      <c r="B205" s="419"/>
      <c r="C205" s="419"/>
      <c r="D205" s="444"/>
      <c r="E205" s="413"/>
      <c r="F205" s="413"/>
      <c r="G205" s="422"/>
      <c r="H205" s="352" t="s">
        <v>21</v>
      </c>
      <c r="I205" s="148">
        <v>304000</v>
      </c>
      <c r="J205" s="148"/>
      <c r="K205" s="148"/>
      <c r="L205" s="353"/>
      <c r="M205" s="358"/>
      <c r="N205" s="192">
        <f t="shared" si="6"/>
        <v>304000</v>
      </c>
      <c r="O205" s="192">
        <f t="shared" si="7"/>
        <v>304000</v>
      </c>
    </row>
    <row r="206" spans="1:15" s="145" customFormat="1" ht="25.5" customHeight="1" hidden="1">
      <c r="A206" s="407"/>
      <c r="B206" s="419"/>
      <c r="C206" s="419"/>
      <c r="D206" s="444"/>
      <c r="E206" s="413"/>
      <c r="F206" s="413"/>
      <c r="G206" s="422"/>
      <c r="H206" s="347" t="s">
        <v>22</v>
      </c>
      <c r="I206" s="142"/>
      <c r="J206" s="142"/>
      <c r="K206" s="142"/>
      <c r="L206" s="348"/>
      <c r="M206" s="358"/>
      <c r="N206" s="192">
        <f t="shared" si="6"/>
        <v>0</v>
      </c>
      <c r="O206" s="192">
        <f t="shared" si="7"/>
        <v>0</v>
      </c>
    </row>
    <row r="207" spans="1:15" s="145" customFormat="1" ht="33.75" customHeight="1">
      <c r="A207" s="408"/>
      <c r="B207" s="420"/>
      <c r="C207" s="420"/>
      <c r="D207" s="445"/>
      <c r="E207" s="414"/>
      <c r="F207" s="414"/>
      <c r="G207" s="423"/>
      <c r="H207" s="349" t="s">
        <v>23</v>
      </c>
      <c r="I207" s="350">
        <v>1801000</v>
      </c>
      <c r="J207" s="350"/>
      <c r="K207" s="350"/>
      <c r="L207" s="351"/>
      <c r="M207" s="358"/>
      <c r="N207" s="192">
        <f t="shared" si="6"/>
        <v>1801000</v>
      </c>
      <c r="O207" s="192">
        <f t="shared" si="7"/>
        <v>1801000</v>
      </c>
    </row>
    <row r="208" spans="1:15" ht="24" customHeight="1">
      <c r="A208" s="406" t="s">
        <v>117</v>
      </c>
      <c r="B208" s="409" t="s">
        <v>388</v>
      </c>
      <c r="C208" s="409" t="s">
        <v>457</v>
      </c>
      <c r="D208" s="415" t="s">
        <v>2</v>
      </c>
      <c r="E208" s="412" t="s">
        <v>571</v>
      </c>
      <c r="F208" s="412" t="s">
        <v>756</v>
      </c>
      <c r="G208" s="421">
        <v>514000</v>
      </c>
      <c r="H208" s="321" t="s">
        <v>20</v>
      </c>
      <c r="I208" s="29">
        <f>SUM(I209,I210,I211)</f>
        <v>504000</v>
      </c>
      <c r="J208" s="29">
        <f>SUM(J209,J210,J211)</f>
        <v>0</v>
      </c>
      <c r="K208" s="29">
        <f>SUM(K209,K210,K211)</f>
        <v>0</v>
      </c>
      <c r="L208" s="29">
        <f>SUM(L209,L210,L211)</f>
        <v>0</v>
      </c>
      <c r="M208" s="357">
        <f>G208-I208-J208-K208-L208</f>
        <v>10000</v>
      </c>
      <c r="N208" s="192">
        <f t="shared" si="6"/>
        <v>504000</v>
      </c>
      <c r="O208" s="192">
        <f t="shared" si="7"/>
        <v>-10000</v>
      </c>
    </row>
    <row r="209" spans="1:15" s="145" customFormat="1" ht="24.75" customHeight="1">
      <c r="A209" s="407"/>
      <c r="B209" s="410"/>
      <c r="C209" s="410"/>
      <c r="D209" s="416"/>
      <c r="E209" s="413"/>
      <c r="F209" s="413"/>
      <c r="G209" s="422"/>
      <c r="H209" s="352" t="s">
        <v>21</v>
      </c>
      <c r="I209" s="148">
        <v>76000</v>
      </c>
      <c r="J209" s="148"/>
      <c r="K209" s="148"/>
      <c r="L209" s="353"/>
      <c r="M209" s="358"/>
      <c r="N209" s="192">
        <f t="shared" si="6"/>
        <v>76000</v>
      </c>
      <c r="O209" s="192">
        <f t="shared" si="7"/>
        <v>76000</v>
      </c>
    </row>
    <row r="210" spans="1:15" s="145" customFormat="1" ht="21" customHeight="1" hidden="1">
      <c r="A210" s="407"/>
      <c r="B210" s="410"/>
      <c r="C210" s="410"/>
      <c r="D210" s="416"/>
      <c r="E210" s="413"/>
      <c r="F210" s="413"/>
      <c r="G210" s="422"/>
      <c r="H210" s="352" t="s">
        <v>22</v>
      </c>
      <c r="I210" s="148"/>
      <c r="J210" s="148"/>
      <c r="K210" s="148"/>
      <c r="L210" s="353"/>
      <c r="M210" s="358"/>
      <c r="N210" s="192">
        <f t="shared" si="6"/>
        <v>0</v>
      </c>
      <c r="O210" s="192">
        <f t="shared" si="7"/>
        <v>0</v>
      </c>
    </row>
    <row r="211" spans="1:15" s="145" customFormat="1" ht="25.5" customHeight="1">
      <c r="A211" s="408"/>
      <c r="B211" s="411"/>
      <c r="C211" s="411"/>
      <c r="D211" s="417"/>
      <c r="E211" s="414"/>
      <c r="F211" s="414"/>
      <c r="G211" s="423"/>
      <c r="H211" s="349" t="s">
        <v>23</v>
      </c>
      <c r="I211" s="350">
        <v>428000</v>
      </c>
      <c r="J211" s="350"/>
      <c r="K211" s="350"/>
      <c r="L211" s="351"/>
      <c r="M211" s="358"/>
      <c r="N211" s="192">
        <f t="shared" si="6"/>
        <v>428000</v>
      </c>
      <c r="O211" s="192">
        <f t="shared" si="7"/>
        <v>428000</v>
      </c>
    </row>
    <row r="212" spans="1:15" ht="18.75" customHeight="1">
      <c r="A212" s="406" t="s">
        <v>118</v>
      </c>
      <c r="B212" s="438" t="s">
        <v>388</v>
      </c>
      <c r="C212" s="438" t="s">
        <v>459</v>
      </c>
      <c r="D212" s="439" t="s">
        <v>743</v>
      </c>
      <c r="E212" s="412" t="s">
        <v>571</v>
      </c>
      <c r="F212" s="412" t="s">
        <v>769</v>
      </c>
      <c r="G212" s="440">
        <v>4209000</v>
      </c>
      <c r="H212" s="321" t="s">
        <v>20</v>
      </c>
      <c r="I212" s="29">
        <f>SUM(I213,I214,I215)</f>
        <v>487000</v>
      </c>
      <c r="J212" s="29">
        <f>SUM(J213,J214,J215)</f>
        <v>607000</v>
      </c>
      <c r="K212" s="29">
        <f>SUM(K213,K214,K215)</f>
        <v>1462000</v>
      </c>
      <c r="L212" s="29">
        <f>SUM(L213,L214,L215)</f>
        <v>972000</v>
      </c>
      <c r="M212" s="357">
        <f>G212-I212-J212-K212-L212</f>
        <v>681000</v>
      </c>
      <c r="N212" s="192">
        <f t="shared" si="6"/>
        <v>3528000</v>
      </c>
      <c r="O212" s="192">
        <f t="shared" si="7"/>
        <v>-681000</v>
      </c>
    </row>
    <row r="213" spans="1:15" s="145" customFormat="1" ht="18.75" customHeight="1">
      <c r="A213" s="407"/>
      <c r="B213" s="438"/>
      <c r="C213" s="438"/>
      <c r="D213" s="439"/>
      <c r="E213" s="413"/>
      <c r="F213" s="413"/>
      <c r="G213" s="441"/>
      <c r="H213" s="352" t="s">
        <v>21</v>
      </c>
      <c r="I213" s="148">
        <v>487000</v>
      </c>
      <c r="J213" s="148">
        <v>607000</v>
      </c>
      <c r="K213" s="148">
        <v>1462000</v>
      </c>
      <c r="L213" s="353">
        <v>972000</v>
      </c>
      <c r="M213" s="358"/>
      <c r="N213" s="192">
        <f t="shared" si="6"/>
        <v>3528000</v>
      </c>
      <c r="O213" s="192">
        <f t="shared" si="7"/>
        <v>3528000</v>
      </c>
    </row>
    <row r="214" spans="1:15" s="145" customFormat="1" ht="18.75" customHeight="1" hidden="1">
      <c r="A214" s="407"/>
      <c r="B214" s="438"/>
      <c r="C214" s="438"/>
      <c r="D214" s="439"/>
      <c r="E214" s="413"/>
      <c r="F214" s="413"/>
      <c r="G214" s="441"/>
      <c r="H214" s="352" t="s">
        <v>22</v>
      </c>
      <c r="I214" s="148"/>
      <c r="J214" s="148"/>
      <c r="K214" s="148"/>
      <c r="L214" s="353"/>
      <c r="M214" s="358"/>
      <c r="N214" s="192">
        <f t="shared" si="6"/>
        <v>0</v>
      </c>
      <c r="O214" s="192">
        <f t="shared" si="7"/>
        <v>0</v>
      </c>
    </row>
    <row r="215" spans="1:15" s="145" customFormat="1" ht="18.75" customHeight="1">
      <c r="A215" s="408"/>
      <c r="B215" s="438"/>
      <c r="C215" s="438"/>
      <c r="D215" s="439"/>
      <c r="E215" s="414"/>
      <c r="F215" s="414"/>
      <c r="G215" s="442"/>
      <c r="H215" s="349" t="s">
        <v>23</v>
      </c>
      <c r="I215" s="350"/>
      <c r="J215" s="350"/>
      <c r="K215" s="350"/>
      <c r="L215" s="351"/>
      <c r="M215" s="358"/>
      <c r="N215" s="192">
        <f t="shared" si="6"/>
        <v>0</v>
      </c>
      <c r="O215" s="192">
        <f t="shared" si="7"/>
        <v>0</v>
      </c>
    </row>
    <row r="216" spans="1:15" ht="18.75" customHeight="1">
      <c r="A216" s="406" t="s">
        <v>119</v>
      </c>
      <c r="B216" s="409" t="s">
        <v>388</v>
      </c>
      <c r="C216" s="409" t="s">
        <v>394</v>
      </c>
      <c r="D216" s="412" t="s">
        <v>744</v>
      </c>
      <c r="E216" s="412" t="s">
        <v>571</v>
      </c>
      <c r="F216" s="412" t="s">
        <v>770</v>
      </c>
      <c r="G216" s="421">
        <v>4325000</v>
      </c>
      <c r="H216" s="321" t="s">
        <v>20</v>
      </c>
      <c r="I216" s="29">
        <f>SUM(I217,I218,I219)</f>
        <v>938000</v>
      </c>
      <c r="J216" s="29">
        <f>SUM(J217,J218,J219)</f>
        <v>900000</v>
      </c>
      <c r="K216" s="29">
        <f>SUM(K217,K218,K219)</f>
        <v>900000</v>
      </c>
      <c r="L216" s="29">
        <f>SUM(L217,L218,L219)</f>
        <v>0</v>
      </c>
      <c r="M216" s="357">
        <f>G216-I216-J216-K216-L216</f>
        <v>1587000</v>
      </c>
      <c r="N216" s="192">
        <f t="shared" si="6"/>
        <v>2738000</v>
      </c>
      <c r="O216" s="192">
        <f t="shared" si="7"/>
        <v>-1587000</v>
      </c>
    </row>
    <row r="217" spans="1:15" s="145" customFormat="1" ht="18.75" customHeight="1">
      <c r="A217" s="407"/>
      <c r="B217" s="410"/>
      <c r="C217" s="410"/>
      <c r="D217" s="413"/>
      <c r="E217" s="413"/>
      <c r="F217" s="413"/>
      <c r="G217" s="422"/>
      <c r="H217" s="352" t="s">
        <v>21</v>
      </c>
      <c r="I217" s="148">
        <v>38000</v>
      </c>
      <c r="J217" s="148">
        <v>200000</v>
      </c>
      <c r="K217" s="148">
        <v>200000</v>
      </c>
      <c r="L217" s="353"/>
      <c r="M217" s="358"/>
      <c r="N217" s="192">
        <f t="shared" si="6"/>
        <v>438000</v>
      </c>
      <c r="O217" s="192">
        <f t="shared" si="7"/>
        <v>438000</v>
      </c>
    </row>
    <row r="218" spans="1:15" s="145" customFormat="1" ht="18.75" customHeight="1">
      <c r="A218" s="407"/>
      <c r="B218" s="410"/>
      <c r="C218" s="410"/>
      <c r="D218" s="413"/>
      <c r="E218" s="413"/>
      <c r="F218" s="413"/>
      <c r="G218" s="422"/>
      <c r="H218" s="352" t="s">
        <v>790</v>
      </c>
      <c r="I218" s="148">
        <v>900000</v>
      </c>
      <c r="J218" s="148">
        <v>700000</v>
      </c>
      <c r="K218" s="148">
        <v>700000</v>
      </c>
      <c r="L218" s="353"/>
      <c r="M218" s="358"/>
      <c r="N218" s="192">
        <f t="shared" si="6"/>
        <v>2300000</v>
      </c>
      <c r="O218" s="192">
        <f t="shared" si="7"/>
        <v>2300000</v>
      </c>
    </row>
    <row r="219" spans="1:15" s="145" customFormat="1" ht="18.75" customHeight="1">
      <c r="A219" s="408"/>
      <c r="B219" s="411"/>
      <c r="C219" s="411"/>
      <c r="D219" s="414"/>
      <c r="E219" s="414"/>
      <c r="F219" s="414"/>
      <c r="G219" s="423"/>
      <c r="H219" s="349" t="s">
        <v>23</v>
      </c>
      <c r="I219" s="350"/>
      <c r="J219" s="350"/>
      <c r="K219" s="350"/>
      <c r="L219" s="351"/>
      <c r="M219" s="358"/>
      <c r="N219" s="192">
        <f t="shared" si="6"/>
        <v>0</v>
      </c>
      <c r="O219" s="192">
        <f t="shared" si="7"/>
        <v>0</v>
      </c>
    </row>
    <row r="220" spans="1:15" ht="21" customHeight="1">
      <c r="A220" s="406" t="s">
        <v>120</v>
      </c>
      <c r="B220" s="409" t="s">
        <v>388</v>
      </c>
      <c r="C220" s="409" t="s">
        <v>394</v>
      </c>
      <c r="D220" s="412" t="s">
        <v>772</v>
      </c>
      <c r="E220" s="412" t="s">
        <v>571</v>
      </c>
      <c r="F220" s="412" t="s">
        <v>769</v>
      </c>
      <c r="G220" s="421">
        <v>15942000</v>
      </c>
      <c r="H220" s="321" t="s">
        <v>20</v>
      </c>
      <c r="I220" s="29">
        <f>SUM(I221,I222,I223)</f>
        <v>1282000</v>
      </c>
      <c r="J220" s="29">
        <f>SUM(J221,J222,J223)</f>
        <v>2500000</v>
      </c>
      <c r="K220" s="29">
        <f>SUM(K221,K222,K223)</f>
        <v>2300000</v>
      </c>
      <c r="L220" s="29">
        <f>SUM(L221,L222,L223)</f>
        <v>9800000</v>
      </c>
      <c r="M220" s="357">
        <f>G220-I220-J220-K220-L220</f>
        <v>60000</v>
      </c>
      <c r="N220" s="192">
        <f t="shared" si="6"/>
        <v>15882000</v>
      </c>
      <c r="O220" s="192">
        <f t="shared" si="7"/>
        <v>-60000</v>
      </c>
    </row>
    <row r="221" spans="1:15" s="145" customFormat="1" ht="21" customHeight="1">
      <c r="A221" s="407"/>
      <c r="B221" s="410"/>
      <c r="C221" s="410"/>
      <c r="D221" s="413"/>
      <c r="E221" s="413"/>
      <c r="F221" s="413"/>
      <c r="G221" s="422"/>
      <c r="H221" s="347" t="s">
        <v>21</v>
      </c>
      <c r="I221" s="142">
        <v>1282000</v>
      </c>
      <c r="J221" s="142">
        <v>1250000</v>
      </c>
      <c r="K221" s="142">
        <v>1150000</v>
      </c>
      <c r="L221" s="348">
        <v>4900000</v>
      </c>
      <c r="M221" s="358"/>
      <c r="N221" s="192">
        <f t="shared" si="6"/>
        <v>8582000</v>
      </c>
      <c r="O221" s="192">
        <f t="shared" si="7"/>
        <v>8582000</v>
      </c>
    </row>
    <row r="222" spans="1:15" s="145" customFormat="1" ht="21" customHeight="1">
      <c r="A222" s="407"/>
      <c r="B222" s="410"/>
      <c r="C222" s="410"/>
      <c r="D222" s="413"/>
      <c r="E222" s="413"/>
      <c r="F222" s="413"/>
      <c r="G222" s="422"/>
      <c r="H222" s="347" t="s">
        <v>790</v>
      </c>
      <c r="I222" s="142"/>
      <c r="J222" s="142">
        <v>1250000</v>
      </c>
      <c r="K222" s="142">
        <v>1150000</v>
      </c>
      <c r="L222" s="348">
        <v>4900000</v>
      </c>
      <c r="M222" s="358"/>
      <c r="N222" s="192">
        <f t="shared" si="6"/>
        <v>7300000</v>
      </c>
      <c r="O222" s="192">
        <f t="shared" si="7"/>
        <v>7300000</v>
      </c>
    </row>
    <row r="223" spans="1:15" s="145" customFormat="1" ht="21" customHeight="1">
      <c r="A223" s="408"/>
      <c r="B223" s="411"/>
      <c r="C223" s="411"/>
      <c r="D223" s="414"/>
      <c r="E223" s="414"/>
      <c r="F223" s="414"/>
      <c r="G223" s="423"/>
      <c r="H223" s="366" t="s">
        <v>23</v>
      </c>
      <c r="I223" s="332"/>
      <c r="J223" s="332"/>
      <c r="K223" s="332"/>
      <c r="L223" s="364"/>
      <c r="M223" s="358"/>
      <c r="N223" s="192">
        <f t="shared" si="6"/>
        <v>0</v>
      </c>
      <c r="O223" s="192">
        <f t="shared" si="7"/>
        <v>0</v>
      </c>
    </row>
    <row r="224" spans="1:15" ht="21" customHeight="1">
      <c r="A224" s="406" t="s">
        <v>121</v>
      </c>
      <c r="B224" s="409" t="s">
        <v>460</v>
      </c>
      <c r="C224" s="409" t="s">
        <v>40</v>
      </c>
      <c r="D224" s="415" t="s">
        <v>41</v>
      </c>
      <c r="E224" s="412" t="s">
        <v>571</v>
      </c>
      <c r="F224" s="412" t="s">
        <v>771</v>
      </c>
      <c r="G224" s="421">
        <v>10530000</v>
      </c>
      <c r="H224" s="321" t="s">
        <v>20</v>
      </c>
      <c r="I224" s="29">
        <f>SUM(I225,I226,I227)</f>
        <v>20000</v>
      </c>
      <c r="J224" s="29">
        <f>SUM(J225,J226,J227)</f>
        <v>4050000</v>
      </c>
      <c r="K224" s="29">
        <f>SUM(K225,K226,K227)</f>
        <v>4050000</v>
      </c>
      <c r="L224" s="29">
        <f>SUM(L225,L226,L227)</f>
        <v>2200000</v>
      </c>
      <c r="M224" s="357">
        <f>G224-I224-J224-K224-L224</f>
        <v>210000</v>
      </c>
      <c r="N224" s="192">
        <f t="shared" si="6"/>
        <v>10320000</v>
      </c>
      <c r="O224" s="192">
        <f t="shared" si="7"/>
        <v>-210000</v>
      </c>
    </row>
    <row r="225" spans="1:15" s="145" customFormat="1" ht="21" customHeight="1">
      <c r="A225" s="407"/>
      <c r="B225" s="410"/>
      <c r="C225" s="410"/>
      <c r="D225" s="416"/>
      <c r="E225" s="413"/>
      <c r="F225" s="413"/>
      <c r="G225" s="422"/>
      <c r="H225" s="352" t="s">
        <v>21</v>
      </c>
      <c r="I225" s="148">
        <v>20000</v>
      </c>
      <c r="J225" s="148">
        <v>1013000</v>
      </c>
      <c r="K225" s="148">
        <v>1013000</v>
      </c>
      <c r="L225" s="353">
        <v>550000</v>
      </c>
      <c r="M225" s="358"/>
      <c r="N225" s="192">
        <f t="shared" si="6"/>
        <v>2596000</v>
      </c>
      <c r="O225" s="192">
        <f t="shared" si="7"/>
        <v>2596000</v>
      </c>
    </row>
    <row r="226" spans="1:15" s="145" customFormat="1" ht="21" customHeight="1" hidden="1">
      <c r="A226" s="407"/>
      <c r="B226" s="410"/>
      <c r="C226" s="410"/>
      <c r="D226" s="416"/>
      <c r="E226" s="413"/>
      <c r="F226" s="413"/>
      <c r="G226" s="422"/>
      <c r="H226" s="352" t="s">
        <v>22</v>
      </c>
      <c r="I226" s="148"/>
      <c r="J226" s="148"/>
      <c r="K226" s="148"/>
      <c r="L226" s="353"/>
      <c r="M226" s="358"/>
      <c r="N226" s="192">
        <f t="shared" si="6"/>
        <v>0</v>
      </c>
      <c r="O226" s="192">
        <f t="shared" si="7"/>
        <v>0</v>
      </c>
    </row>
    <row r="227" spans="1:15" s="145" customFormat="1" ht="21" customHeight="1">
      <c r="A227" s="408"/>
      <c r="B227" s="411"/>
      <c r="C227" s="411"/>
      <c r="D227" s="417"/>
      <c r="E227" s="414"/>
      <c r="F227" s="414"/>
      <c r="G227" s="423"/>
      <c r="H227" s="349" t="s">
        <v>23</v>
      </c>
      <c r="I227" s="350"/>
      <c r="J227" s="350">
        <v>3037000</v>
      </c>
      <c r="K227" s="350">
        <v>3037000</v>
      </c>
      <c r="L227" s="351">
        <v>1650000</v>
      </c>
      <c r="M227" s="358"/>
      <c r="N227" s="192">
        <f t="shared" si="6"/>
        <v>7724000</v>
      </c>
      <c r="O227" s="192">
        <f t="shared" si="7"/>
        <v>7724000</v>
      </c>
    </row>
    <row r="228" spans="1:15" ht="21" customHeight="1">
      <c r="A228" s="406" t="s">
        <v>122</v>
      </c>
      <c r="B228" s="409" t="s">
        <v>460</v>
      </c>
      <c r="C228" s="409" t="s">
        <v>40</v>
      </c>
      <c r="D228" s="415" t="s">
        <v>3</v>
      </c>
      <c r="E228" s="412" t="s">
        <v>571</v>
      </c>
      <c r="F228" s="412">
        <v>2009</v>
      </c>
      <c r="G228" s="421">
        <v>100000</v>
      </c>
      <c r="H228" s="321" t="s">
        <v>20</v>
      </c>
      <c r="I228" s="29">
        <f>SUM(I229,I230,I231)</f>
        <v>100000</v>
      </c>
      <c r="J228" s="29">
        <f>SUM(J229,J230,J231)</f>
        <v>0</v>
      </c>
      <c r="K228" s="29">
        <f>SUM(K229,K230,K231)</f>
        <v>0</v>
      </c>
      <c r="L228" s="29">
        <f>SUM(L229,L230,L231)</f>
        <v>0</v>
      </c>
      <c r="M228" s="357">
        <f>G228-I228-J228-K228-L228</f>
        <v>0</v>
      </c>
      <c r="N228" s="192">
        <f t="shared" si="6"/>
        <v>100000</v>
      </c>
      <c r="O228" s="192">
        <f t="shared" si="7"/>
        <v>0</v>
      </c>
    </row>
    <row r="229" spans="1:15" s="145" customFormat="1" ht="21" customHeight="1">
      <c r="A229" s="407"/>
      <c r="B229" s="410"/>
      <c r="C229" s="410"/>
      <c r="D229" s="416"/>
      <c r="E229" s="413"/>
      <c r="F229" s="413"/>
      <c r="G229" s="422"/>
      <c r="H229" s="352" t="s">
        <v>21</v>
      </c>
      <c r="I229" s="148">
        <v>100000</v>
      </c>
      <c r="J229" s="148"/>
      <c r="K229" s="148"/>
      <c r="L229" s="353"/>
      <c r="M229" s="358"/>
      <c r="N229" s="192">
        <f t="shared" si="6"/>
        <v>100000</v>
      </c>
      <c r="O229" s="192">
        <f t="shared" si="7"/>
        <v>100000</v>
      </c>
    </row>
    <row r="230" spans="1:15" s="145" customFormat="1" ht="21" customHeight="1" hidden="1">
      <c r="A230" s="407"/>
      <c r="B230" s="410"/>
      <c r="C230" s="410"/>
      <c r="D230" s="416"/>
      <c r="E230" s="413"/>
      <c r="F230" s="413"/>
      <c r="G230" s="422"/>
      <c r="H230" s="352" t="s">
        <v>22</v>
      </c>
      <c r="I230" s="148"/>
      <c r="J230" s="148"/>
      <c r="K230" s="148"/>
      <c r="L230" s="353"/>
      <c r="M230" s="358"/>
      <c r="N230" s="192">
        <f t="shared" si="6"/>
        <v>0</v>
      </c>
      <c r="O230" s="192">
        <f t="shared" si="7"/>
        <v>0</v>
      </c>
    </row>
    <row r="231" spans="1:15" s="145" customFormat="1" ht="21" customHeight="1">
      <c r="A231" s="408"/>
      <c r="B231" s="411"/>
      <c r="C231" s="411"/>
      <c r="D231" s="417"/>
      <c r="E231" s="414"/>
      <c r="F231" s="414"/>
      <c r="G231" s="423"/>
      <c r="H231" s="349" t="s">
        <v>23</v>
      </c>
      <c r="I231" s="350"/>
      <c r="J231" s="350"/>
      <c r="K231" s="350"/>
      <c r="L231" s="351"/>
      <c r="M231" s="358"/>
      <c r="N231" s="192">
        <f t="shared" si="6"/>
        <v>0</v>
      </c>
      <c r="O231" s="192">
        <f t="shared" si="7"/>
        <v>0</v>
      </c>
    </row>
    <row r="232" spans="1:15" ht="21" customHeight="1">
      <c r="A232" s="406" t="s">
        <v>88</v>
      </c>
      <c r="B232" s="409" t="s">
        <v>465</v>
      </c>
      <c r="C232" s="409" t="s">
        <v>466</v>
      </c>
      <c r="D232" s="415" t="s">
        <v>90</v>
      </c>
      <c r="E232" s="412" t="s">
        <v>571</v>
      </c>
      <c r="F232" s="412" t="s">
        <v>761</v>
      </c>
      <c r="G232" s="421">
        <v>13224000</v>
      </c>
      <c r="H232" s="321" t="s">
        <v>20</v>
      </c>
      <c r="I232" s="29">
        <f>SUM(I233,I234,I235)</f>
        <v>1493000</v>
      </c>
      <c r="J232" s="29">
        <f>SUM(J233,J234,J235)</f>
        <v>0</v>
      </c>
      <c r="K232" s="29">
        <f>SUM(K233,K234,K235)</f>
        <v>1000000</v>
      </c>
      <c r="L232" s="29">
        <f>SUM(L233,L234,L235)</f>
        <v>5000000</v>
      </c>
      <c r="M232" s="357">
        <f>G232-I232-J232-K232-L232</f>
        <v>5731000</v>
      </c>
      <c r="N232" s="192">
        <f t="shared" si="6"/>
        <v>7493000</v>
      </c>
      <c r="O232" s="192">
        <f t="shared" si="7"/>
        <v>-5731000</v>
      </c>
    </row>
    <row r="233" spans="1:15" s="145" customFormat="1" ht="21" customHeight="1">
      <c r="A233" s="407"/>
      <c r="B233" s="410"/>
      <c r="C233" s="410"/>
      <c r="D233" s="416"/>
      <c r="E233" s="413"/>
      <c r="F233" s="413"/>
      <c r="G233" s="422"/>
      <c r="H233" s="352" t="s">
        <v>21</v>
      </c>
      <c r="I233" s="148">
        <v>500000</v>
      </c>
      <c r="J233" s="148"/>
      <c r="K233" s="148">
        <v>1000000</v>
      </c>
      <c r="L233" s="353">
        <v>5000000</v>
      </c>
      <c r="M233" s="358"/>
      <c r="N233" s="192">
        <f t="shared" si="6"/>
        <v>6500000</v>
      </c>
      <c r="O233" s="192">
        <f t="shared" si="7"/>
        <v>6500000</v>
      </c>
    </row>
    <row r="234" spans="1:15" s="145" customFormat="1" ht="21" customHeight="1" hidden="1">
      <c r="A234" s="407"/>
      <c r="B234" s="410"/>
      <c r="C234" s="410"/>
      <c r="D234" s="416"/>
      <c r="E234" s="413"/>
      <c r="F234" s="413"/>
      <c r="G234" s="422"/>
      <c r="H234" s="352" t="s">
        <v>22</v>
      </c>
      <c r="I234" s="148"/>
      <c r="J234" s="148"/>
      <c r="K234" s="148"/>
      <c r="L234" s="353"/>
      <c r="M234" s="358"/>
      <c r="N234" s="192">
        <f t="shared" si="6"/>
        <v>0</v>
      </c>
      <c r="O234" s="192">
        <f t="shared" si="7"/>
        <v>0</v>
      </c>
    </row>
    <row r="235" spans="1:15" s="145" customFormat="1" ht="21" customHeight="1">
      <c r="A235" s="408"/>
      <c r="B235" s="411"/>
      <c r="C235" s="411"/>
      <c r="D235" s="417"/>
      <c r="E235" s="414"/>
      <c r="F235" s="414"/>
      <c r="G235" s="423"/>
      <c r="H235" s="349" t="s">
        <v>23</v>
      </c>
      <c r="I235" s="350">
        <v>993000</v>
      </c>
      <c r="J235" s="350"/>
      <c r="K235" s="350"/>
      <c r="L235" s="351"/>
      <c r="M235" s="358"/>
      <c r="N235" s="192">
        <f t="shared" si="6"/>
        <v>993000</v>
      </c>
      <c r="O235" s="192">
        <f t="shared" si="7"/>
        <v>993000</v>
      </c>
    </row>
    <row r="236" spans="1:15" ht="21" customHeight="1">
      <c r="A236" s="406" t="s">
        <v>89</v>
      </c>
      <c r="B236" s="409" t="s">
        <v>465</v>
      </c>
      <c r="C236" s="409" t="s">
        <v>466</v>
      </c>
      <c r="D236" s="415" t="s">
        <v>713</v>
      </c>
      <c r="E236" s="412" t="s">
        <v>571</v>
      </c>
      <c r="F236" s="412" t="s">
        <v>765</v>
      </c>
      <c r="G236" s="421">
        <v>28123000</v>
      </c>
      <c r="H236" s="321" t="s">
        <v>20</v>
      </c>
      <c r="I236" s="29">
        <f>SUM(I237,I238,I239)</f>
        <v>7800000</v>
      </c>
      <c r="J236" s="29">
        <f>SUM(J237,J238,J239)</f>
        <v>4000000</v>
      </c>
      <c r="K236" s="29">
        <f>SUM(K237,K238,K239)</f>
        <v>3500000</v>
      </c>
      <c r="L236" s="29">
        <f>SUM(L237,L238,L239)</f>
        <v>3500000</v>
      </c>
      <c r="M236" s="357">
        <f>G236-I236-J236-K236-L236</f>
        <v>9323000</v>
      </c>
      <c r="N236" s="192">
        <f t="shared" si="6"/>
        <v>18800000</v>
      </c>
      <c r="O236" s="192">
        <f t="shared" si="7"/>
        <v>-9323000</v>
      </c>
    </row>
    <row r="237" spans="1:15" s="145" customFormat="1" ht="21" customHeight="1">
      <c r="A237" s="407"/>
      <c r="B237" s="410"/>
      <c r="C237" s="410"/>
      <c r="D237" s="416"/>
      <c r="E237" s="413"/>
      <c r="F237" s="413"/>
      <c r="G237" s="422"/>
      <c r="H237" s="352" t="s">
        <v>21</v>
      </c>
      <c r="I237" s="148">
        <v>7800000</v>
      </c>
      <c r="J237" s="148">
        <v>2000000</v>
      </c>
      <c r="K237" s="148">
        <v>500000</v>
      </c>
      <c r="L237" s="353">
        <v>500000</v>
      </c>
      <c r="M237" s="358"/>
      <c r="N237" s="192">
        <f t="shared" si="6"/>
        <v>10800000</v>
      </c>
      <c r="O237" s="192">
        <f t="shared" si="7"/>
        <v>10800000</v>
      </c>
    </row>
    <row r="238" spans="1:15" s="145" customFormat="1" ht="21" customHeight="1" hidden="1">
      <c r="A238" s="407"/>
      <c r="B238" s="410"/>
      <c r="C238" s="410"/>
      <c r="D238" s="416"/>
      <c r="E238" s="413"/>
      <c r="F238" s="413"/>
      <c r="G238" s="422"/>
      <c r="H238" s="352" t="s">
        <v>22</v>
      </c>
      <c r="I238" s="148"/>
      <c r="J238" s="148"/>
      <c r="K238" s="148"/>
      <c r="L238" s="353"/>
      <c r="M238" s="358"/>
      <c r="N238" s="192">
        <f t="shared" si="6"/>
        <v>0</v>
      </c>
      <c r="O238" s="192">
        <f t="shared" si="7"/>
        <v>0</v>
      </c>
    </row>
    <row r="239" spans="1:15" s="145" customFormat="1" ht="21" customHeight="1">
      <c r="A239" s="408"/>
      <c r="B239" s="411"/>
      <c r="C239" s="411"/>
      <c r="D239" s="417"/>
      <c r="E239" s="414"/>
      <c r="F239" s="414"/>
      <c r="G239" s="423"/>
      <c r="H239" s="349" t="s">
        <v>23</v>
      </c>
      <c r="I239" s="350"/>
      <c r="J239" s="350">
        <v>2000000</v>
      </c>
      <c r="K239" s="350">
        <v>3000000</v>
      </c>
      <c r="L239" s="351">
        <v>3000000</v>
      </c>
      <c r="M239" s="358"/>
      <c r="N239" s="192">
        <f t="shared" si="6"/>
        <v>8000000</v>
      </c>
      <c r="O239" s="192">
        <f t="shared" si="7"/>
        <v>8000000</v>
      </c>
    </row>
    <row r="240" spans="1:15" ht="21" customHeight="1">
      <c r="A240" s="406" t="s">
        <v>786</v>
      </c>
      <c r="B240" s="409" t="s">
        <v>465</v>
      </c>
      <c r="C240" s="409" t="s">
        <v>466</v>
      </c>
      <c r="D240" s="415" t="s">
        <v>42</v>
      </c>
      <c r="E240" s="412" t="s">
        <v>571</v>
      </c>
      <c r="F240" s="412" t="s">
        <v>746</v>
      </c>
      <c r="G240" s="421">
        <v>8699000</v>
      </c>
      <c r="H240" s="321" t="s">
        <v>20</v>
      </c>
      <c r="I240" s="29">
        <f>SUM(I241,I242,I243)</f>
        <v>70000</v>
      </c>
      <c r="J240" s="29">
        <f>SUM(J241,J242,J243)</f>
        <v>2500000</v>
      </c>
      <c r="K240" s="29">
        <f>SUM(K241,K242,K243)</f>
        <v>2000000</v>
      </c>
      <c r="L240" s="29">
        <f>SUM(L241,L242,L243)</f>
        <v>0</v>
      </c>
      <c r="M240" s="357">
        <f>G240-I240-J240-K240-L240</f>
        <v>4129000</v>
      </c>
      <c r="N240" s="192">
        <f t="shared" si="6"/>
        <v>4570000</v>
      </c>
      <c r="O240" s="192">
        <f t="shared" si="7"/>
        <v>-4129000</v>
      </c>
    </row>
    <row r="241" spans="1:15" s="145" customFormat="1" ht="21" customHeight="1">
      <c r="A241" s="407"/>
      <c r="B241" s="410"/>
      <c r="C241" s="410"/>
      <c r="D241" s="416"/>
      <c r="E241" s="413"/>
      <c r="F241" s="413"/>
      <c r="G241" s="422"/>
      <c r="H241" s="352" t="s">
        <v>21</v>
      </c>
      <c r="I241" s="148">
        <v>70000</v>
      </c>
      <c r="J241" s="148">
        <v>1750000</v>
      </c>
      <c r="K241" s="148">
        <v>1250000</v>
      </c>
      <c r="L241" s="353"/>
      <c r="M241" s="358"/>
      <c r="N241" s="192">
        <f t="shared" si="6"/>
        <v>3070000</v>
      </c>
      <c r="O241" s="192">
        <f t="shared" si="7"/>
        <v>3070000</v>
      </c>
    </row>
    <row r="242" spans="1:15" s="145" customFormat="1" ht="21" customHeight="1" hidden="1">
      <c r="A242" s="407"/>
      <c r="B242" s="410"/>
      <c r="C242" s="410"/>
      <c r="D242" s="416"/>
      <c r="E242" s="413"/>
      <c r="F242" s="413"/>
      <c r="G242" s="422"/>
      <c r="H242" s="352" t="s">
        <v>22</v>
      </c>
      <c r="I242" s="148"/>
      <c r="J242" s="148"/>
      <c r="K242" s="148"/>
      <c r="L242" s="353"/>
      <c r="M242" s="358"/>
      <c r="N242" s="192">
        <f t="shared" si="6"/>
        <v>0</v>
      </c>
      <c r="O242" s="192">
        <f t="shared" si="7"/>
        <v>0</v>
      </c>
    </row>
    <row r="243" spans="1:15" s="145" customFormat="1" ht="21" customHeight="1">
      <c r="A243" s="408"/>
      <c r="B243" s="411"/>
      <c r="C243" s="411"/>
      <c r="D243" s="417"/>
      <c r="E243" s="414"/>
      <c r="F243" s="414"/>
      <c r="G243" s="423"/>
      <c r="H243" s="349" t="s">
        <v>23</v>
      </c>
      <c r="I243" s="350"/>
      <c r="J243" s="350">
        <v>750000</v>
      </c>
      <c r="K243" s="350">
        <v>750000</v>
      </c>
      <c r="L243" s="351"/>
      <c r="M243" s="358"/>
      <c r="N243" s="192">
        <f t="shared" si="6"/>
        <v>1500000</v>
      </c>
      <c r="O243" s="192">
        <f t="shared" si="7"/>
        <v>1500000</v>
      </c>
    </row>
    <row r="244" spans="1:15" ht="21" customHeight="1">
      <c r="A244" s="406" t="s">
        <v>794</v>
      </c>
      <c r="B244" s="409" t="s">
        <v>465</v>
      </c>
      <c r="C244" s="409" t="s">
        <v>466</v>
      </c>
      <c r="D244" s="415" t="s">
        <v>4</v>
      </c>
      <c r="E244" s="412" t="s">
        <v>571</v>
      </c>
      <c r="F244" s="412" t="s">
        <v>767</v>
      </c>
      <c r="G244" s="421">
        <v>35100000</v>
      </c>
      <c r="H244" s="321" t="s">
        <v>20</v>
      </c>
      <c r="I244" s="29">
        <f>SUM(I245,I246,I247)</f>
        <v>100000</v>
      </c>
      <c r="J244" s="29">
        <f>SUM(J245,J246,J247)</f>
        <v>3000000</v>
      </c>
      <c r="K244" s="29">
        <f>SUM(K245,K246,K247)</f>
        <v>20000000</v>
      </c>
      <c r="L244" s="29">
        <f>SUM(L245,L246,L247)</f>
        <v>12000000</v>
      </c>
      <c r="M244" s="357">
        <f>G244-I244-J244-K244-L244</f>
        <v>0</v>
      </c>
      <c r="N244" s="192">
        <f t="shared" si="6"/>
        <v>35100000</v>
      </c>
      <c r="O244" s="192">
        <f t="shared" si="7"/>
        <v>0</v>
      </c>
    </row>
    <row r="245" spans="1:15" s="145" customFormat="1" ht="21" customHeight="1">
      <c r="A245" s="407"/>
      <c r="B245" s="410"/>
      <c r="C245" s="410"/>
      <c r="D245" s="416"/>
      <c r="E245" s="413"/>
      <c r="F245" s="413"/>
      <c r="G245" s="422"/>
      <c r="H245" s="347" t="s">
        <v>21</v>
      </c>
      <c r="I245" s="142">
        <v>100000</v>
      </c>
      <c r="J245" s="142">
        <v>3000000</v>
      </c>
      <c r="K245" s="142">
        <v>16500000</v>
      </c>
      <c r="L245" s="348">
        <v>12000000</v>
      </c>
      <c r="M245" s="358"/>
      <c r="N245" s="192">
        <f t="shared" si="6"/>
        <v>31600000</v>
      </c>
      <c r="O245" s="192">
        <f t="shared" si="7"/>
        <v>31600000</v>
      </c>
    </row>
    <row r="246" spans="1:15" s="145" customFormat="1" ht="21" customHeight="1" hidden="1">
      <c r="A246" s="407"/>
      <c r="B246" s="410"/>
      <c r="C246" s="410"/>
      <c r="D246" s="416"/>
      <c r="E246" s="413"/>
      <c r="F246" s="413"/>
      <c r="G246" s="422"/>
      <c r="H246" s="352" t="s">
        <v>22</v>
      </c>
      <c r="I246" s="148"/>
      <c r="J246" s="148"/>
      <c r="K246" s="148"/>
      <c r="L246" s="353"/>
      <c r="M246" s="358"/>
      <c r="N246" s="192">
        <f t="shared" si="6"/>
        <v>0</v>
      </c>
      <c r="O246" s="192">
        <f t="shared" si="7"/>
        <v>0</v>
      </c>
    </row>
    <row r="247" spans="1:15" s="145" customFormat="1" ht="21" customHeight="1">
      <c r="A247" s="408"/>
      <c r="B247" s="411"/>
      <c r="C247" s="411"/>
      <c r="D247" s="417"/>
      <c r="E247" s="414"/>
      <c r="F247" s="414"/>
      <c r="G247" s="423"/>
      <c r="H247" s="349" t="s">
        <v>23</v>
      </c>
      <c r="I247" s="350"/>
      <c r="J247" s="350"/>
      <c r="K247" s="350">
        <v>3500000</v>
      </c>
      <c r="L247" s="351"/>
      <c r="M247" s="358"/>
      <c r="N247" s="192">
        <f t="shared" si="6"/>
        <v>3500000</v>
      </c>
      <c r="O247" s="192">
        <f t="shared" si="7"/>
        <v>3500000</v>
      </c>
    </row>
    <row r="248" spans="1:15" ht="21" customHeight="1">
      <c r="A248" s="406" t="s">
        <v>795</v>
      </c>
      <c r="B248" s="409" t="s">
        <v>465</v>
      </c>
      <c r="C248" s="409" t="s">
        <v>466</v>
      </c>
      <c r="D248" s="415" t="s">
        <v>63</v>
      </c>
      <c r="E248" s="412" t="s">
        <v>571</v>
      </c>
      <c r="F248" s="412" t="s">
        <v>749</v>
      </c>
      <c r="G248" s="421">
        <v>10500000</v>
      </c>
      <c r="H248" s="321" t="s">
        <v>20</v>
      </c>
      <c r="I248" s="29">
        <f>SUM(I249,I250,I251)</f>
        <v>1600000</v>
      </c>
      <c r="J248" s="29">
        <f>SUM(J249,J250,J251)</f>
        <v>1000000</v>
      </c>
      <c r="K248" s="29">
        <f>SUM(K249,K250,K251)</f>
        <v>1500000</v>
      </c>
      <c r="L248" s="29">
        <f>SUM(L249,L250,L251)</f>
        <v>6400000</v>
      </c>
      <c r="M248" s="357">
        <f>G248-I248-J248-K248-L248</f>
        <v>0</v>
      </c>
      <c r="N248" s="192">
        <f t="shared" si="6"/>
        <v>10500000</v>
      </c>
      <c r="O248" s="192">
        <f t="shared" si="7"/>
        <v>0</v>
      </c>
    </row>
    <row r="249" spans="1:15" s="145" customFormat="1" ht="21" customHeight="1">
      <c r="A249" s="407"/>
      <c r="B249" s="410"/>
      <c r="C249" s="410"/>
      <c r="D249" s="416"/>
      <c r="E249" s="413"/>
      <c r="F249" s="413"/>
      <c r="G249" s="422"/>
      <c r="H249" s="352" t="s">
        <v>21</v>
      </c>
      <c r="I249" s="148">
        <v>1600000</v>
      </c>
      <c r="J249" s="148">
        <v>1000000</v>
      </c>
      <c r="K249" s="148">
        <v>1500000</v>
      </c>
      <c r="L249" s="353">
        <v>6400000</v>
      </c>
      <c r="M249" s="358"/>
      <c r="N249" s="192">
        <f t="shared" si="6"/>
        <v>10500000</v>
      </c>
      <c r="O249" s="192">
        <f t="shared" si="7"/>
        <v>10500000</v>
      </c>
    </row>
    <row r="250" spans="1:15" s="145" customFormat="1" ht="21" customHeight="1" hidden="1">
      <c r="A250" s="407"/>
      <c r="B250" s="410"/>
      <c r="C250" s="410"/>
      <c r="D250" s="416"/>
      <c r="E250" s="413"/>
      <c r="F250" s="413"/>
      <c r="G250" s="422"/>
      <c r="H250" s="352" t="s">
        <v>22</v>
      </c>
      <c r="I250" s="148"/>
      <c r="J250" s="148"/>
      <c r="K250" s="148"/>
      <c r="L250" s="353"/>
      <c r="M250" s="358"/>
      <c r="N250" s="192">
        <f t="shared" si="6"/>
        <v>0</v>
      </c>
      <c r="O250" s="192">
        <f t="shared" si="7"/>
        <v>0</v>
      </c>
    </row>
    <row r="251" spans="1:15" s="145" customFormat="1" ht="21" customHeight="1">
      <c r="A251" s="408"/>
      <c r="B251" s="411"/>
      <c r="C251" s="411"/>
      <c r="D251" s="417"/>
      <c r="E251" s="414"/>
      <c r="F251" s="414"/>
      <c r="G251" s="423"/>
      <c r="H251" s="349" t="s">
        <v>23</v>
      </c>
      <c r="I251" s="350"/>
      <c r="J251" s="350"/>
      <c r="K251" s="350"/>
      <c r="L251" s="351"/>
      <c r="M251" s="358"/>
      <c r="N251" s="192">
        <f t="shared" si="6"/>
        <v>0</v>
      </c>
      <c r="O251" s="192">
        <f t="shared" si="7"/>
        <v>0</v>
      </c>
    </row>
    <row r="252" spans="1:13" s="44" customFormat="1" ht="21" customHeight="1">
      <c r="A252" s="400" t="s">
        <v>203</v>
      </c>
      <c r="B252" s="401"/>
      <c r="C252" s="401"/>
      <c r="D252" s="401"/>
      <c r="E252" s="401"/>
      <c r="F252" s="402"/>
      <c r="G252" s="182">
        <f>SUM(G9,G25,G29,G33,G37,G41,G45,G49,G53,G57,G61,G65,G69,G73,G77,G81,G109,G113,G117,G121,G125,G129,G133,G137,G141,G145,G149,G153,G157,G161)+G165+G169+G173+G177+G181+G185+G189+G193+G200+G204+G208+G212+G216+G220+G224+G228+G232+G236+G240+G244+G248+G17+G13+G85+G89+G93+G97+G101+G105+G21+G197+G6</f>
        <v>1933901000</v>
      </c>
      <c r="H252" s="322"/>
      <c r="I252" s="182">
        <f>SUM(I9,I25,I29,I33,I37,I41,I45,I49,I53,I57,I61,I65,I69,I73,I77,I81,I109,I113,I117,I121,I125,I129,I133,I137,I141,I145,I149,I153,I157,I161)+I165+I169+I173+I177+I181+I185+I189+I193+I200+I204+I208+I212+I216+I220+I224+I228+I232+I236+I240+I244+I248+I17+I13+I85+I89+I93+I97+I101+I105+I21+I197+I6</f>
        <v>84922000</v>
      </c>
      <c r="J252" s="182">
        <f>SUM(J9,J25,J29,J33,J37,J41,J45,J49,J53,J57,J61,J65,J69,J73,J77,J81,J109,J113,J117,J121,J125,J129,J133,J137,J141,J145,J149,J153,J157,J161)+J165+J169+J173+J177+J181+J185+J189+J193+J200+J204+J208+J212+J216+J220+J224+J228+J232+J236+J240+J244+J248+J17+J13+J85+J89+J93+J97+J101+J105+J21+J197+J6</f>
        <v>126859000</v>
      </c>
      <c r="K252" s="182">
        <f>SUM(K9,K25,K29,K33,K37,K41,K45,K49,K53,K57,K61,K65,K69,K73,K77,K81,K109,K113,K117,K121,K125,K129,K133,K137,K141,K145,K149,K153,K157,K161)+K165+K169+K173+K177+K181+K185+K189+K193+K200+K204+K208+K212+K216+K220+K224+K228+K232+K236+K240+K244+K248+K17+K13+K85+K89+K93+K97+K101+K105+K21+K197+K6</f>
        <v>136341000</v>
      </c>
      <c r="L252" s="182">
        <f>SUM(L9,L25,L29,L33,L37,L41,L45,L49,L53,L57,L61,L65,L69,L73,L77,L81,L109,L113,L117,L121,L125,L129,L133,L137,L141,L145,L149,L153,L157,L161)+L165+L169+L173+L177+L181+L185+L189+L193+L200+L204+L208+L212+L216+L220+L224+L228+L232+L236+L240+L244+L248+L17+L13+L85+L89+L93+L97+L101+L105+L21+L197+L6</f>
        <v>1521019000</v>
      </c>
      <c r="M252" s="357">
        <f>G252-I252-J252-K252-L252</f>
        <v>64760000</v>
      </c>
    </row>
    <row r="253" spans="3:12" ht="13.5" customHeight="1">
      <c r="C253" s="452"/>
      <c r="D253" s="452"/>
      <c r="E253" s="452"/>
      <c r="F253" s="452"/>
      <c r="G253" s="452"/>
      <c r="H253" s="452"/>
      <c r="I253" s="452"/>
      <c r="J253" s="452"/>
      <c r="K253" s="452"/>
      <c r="L253" s="452"/>
    </row>
    <row r="254" spans="5:12" ht="21.75" customHeight="1">
      <c r="E254" s="453" t="s">
        <v>807</v>
      </c>
      <c r="F254" s="454"/>
      <c r="G254" s="454"/>
      <c r="H254" s="455"/>
      <c r="I254" s="36" t="s">
        <v>180</v>
      </c>
      <c r="J254" s="36" t="s">
        <v>5</v>
      </c>
      <c r="K254" s="36" t="s">
        <v>658</v>
      </c>
      <c r="L254" s="36" t="s">
        <v>705</v>
      </c>
    </row>
    <row r="255" spans="1:13" s="183" customFormat="1" ht="30" customHeight="1">
      <c r="A255" s="324"/>
      <c r="B255" s="324"/>
      <c r="C255" s="324"/>
      <c r="E255" s="456"/>
      <c r="F255" s="457"/>
      <c r="G255" s="457"/>
      <c r="H255" s="458"/>
      <c r="I255" s="346">
        <f>SUM(I256,I257,I258)</f>
        <v>84922000</v>
      </c>
      <c r="J255" s="346">
        <f>SUM(J256,J257,J258)</f>
        <v>126859000</v>
      </c>
      <c r="K255" s="346">
        <f>SUM(K256,K257,K258)</f>
        <v>136341000</v>
      </c>
      <c r="L255" s="346">
        <f>SUM(L256,L257,L258)</f>
        <v>1521019000</v>
      </c>
      <c r="M255" s="356"/>
    </row>
    <row r="256" spans="1:13" s="112" customFormat="1" ht="30" customHeight="1">
      <c r="A256" s="325"/>
      <c r="B256" s="325"/>
      <c r="C256" s="325"/>
      <c r="E256" s="459" t="s">
        <v>804</v>
      </c>
      <c r="F256" s="460"/>
      <c r="G256" s="460"/>
      <c r="H256" s="461"/>
      <c r="I256" s="326">
        <f>SUM(I10,I26,I30,I34,I38,I42,I46,I50,I54,I58,I62,I66,I70,I74,I78,I82,I110,I114,I118,I122,I126,I130,I134,I138,I142,I146,I150,I154,I158)+I162+I166+I170+I174+I178+I182+I186+I190+I194+I201+I205+I209+I213+I217+I221+I225+I229+I233+I237+I241+I245+I249+I18+I14+I86+I90+I94+I98+I102+I106+I22</f>
        <v>49153000</v>
      </c>
      <c r="J256" s="326">
        <f>SUM(J10,J26,J30,J34,J38,J42,J46,J50,J54,J58,J62,J66,J70,J74,J78,J82,J110,J114,J118,J122,J126,J130,J134,J138,J142,J146,J150,J154,J158)+J162+J166+J170+J174+J178+J182+J186+J190+J194+J201+J205+J209+J213+J217+J221+J225+J229+J233+J237+J241+J245+J249+J18+J14+J86+J90+J94+J98+J102+J106+J22+J198+J7</f>
        <v>65552000</v>
      </c>
      <c r="K256" s="326">
        <f>SUM(K10,K26,K30,K34,K38,K42,K46,K50,K54,K58,K62,K66,K70,K74,K78,K82,K110,K114,K118,K122,K126,K130,K134,K138,K142,K146,K150,K154,K158)+K162+K166+K170+K174+K178+K182+K186+K190+K194+K201+K205+K209+K213+K217+K221+K225+K229+K233+K237+K241+K245+K249+K18+K14+K86+K90+K94+K98+K102+K106+K22+K198+K7</f>
        <v>63588000</v>
      </c>
      <c r="L256" s="326">
        <f>SUM(L10,L26,L30,L34,L38,L42,L46,L50,L54,L58,L62,L66,L70,L74,L78,L82,L110,L114,L118,L122,L126,L130,L134,L138,L142,L146,L150,L154,L158)+L162+L166+L170+L174+L178+L182+L186+L190+L194+L201+L205+L209+L213+L217+L221+L225+L229+L233+L237+L241+L245+L249+L18+L14+L86+L90+L94+L98+L102+L106+L22</f>
        <v>88786000</v>
      </c>
      <c r="M256" s="356"/>
    </row>
    <row r="257" spans="1:13" s="112" customFormat="1" ht="30" customHeight="1">
      <c r="A257" s="325"/>
      <c r="B257" s="325"/>
      <c r="C257" s="325"/>
      <c r="E257" s="448" t="s">
        <v>806</v>
      </c>
      <c r="F257" s="448"/>
      <c r="G257" s="448"/>
      <c r="H257" s="448"/>
      <c r="I257" s="326">
        <f>SUM(I11,I27,I31,I35,I39,I43,I47,I51,I55,I59,I63,I67,I71,I75,I79,I83,I111,I115,I119,I123,I127,I131,I135,I139,I143,I147,I151,I155,I159)+I163+I167+I171+I175+I179+I183+I187+I191+I195+I202+I206+I210+I214+I218+I222+I226+I230+I234+I238+I242+I246+I250+I19+I15+I87+I91+I95+I99+I103+I107+I23</f>
        <v>1816000</v>
      </c>
      <c r="J257" s="326">
        <f>SUM(J11,J27,J31,J35,J39,J43,J47,J51,J55,J59,J63,J67,J71,J75,J79,J83,J111,J115,J119,J123,J127,J131,J135,J139,J143,J147,J151,J155,J159)+J163+J167+J171+J175+J179+J183+J187+J191+J195+J202+J206+J210+J214+J218+J222+J226+J230+J234+J238+J242+J246+J250+J19+J15+J87+J91+J95+J99+J103+J107+J23</f>
        <v>3204000</v>
      </c>
      <c r="K257" s="326">
        <f>SUM(K11,K27,K31,K35,K39,K43,K47,K51,K55,K59,K63,K67,K71,K75,K79,K83,K111,K115,K119,K123,K127,K131,K135,K139,K143,K147,K151,K155,K159)+K163+K167+K171+K175+K179+K183+K187+K191+K195+K202+K206+K210+K214+K218+K222+K226+K230+K234+K238+K242+K246+K250+K19+K15+K87+K91+K95+K99+K103+K107+K23</f>
        <v>3409000</v>
      </c>
      <c r="L257" s="326">
        <f>SUM(L11,L27,L31,L35,L39,L43,L47,L51,L55,L59,L63,L67,L71,L75,L79,L83,L111,L115,L119,L123,L127,L131,L135,L139,L143,L147,L151,L155,L159)+L163+L167+L171+L175+L179+L183+L187+L191+L195+L202+L206+L210+L214+L218+L222+L226+L230+L234+L238+L242+L246+L250+L19+L15+L87+L91+L95+L99+L103+L107+L23</f>
        <v>6085000</v>
      </c>
      <c r="M257" s="356"/>
    </row>
    <row r="258" spans="1:13" s="112" customFormat="1" ht="30" customHeight="1">
      <c r="A258" s="325"/>
      <c r="B258" s="325"/>
      <c r="C258" s="325"/>
      <c r="E258" s="449" t="s">
        <v>805</v>
      </c>
      <c r="F258" s="450"/>
      <c r="G258" s="450"/>
      <c r="H258" s="451"/>
      <c r="I258" s="326">
        <f>SUM(I12,I28,I32,I36,I40,I44,I48,I52,I56,I60,I64,I68,I72,I76,I80,I84,I112,I116,I120,I124,I128,I132,I136,I140,I144,I148,I152,I156,I160)+I164+I168+I172+I176+I180+I184+I188+I192+I196+I203+I207+I211+I215+I219+I223+I227+I231+I235+I239+I243+I247+I251+I20+I16+I88+I92+I96+I100+I104+I108+I24</f>
        <v>33953000</v>
      </c>
      <c r="J258" s="326">
        <f>SUM(J12,J28,J32,J36,J40,J44,J48,J52,J56,J60,J64,J68,J72,J76,J80,J84,J112,J116,J120,J124,J128,J132,J136,J140,J144,J148,J152,J156,J160)+J164+J168+J172+J176+J180+J184+J188+J192+J196+J203+J207+J211+J215+J219+J223+J227+J231+J235+J239+J243+J247+J251+J20+J16+J88+J92+J96+J100+J104+J108+J24+J199+J8</f>
        <v>58103000</v>
      </c>
      <c r="K258" s="326">
        <f>SUM(K12,K28,K32,K36,K40,K44,K48,K52,K56,K60,K64,K68,K72,K76,K80,K84,K112,K116,K120,K124,K128,K132,K136,K140,K144,K148,K152,K156,K160)+K164+K168+K172+K176+K180+K184+K188+K192+K196+K203+K207+K211+K215+K219+K223+K227+K231+K235+K239+K243+K247+K251+K20+K16+K88+K92+K96+K100+K104+K108+K24+K199+K8</f>
        <v>69344000</v>
      </c>
      <c r="L258" s="326">
        <f>SUM(L12,L28,L32,L36,L40,L44,L48,L52,L56,L60,L64,L68,L72,L76,L80,L84,L112,L116,L120,L124,L128,L132,L136,L140,L144,L148,L152,L156,L160)+L164+L168+L172+L176+L180+L184+L188+L192+L196+L203+L207+L211+L215+L219+L223+L227+L231+L235+L239+L243+L247+L251+L20+L16+L88+L92+L96+L100+L104+L108+L24</f>
        <v>1426148000</v>
      </c>
      <c r="M258" s="356"/>
    </row>
    <row r="259" ht="19.5" customHeight="1"/>
    <row r="260" ht="19.5" customHeight="1">
      <c r="A260" s="104"/>
    </row>
    <row r="261" spans="8:11" ht="12.75">
      <c r="H261" s="183" t="s">
        <v>796</v>
      </c>
      <c r="I261" s="183"/>
      <c r="J261" s="365">
        <v>2000000</v>
      </c>
      <c r="K261" s="365">
        <v>38000000</v>
      </c>
    </row>
    <row r="262" spans="8:11" ht="12.75">
      <c r="H262" s="22" t="s">
        <v>797</v>
      </c>
      <c r="J262" s="192"/>
      <c r="K262" s="192"/>
    </row>
    <row r="263" spans="8:11" ht="12.75">
      <c r="H263" s="22" t="s">
        <v>798</v>
      </c>
      <c r="J263" s="192"/>
      <c r="K263" s="192"/>
    </row>
    <row r="264" spans="8:11" ht="12.75">
      <c r="H264" s="22" t="s">
        <v>799</v>
      </c>
      <c r="J264" s="192">
        <v>2000000</v>
      </c>
      <c r="K264" s="192">
        <v>38000000</v>
      </c>
    </row>
    <row r="265" spans="8:11" ht="12.75">
      <c r="H265" s="183" t="s">
        <v>800</v>
      </c>
      <c r="I265" s="183"/>
      <c r="J265" s="365">
        <v>1800000</v>
      </c>
      <c r="K265" s="365"/>
    </row>
    <row r="266" spans="8:11" ht="12.75">
      <c r="H266" s="22" t="s">
        <v>797</v>
      </c>
      <c r="J266" s="192"/>
      <c r="K266" s="192"/>
    </row>
    <row r="267" spans="8:11" ht="12.75">
      <c r="H267" s="22" t="s">
        <v>798</v>
      </c>
      <c r="J267" s="192"/>
      <c r="K267" s="192"/>
    </row>
    <row r="268" spans="8:11" ht="12.75">
      <c r="H268" s="22" t="s">
        <v>799</v>
      </c>
      <c r="J268" s="192">
        <v>1800000</v>
      </c>
      <c r="K268" s="192"/>
    </row>
    <row r="269" spans="8:11" ht="12.75">
      <c r="H269" s="183" t="s">
        <v>801</v>
      </c>
      <c r="I269" s="365">
        <v>669000</v>
      </c>
      <c r="J269" s="365">
        <v>1480000</v>
      </c>
      <c r="K269" s="365">
        <v>690000</v>
      </c>
    </row>
    <row r="270" spans="8:11" ht="12.75">
      <c r="H270" s="22" t="s">
        <v>797</v>
      </c>
      <c r="I270" s="192">
        <v>669000</v>
      </c>
      <c r="J270" s="192">
        <v>1480000</v>
      </c>
      <c r="K270" s="192">
        <v>690000</v>
      </c>
    </row>
    <row r="271" spans="8:11" ht="12.75">
      <c r="H271" s="22" t="s">
        <v>798</v>
      </c>
      <c r="I271" s="192"/>
      <c r="J271" s="192"/>
      <c r="K271" s="192"/>
    </row>
    <row r="272" spans="8:11" ht="12.75">
      <c r="H272" s="22" t="s">
        <v>799</v>
      </c>
      <c r="I272" s="192"/>
      <c r="J272" s="192"/>
      <c r="K272" s="192"/>
    </row>
    <row r="273" spans="8:11" ht="12.75">
      <c r="H273" s="183" t="s">
        <v>802</v>
      </c>
      <c r="I273" s="365">
        <v>1000000</v>
      </c>
      <c r="J273" s="365">
        <v>4500000</v>
      </c>
      <c r="K273" s="365">
        <v>5125000</v>
      </c>
    </row>
    <row r="274" spans="8:11" ht="12.75">
      <c r="H274" s="22" t="s">
        <v>797</v>
      </c>
      <c r="I274" s="192">
        <v>1000000</v>
      </c>
      <c r="J274" s="192">
        <v>4500000</v>
      </c>
      <c r="K274" s="192">
        <v>5125000</v>
      </c>
    </row>
    <row r="275" spans="8:11" ht="12.75">
      <c r="H275" s="22" t="s">
        <v>798</v>
      </c>
      <c r="I275" s="192"/>
      <c r="J275" s="192"/>
      <c r="K275" s="192"/>
    </row>
    <row r="276" spans="8:11" ht="12.75">
      <c r="H276" s="22" t="s">
        <v>799</v>
      </c>
      <c r="I276" s="192"/>
      <c r="J276" s="192"/>
      <c r="K276" s="192"/>
    </row>
    <row r="277" spans="9:11" ht="12.75">
      <c r="I277" s="192"/>
      <c r="J277" s="192"/>
      <c r="K277" s="192"/>
    </row>
    <row r="278" spans="9:11" ht="12.75">
      <c r="I278" s="192">
        <f>I273+I269+I265+I261+I255</f>
        <v>86591000</v>
      </c>
      <c r="J278" s="192">
        <f>J273+J269+J265+J261+J255</f>
        <v>136639000</v>
      </c>
      <c r="K278" s="192">
        <f>K273+K269+K265+K261+K255</f>
        <v>180156000</v>
      </c>
    </row>
    <row r="279" spans="8:11" ht="12.75">
      <c r="H279" s="183" t="s">
        <v>803</v>
      </c>
      <c r="I279" s="183">
        <v>86890000</v>
      </c>
      <c r="J279" s="365">
        <v>136639000</v>
      </c>
      <c r="K279" s="365">
        <v>190156000</v>
      </c>
    </row>
    <row r="280" spans="9:11" ht="12.75">
      <c r="I280" s="192">
        <f>I279-I278</f>
        <v>299000</v>
      </c>
      <c r="J280" s="192">
        <f>J279-J278</f>
        <v>0</v>
      </c>
      <c r="K280" s="192">
        <f>K279-K278</f>
        <v>10000000</v>
      </c>
    </row>
    <row r="281" spans="10:11" ht="12.75">
      <c r="J281" s="192"/>
      <c r="K281" s="192"/>
    </row>
    <row r="282" spans="10:11" ht="12.75">
      <c r="J282" s="192"/>
      <c r="K282" s="192"/>
    </row>
    <row r="283" spans="10:11" ht="12.75">
      <c r="J283" s="192"/>
      <c r="K283" s="192"/>
    </row>
    <row r="284" spans="10:11" ht="12.75">
      <c r="J284" s="192"/>
      <c r="K284" s="192"/>
    </row>
    <row r="285" spans="10:11" ht="12.75">
      <c r="J285" s="192"/>
      <c r="K285" s="192"/>
    </row>
    <row r="286" spans="10:11" ht="12.75">
      <c r="J286" s="192"/>
      <c r="K286" s="192"/>
    </row>
  </sheetData>
  <sheetProtection password="CF53" sheet="1"/>
  <mergeCells count="450">
    <mergeCell ref="C208:C211"/>
    <mergeCell ref="D208:D211"/>
    <mergeCell ref="C240:C243"/>
    <mergeCell ref="D240:D243"/>
    <mergeCell ref="D236:D239"/>
    <mergeCell ref="D37:D40"/>
    <mergeCell ref="D73:D76"/>
    <mergeCell ref="D29:D32"/>
    <mergeCell ref="F6:F8"/>
    <mergeCell ref="E6:E8"/>
    <mergeCell ref="F65:F68"/>
    <mergeCell ref="E73:E76"/>
    <mergeCell ref="F73:F76"/>
    <mergeCell ref="E61:E64"/>
    <mergeCell ref="F61:F64"/>
    <mergeCell ref="D204:D207"/>
    <mergeCell ref="D6:D8"/>
    <mergeCell ref="C17:C20"/>
    <mergeCell ref="D17:D20"/>
    <mergeCell ref="D77:D80"/>
    <mergeCell ref="D161:D164"/>
    <mergeCell ref="C153:C156"/>
    <mergeCell ref="D153:D156"/>
    <mergeCell ref="D141:D144"/>
    <mergeCell ref="D125:D128"/>
    <mergeCell ref="E257:H257"/>
    <mergeCell ref="E258:H258"/>
    <mergeCell ref="C253:L253"/>
    <mergeCell ref="A252:F252"/>
    <mergeCell ref="E254:H255"/>
    <mergeCell ref="E256:H256"/>
    <mergeCell ref="A97:A100"/>
    <mergeCell ref="B37:B40"/>
    <mergeCell ref="C37:C40"/>
    <mergeCell ref="B73:B76"/>
    <mergeCell ref="B77:B80"/>
    <mergeCell ref="C77:C80"/>
    <mergeCell ref="C65:C68"/>
    <mergeCell ref="C73:C76"/>
    <mergeCell ref="A73:A76"/>
    <mergeCell ref="A77:A80"/>
    <mergeCell ref="A93:A96"/>
    <mergeCell ref="B93:B96"/>
    <mergeCell ref="C93:C96"/>
    <mergeCell ref="A248:A251"/>
    <mergeCell ref="B248:B251"/>
    <mergeCell ref="C248:C251"/>
    <mergeCell ref="A236:A239"/>
    <mergeCell ref="B236:B239"/>
    <mergeCell ref="A240:A243"/>
    <mergeCell ref="B240:B243"/>
    <mergeCell ref="D248:D251"/>
    <mergeCell ref="E97:E100"/>
    <mergeCell ref="A13:A16"/>
    <mergeCell ref="B13:B16"/>
    <mergeCell ref="D13:D16"/>
    <mergeCell ref="C13:C16"/>
    <mergeCell ref="E13:E16"/>
    <mergeCell ref="A244:A247"/>
    <mergeCell ref="B244:B247"/>
    <mergeCell ref="C236:C239"/>
    <mergeCell ref="C244:C247"/>
    <mergeCell ref="D244:D247"/>
    <mergeCell ref="C220:C223"/>
    <mergeCell ref="D220:D223"/>
    <mergeCell ref="A228:A231"/>
    <mergeCell ref="B228:B231"/>
    <mergeCell ref="C228:C231"/>
    <mergeCell ref="D228:D231"/>
    <mergeCell ref="A216:A219"/>
    <mergeCell ref="C216:C219"/>
    <mergeCell ref="D216:D219"/>
    <mergeCell ref="B216:B219"/>
    <mergeCell ref="A224:A227"/>
    <mergeCell ref="B224:B227"/>
    <mergeCell ref="C224:C227"/>
    <mergeCell ref="D224:D227"/>
    <mergeCell ref="A220:A223"/>
    <mergeCell ref="B220:B223"/>
    <mergeCell ref="E248:E251"/>
    <mergeCell ref="F109:F112"/>
    <mergeCell ref="A169:A172"/>
    <mergeCell ref="A113:A116"/>
    <mergeCell ref="B113:B116"/>
    <mergeCell ref="C169:C172"/>
    <mergeCell ref="A185:A188"/>
    <mergeCell ref="A165:A168"/>
    <mergeCell ref="E93:E96"/>
    <mergeCell ref="F93:F96"/>
    <mergeCell ref="G109:G112"/>
    <mergeCell ref="F248:F251"/>
    <mergeCell ref="G248:G251"/>
    <mergeCell ref="E244:E247"/>
    <mergeCell ref="F244:F247"/>
    <mergeCell ref="E197:E199"/>
    <mergeCell ref="F197:F199"/>
    <mergeCell ref="G244:G247"/>
    <mergeCell ref="A109:A112"/>
    <mergeCell ref="B109:B112"/>
    <mergeCell ref="C109:C112"/>
    <mergeCell ref="D109:D112"/>
    <mergeCell ref="B177:B180"/>
    <mergeCell ref="C177:C180"/>
    <mergeCell ref="F97:F100"/>
    <mergeCell ref="G97:G100"/>
    <mergeCell ref="C97:C100"/>
    <mergeCell ref="G125:G128"/>
    <mergeCell ref="A189:A192"/>
    <mergeCell ref="B189:B192"/>
    <mergeCell ref="C189:C192"/>
    <mergeCell ref="A200:A203"/>
    <mergeCell ref="B200:B203"/>
    <mergeCell ref="A193:A196"/>
    <mergeCell ref="B193:B196"/>
    <mergeCell ref="A197:A199"/>
    <mergeCell ref="B197:B199"/>
    <mergeCell ref="C193:C196"/>
    <mergeCell ref="B185:B188"/>
    <mergeCell ref="C185:C188"/>
    <mergeCell ref="A181:A184"/>
    <mergeCell ref="B181:B184"/>
    <mergeCell ref="C181:C184"/>
    <mergeCell ref="A177:A180"/>
    <mergeCell ref="A161:A164"/>
    <mergeCell ref="B161:B164"/>
    <mergeCell ref="C161:C164"/>
    <mergeCell ref="A173:A176"/>
    <mergeCell ref="B173:B176"/>
    <mergeCell ref="C173:C176"/>
    <mergeCell ref="B169:B172"/>
    <mergeCell ref="B165:B168"/>
    <mergeCell ref="C165:C168"/>
    <mergeCell ref="A157:A160"/>
    <mergeCell ref="B157:B160"/>
    <mergeCell ref="C157:C160"/>
    <mergeCell ref="D145:D148"/>
    <mergeCell ref="A149:A152"/>
    <mergeCell ref="B149:B152"/>
    <mergeCell ref="C149:C152"/>
    <mergeCell ref="D149:D152"/>
    <mergeCell ref="A153:A156"/>
    <mergeCell ref="B153:B156"/>
    <mergeCell ref="C133:C136"/>
    <mergeCell ref="A145:A148"/>
    <mergeCell ref="B145:B148"/>
    <mergeCell ref="C145:C148"/>
    <mergeCell ref="A141:A144"/>
    <mergeCell ref="B141:B144"/>
    <mergeCell ref="C141:C144"/>
    <mergeCell ref="A137:A140"/>
    <mergeCell ref="B137:B140"/>
    <mergeCell ref="C137:C140"/>
    <mergeCell ref="A125:A128"/>
    <mergeCell ref="B125:B128"/>
    <mergeCell ref="C125:C128"/>
    <mergeCell ref="A129:A132"/>
    <mergeCell ref="B129:B132"/>
    <mergeCell ref="C129:C132"/>
    <mergeCell ref="A133:A136"/>
    <mergeCell ref="B133:B136"/>
    <mergeCell ref="A121:A124"/>
    <mergeCell ref="B121:B124"/>
    <mergeCell ref="C121:C124"/>
    <mergeCell ref="D121:D124"/>
    <mergeCell ref="D61:D64"/>
    <mergeCell ref="D129:D132"/>
    <mergeCell ref="C81:C84"/>
    <mergeCell ref="D81:D84"/>
    <mergeCell ref="C113:C116"/>
    <mergeCell ref="D113:D116"/>
    <mergeCell ref="A117:A120"/>
    <mergeCell ref="B117:B120"/>
    <mergeCell ref="C117:C120"/>
    <mergeCell ref="D117:D120"/>
    <mergeCell ref="A81:A84"/>
    <mergeCell ref="B81:B84"/>
    <mergeCell ref="A53:A56"/>
    <mergeCell ref="B53:B56"/>
    <mergeCell ref="A61:A64"/>
    <mergeCell ref="B61:B64"/>
    <mergeCell ref="D53:D56"/>
    <mergeCell ref="A57:A60"/>
    <mergeCell ref="B57:B60"/>
    <mergeCell ref="C57:C60"/>
    <mergeCell ref="D57:D60"/>
    <mergeCell ref="D45:D48"/>
    <mergeCell ref="A49:A52"/>
    <mergeCell ref="B49:B52"/>
    <mergeCell ref="C49:C52"/>
    <mergeCell ref="D49:D52"/>
    <mergeCell ref="G65:G68"/>
    <mergeCell ref="G17:G20"/>
    <mergeCell ref="G212:G215"/>
    <mergeCell ref="D137:D140"/>
    <mergeCell ref="D133:D136"/>
    <mergeCell ref="D157:D160"/>
    <mergeCell ref="D93:D96"/>
    <mergeCell ref="D97:D100"/>
    <mergeCell ref="G173:G176"/>
    <mergeCell ref="F185:F188"/>
    <mergeCell ref="E240:E243"/>
    <mergeCell ref="F240:F243"/>
    <mergeCell ref="G240:G243"/>
    <mergeCell ref="E236:E239"/>
    <mergeCell ref="F236:F239"/>
    <mergeCell ref="G236:G239"/>
    <mergeCell ref="E232:E235"/>
    <mergeCell ref="G232:G235"/>
    <mergeCell ref="E224:E227"/>
    <mergeCell ref="F224:F227"/>
    <mergeCell ref="G224:G227"/>
    <mergeCell ref="E228:E231"/>
    <mergeCell ref="F228:F231"/>
    <mergeCell ref="G228:G231"/>
    <mergeCell ref="F232:F235"/>
    <mergeCell ref="E220:E223"/>
    <mergeCell ref="F220:F223"/>
    <mergeCell ref="G220:G223"/>
    <mergeCell ref="E208:E211"/>
    <mergeCell ref="F208:F211"/>
    <mergeCell ref="G208:G211"/>
    <mergeCell ref="E216:E219"/>
    <mergeCell ref="F216:F219"/>
    <mergeCell ref="G216:G219"/>
    <mergeCell ref="F212:F215"/>
    <mergeCell ref="G185:G188"/>
    <mergeCell ref="E204:E207"/>
    <mergeCell ref="E200:E203"/>
    <mergeCell ref="F204:F207"/>
    <mergeCell ref="G204:G207"/>
    <mergeCell ref="E185:E188"/>
    <mergeCell ref="E189:E192"/>
    <mergeCell ref="G200:G203"/>
    <mergeCell ref="F189:F192"/>
    <mergeCell ref="G189:G192"/>
    <mergeCell ref="E193:E196"/>
    <mergeCell ref="F193:F196"/>
    <mergeCell ref="G193:G196"/>
    <mergeCell ref="E212:E215"/>
    <mergeCell ref="F200:F203"/>
    <mergeCell ref="G197:G199"/>
    <mergeCell ref="F169:F172"/>
    <mergeCell ref="G169:G172"/>
    <mergeCell ref="E149:E152"/>
    <mergeCell ref="F149:F152"/>
    <mergeCell ref="E181:E184"/>
    <mergeCell ref="F181:F184"/>
    <mergeCell ref="G181:G184"/>
    <mergeCell ref="G177:G180"/>
    <mergeCell ref="G149:G152"/>
    <mergeCell ref="E153:E156"/>
    <mergeCell ref="F153:F156"/>
    <mergeCell ref="G153:G156"/>
    <mergeCell ref="F141:F144"/>
    <mergeCell ref="G141:G144"/>
    <mergeCell ref="E145:E148"/>
    <mergeCell ref="F145:F148"/>
    <mergeCell ref="G145:G148"/>
    <mergeCell ref="F133:F136"/>
    <mergeCell ref="G133:G136"/>
    <mergeCell ref="E137:E140"/>
    <mergeCell ref="F137:F140"/>
    <mergeCell ref="G137:G140"/>
    <mergeCell ref="E81:E84"/>
    <mergeCell ref="F81:F84"/>
    <mergeCell ref="G81:G84"/>
    <mergeCell ref="E85:E88"/>
    <mergeCell ref="F85:F88"/>
    <mergeCell ref="E89:E92"/>
    <mergeCell ref="E129:E132"/>
    <mergeCell ref="F129:F132"/>
    <mergeCell ref="G129:G132"/>
    <mergeCell ref="G121:G124"/>
    <mergeCell ref="E121:E124"/>
    <mergeCell ref="E113:E116"/>
    <mergeCell ref="F113:F116"/>
    <mergeCell ref="G113:G116"/>
    <mergeCell ref="G93:G96"/>
    <mergeCell ref="G73:G76"/>
    <mergeCell ref="F69:F72"/>
    <mergeCell ref="F89:F92"/>
    <mergeCell ref="G89:G92"/>
    <mergeCell ref="F77:F80"/>
    <mergeCell ref="G77:G80"/>
    <mergeCell ref="F101:F104"/>
    <mergeCell ref="G101:G104"/>
    <mergeCell ref="G61:G64"/>
    <mergeCell ref="G85:G88"/>
    <mergeCell ref="E65:E68"/>
    <mergeCell ref="E53:E56"/>
    <mergeCell ref="F53:F56"/>
    <mergeCell ref="G53:G56"/>
    <mergeCell ref="E57:E60"/>
    <mergeCell ref="F57:F60"/>
    <mergeCell ref="G57:G60"/>
    <mergeCell ref="E77:E80"/>
    <mergeCell ref="G45:G48"/>
    <mergeCell ref="E49:E52"/>
    <mergeCell ref="F49:F52"/>
    <mergeCell ref="G49:G52"/>
    <mergeCell ref="G37:G40"/>
    <mergeCell ref="E41:E44"/>
    <mergeCell ref="F41:F44"/>
    <mergeCell ref="G41:G44"/>
    <mergeCell ref="G33:G36"/>
    <mergeCell ref="E25:E28"/>
    <mergeCell ref="F25:F28"/>
    <mergeCell ref="E29:E32"/>
    <mergeCell ref="F29:F32"/>
    <mergeCell ref="G29:G32"/>
    <mergeCell ref="G25:G28"/>
    <mergeCell ref="D41:D44"/>
    <mergeCell ref="A45:A48"/>
    <mergeCell ref="E33:E36"/>
    <mergeCell ref="F33:F36"/>
    <mergeCell ref="E37:E40"/>
    <mergeCell ref="F37:F40"/>
    <mergeCell ref="E45:E48"/>
    <mergeCell ref="F45:F48"/>
    <mergeCell ref="B45:B48"/>
    <mergeCell ref="C45:C48"/>
    <mergeCell ref="A41:A44"/>
    <mergeCell ref="B41:B44"/>
    <mergeCell ref="C41:C44"/>
    <mergeCell ref="A65:A68"/>
    <mergeCell ref="B65:B68"/>
    <mergeCell ref="C53:C56"/>
    <mergeCell ref="C61:C64"/>
    <mergeCell ref="A212:A215"/>
    <mergeCell ref="B212:B215"/>
    <mergeCell ref="C212:C215"/>
    <mergeCell ref="D212:D215"/>
    <mergeCell ref="B3:B4"/>
    <mergeCell ref="A3:A4"/>
    <mergeCell ref="A25:A28"/>
    <mergeCell ref="B25:B28"/>
    <mergeCell ref="A17:A20"/>
    <mergeCell ref="B17:B20"/>
    <mergeCell ref="A21:A24"/>
    <mergeCell ref="B21:B24"/>
    <mergeCell ref="A6:A8"/>
    <mergeCell ref="B6:B8"/>
    <mergeCell ref="G21:G24"/>
    <mergeCell ref="I3:L3"/>
    <mergeCell ref="G3:G4"/>
    <mergeCell ref="D3:D4"/>
    <mergeCell ref="C3:C4"/>
    <mergeCell ref="E3:E4"/>
    <mergeCell ref="F3:F4"/>
    <mergeCell ref="F13:F16"/>
    <mergeCell ref="E17:E20"/>
    <mergeCell ref="F17:F20"/>
    <mergeCell ref="G6:G8"/>
    <mergeCell ref="A1:L1"/>
    <mergeCell ref="G13:G16"/>
    <mergeCell ref="C6:C8"/>
    <mergeCell ref="H3:H4"/>
    <mergeCell ref="E9:E12"/>
    <mergeCell ref="F9:F12"/>
    <mergeCell ref="G9:G12"/>
    <mergeCell ref="A9:A12"/>
    <mergeCell ref="B9:B12"/>
    <mergeCell ref="C9:C12"/>
    <mergeCell ref="D9:D12"/>
    <mergeCell ref="E21:E24"/>
    <mergeCell ref="F21:F24"/>
    <mergeCell ref="C21:C24"/>
    <mergeCell ref="G69:G72"/>
    <mergeCell ref="C25:C28"/>
    <mergeCell ref="D25:D28"/>
    <mergeCell ref="D33:D36"/>
    <mergeCell ref="C29:C32"/>
    <mergeCell ref="C33:C36"/>
    <mergeCell ref="D65:D68"/>
    <mergeCell ref="G161:G164"/>
    <mergeCell ref="F165:F168"/>
    <mergeCell ref="G165:G168"/>
    <mergeCell ref="A69:A72"/>
    <mergeCell ref="B69:B72"/>
    <mergeCell ref="C69:C72"/>
    <mergeCell ref="E69:E72"/>
    <mergeCell ref="D69:D72"/>
    <mergeCell ref="F117:F120"/>
    <mergeCell ref="E157:E160"/>
    <mergeCell ref="F157:F160"/>
    <mergeCell ref="G157:G160"/>
    <mergeCell ref="E105:E108"/>
    <mergeCell ref="F105:F108"/>
    <mergeCell ref="G105:G108"/>
    <mergeCell ref="G117:G120"/>
    <mergeCell ref="F121:F124"/>
    <mergeCell ref="E125:E128"/>
    <mergeCell ref="F125:F128"/>
    <mergeCell ref="E133:E136"/>
    <mergeCell ref="F177:F180"/>
    <mergeCell ref="D181:D184"/>
    <mergeCell ref="E165:E168"/>
    <mergeCell ref="E161:E164"/>
    <mergeCell ref="F161:F164"/>
    <mergeCell ref="E173:E176"/>
    <mergeCell ref="F173:F176"/>
    <mergeCell ref="D165:D168"/>
    <mergeCell ref="D169:D172"/>
    <mergeCell ref="D173:D176"/>
    <mergeCell ref="D193:D196"/>
    <mergeCell ref="A208:A211"/>
    <mergeCell ref="B208:B211"/>
    <mergeCell ref="D200:D203"/>
    <mergeCell ref="C200:C203"/>
    <mergeCell ref="A204:A207"/>
    <mergeCell ref="C204:C207"/>
    <mergeCell ref="B204:B207"/>
    <mergeCell ref="D197:D199"/>
    <mergeCell ref="C197:C199"/>
    <mergeCell ref="D185:D188"/>
    <mergeCell ref="D189:D192"/>
    <mergeCell ref="D177:D180"/>
    <mergeCell ref="D89:D92"/>
    <mergeCell ref="D105:D108"/>
    <mergeCell ref="D101:D104"/>
    <mergeCell ref="A232:A235"/>
    <mergeCell ref="B232:B235"/>
    <mergeCell ref="C232:C235"/>
    <mergeCell ref="D232:D235"/>
    <mergeCell ref="A85:A88"/>
    <mergeCell ref="B85:B88"/>
    <mergeCell ref="C85:C88"/>
    <mergeCell ref="D21:D24"/>
    <mergeCell ref="D85:D88"/>
    <mergeCell ref="A33:A36"/>
    <mergeCell ref="A29:A32"/>
    <mergeCell ref="B29:B32"/>
    <mergeCell ref="B33:B36"/>
    <mergeCell ref="A37:A40"/>
    <mergeCell ref="E177:E180"/>
    <mergeCell ref="E117:E120"/>
    <mergeCell ref="E109:E112"/>
    <mergeCell ref="E101:E104"/>
    <mergeCell ref="E141:E144"/>
    <mergeCell ref="E169:E172"/>
    <mergeCell ref="A89:A92"/>
    <mergeCell ref="B89:B92"/>
    <mergeCell ref="C89:C92"/>
    <mergeCell ref="A105:A108"/>
    <mergeCell ref="B105:B108"/>
    <mergeCell ref="C105:C108"/>
    <mergeCell ref="A101:A104"/>
    <mergeCell ref="B101:B104"/>
    <mergeCell ref="C101:C104"/>
    <mergeCell ref="B97:B100"/>
  </mergeCells>
  <printOptions horizontalCentered="1" verticalCentered="1"/>
  <pageMargins left="0.7874015748031497" right="0.15748031496062992" top="1.1811023622047245" bottom="0.7874015748031497" header="0.5118110236220472" footer="0.5118110236220472"/>
  <pageSetup fitToHeight="16" horizontalDpi="600" verticalDpi="600" orientation="landscape" paperSize="9" r:id="rId1"/>
  <headerFooter alignWithMargins="0">
    <oddHeader xml:space="preserve">&amp;R&amp;9Załącznik nr &amp;A
do uchwały Nr XLVII/394/2008    
Rady Miasta Świnoujścia
z dnia 19 grudnia 2008 roku  </oddHeader>
  </headerFooter>
  <rowBreaks count="7" manualBreakCount="7">
    <brk id="60" max="11" man="1"/>
    <brk id="76" max="11" man="1"/>
    <brk id="92" max="11" man="1"/>
    <brk id="112" max="11" man="1"/>
    <brk id="132" max="11" man="1"/>
    <brk id="219" max="11" man="1"/>
    <brk id="23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J75"/>
  <sheetViews>
    <sheetView view="pageBreakPreview" zoomScale="90" zoomScaleSheetLayoutView="90" zoomScalePageLayoutView="0" workbookViewId="0" topLeftCell="A1">
      <pane ySplit="8" topLeftCell="BM60" activePane="bottomLeft" state="frozen"/>
      <selection pane="topLeft" activeCell="C20" sqref="C20"/>
      <selection pane="bottomLeft" activeCell="D52" sqref="D52"/>
    </sheetView>
  </sheetViews>
  <sheetFormatPr defaultColWidth="9.00390625" defaultRowHeight="12.75"/>
  <cols>
    <col min="1" max="1" width="4.375" style="22" customWidth="1"/>
    <col min="2" max="2" width="6.875" style="22" customWidth="1"/>
    <col min="3" max="3" width="7.75390625" style="22" customWidth="1"/>
    <col min="4" max="4" width="46.125" style="22" customWidth="1"/>
    <col min="5" max="5" width="14.875" style="22" hidden="1" customWidth="1"/>
    <col min="6" max="6" width="15.375" style="22" customWidth="1"/>
    <col min="7" max="10" width="14.75390625" style="22" customWidth="1"/>
    <col min="11" max="16384" width="9.125" style="22" customWidth="1"/>
  </cols>
  <sheetData>
    <row r="1" spans="1:10" ht="41.25" customHeight="1">
      <c r="A1" s="428" t="s">
        <v>733</v>
      </c>
      <c r="B1" s="428"/>
      <c r="C1" s="428"/>
      <c r="D1" s="428"/>
      <c r="E1" s="428"/>
      <c r="F1" s="428"/>
      <c r="G1" s="428"/>
      <c r="H1" s="428"/>
      <c r="I1" s="428"/>
      <c r="J1" s="428"/>
    </row>
    <row r="2" spans="1:10" ht="19.5" customHeight="1">
      <c r="A2" s="175"/>
      <c r="B2" s="175"/>
      <c r="C2" s="175"/>
      <c r="D2" s="175"/>
      <c r="E2" s="175"/>
      <c r="F2" s="175"/>
      <c r="G2" s="175"/>
      <c r="H2" s="175"/>
      <c r="I2" s="175"/>
      <c r="J2" s="309" t="s">
        <v>168</v>
      </c>
    </row>
    <row r="3" spans="1:10" ht="19.5" customHeight="1">
      <c r="A3" s="404" t="s">
        <v>182</v>
      </c>
      <c r="B3" s="404" t="s">
        <v>136</v>
      </c>
      <c r="C3" s="404" t="s">
        <v>167</v>
      </c>
      <c r="D3" s="405" t="s">
        <v>209</v>
      </c>
      <c r="E3" s="405" t="s">
        <v>204</v>
      </c>
      <c r="F3" s="465" t="s">
        <v>701</v>
      </c>
      <c r="G3" s="469" t="s">
        <v>700</v>
      </c>
      <c r="H3" s="469"/>
      <c r="I3" s="469"/>
      <c r="J3" s="470"/>
    </row>
    <row r="4" spans="1:10" ht="19.5" customHeight="1">
      <c r="A4" s="404"/>
      <c r="B4" s="404"/>
      <c r="C4" s="404"/>
      <c r="D4" s="405"/>
      <c r="E4" s="405"/>
      <c r="F4" s="466"/>
      <c r="G4" s="405" t="s">
        <v>0</v>
      </c>
      <c r="H4" s="405"/>
      <c r="I4" s="405"/>
      <c r="J4" s="429" t="s">
        <v>702</v>
      </c>
    </row>
    <row r="5" spans="1:10" ht="29.25" customHeight="1">
      <c r="A5" s="404"/>
      <c r="B5" s="404"/>
      <c r="C5" s="404"/>
      <c r="D5" s="405"/>
      <c r="E5" s="405"/>
      <c r="F5" s="466"/>
      <c r="G5" s="405" t="s">
        <v>738</v>
      </c>
      <c r="H5" s="405" t="s">
        <v>200</v>
      </c>
      <c r="I5" s="405" t="s">
        <v>682</v>
      </c>
      <c r="J5" s="468"/>
    </row>
    <row r="6" spans="1:10" ht="19.5" customHeight="1">
      <c r="A6" s="404"/>
      <c r="B6" s="404"/>
      <c r="C6" s="404"/>
      <c r="D6" s="405"/>
      <c r="E6" s="405"/>
      <c r="F6" s="466"/>
      <c r="G6" s="405"/>
      <c r="H6" s="405"/>
      <c r="I6" s="405"/>
      <c r="J6" s="468"/>
    </row>
    <row r="7" spans="1:10" ht="15.75" customHeight="1">
      <c r="A7" s="404"/>
      <c r="B7" s="404"/>
      <c r="C7" s="404"/>
      <c r="D7" s="405"/>
      <c r="E7" s="405"/>
      <c r="F7" s="467"/>
      <c r="G7" s="405"/>
      <c r="H7" s="405"/>
      <c r="I7" s="405"/>
      <c r="J7" s="430"/>
    </row>
    <row r="8" spans="1:10" ht="7.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5</v>
      </c>
      <c r="G8" s="26">
        <v>6</v>
      </c>
      <c r="H8" s="26">
        <v>7</v>
      </c>
      <c r="I8" s="26">
        <v>8</v>
      </c>
      <c r="J8" s="26">
        <v>9</v>
      </c>
    </row>
    <row r="9" spans="1:10" s="183" customFormat="1" ht="27" customHeight="1">
      <c r="A9" s="471" t="s">
        <v>731</v>
      </c>
      <c r="B9" s="472"/>
      <c r="C9" s="472"/>
      <c r="D9" s="472"/>
      <c r="E9" s="344"/>
      <c r="F9" s="323">
        <f>SUM(F10:F60)</f>
        <v>84922000</v>
      </c>
      <c r="G9" s="323">
        <f>SUM(G10:G60)</f>
        <v>49153000</v>
      </c>
      <c r="H9" s="323">
        <f>SUM(H10:H60)</f>
        <v>28240000</v>
      </c>
      <c r="I9" s="323">
        <f>SUM(I10:I60)</f>
        <v>5713000</v>
      </c>
      <c r="J9" s="323">
        <f>SUM(J10:J60)</f>
        <v>1816000</v>
      </c>
    </row>
    <row r="10" spans="1:10" ht="38.25" customHeight="1">
      <c r="A10" s="27" t="s">
        <v>146</v>
      </c>
      <c r="B10" s="304" t="s">
        <v>231</v>
      </c>
      <c r="C10" s="304" t="s">
        <v>558</v>
      </c>
      <c r="D10" s="305" t="s">
        <v>678</v>
      </c>
      <c r="E10" s="29">
        <v>32299000</v>
      </c>
      <c r="F10" s="29">
        <f aca="true" t="shared" si="0" ref="F10:F41">SUM(G10:J10)</f>
        <v>1448000</v>
      </c>
      <c r="G10" s="29">
        <v>217000</v>
      </c>
      <c r="H10" s="29">
        <v>1231000</v>
      </c>
      <c r="I10" s="306"/>
      <c r="J10" s="306"/>
    </row>
    <row r="11" spans="1:10" ht="25.5">
      <c r="A11" s="30" t="s">
        <v>147</v>
      </c>
      <c r="B11" s="45" t="s">
        <v>231</v>
      </c>
      <c r="C11" s="45" t="s">
        <v>468</v>
      </c>
      <c r="D11" s="74" t="s">
        <v>31</v>
      </c>
      <c r="E11" s="32">
        <v>16301000</v>
      </c>
      <c r="F11" s="32">
        <f t="shared" si="0"/>
        <v>6590000</v>
      </c>
      <c r="G11" s="32">
        <v>3245000</v>
      </c>
      <c r="H11" s="32">
        <v>3345000</v>
      </c>
      <c r="I11" s="307"/>
      <c r="J11" s="307"/>
    </row>
    <row r="12" spans="1:10" ht="51">
      <c r="A12" s="30" t="s">
        <v>148</v>
      </c>
      <c r="B12" s="45" t="s">
        <v>231</v>
      </c>
      <c r="C12" s="45" t="s">
        <v>468</v>
      </c>
      <c r="D12" s="74" t="s">
        <v>679</v>
      </c>
      <c r="E12" s="32">
        <v>3100000</v>
      </c>
      <c r="F12" s="32">
        <f t="shared" si="0"/>
        <v>3000000</v>
      </c>
      <c r="G12" s="32">
        <v>450000</v>
      </c>
      <c r="H12" s="32">
        <v>2550000</v>
      </c>
      <c r="I12" s="308"/>
      <c r="J12" s="308"/>
    </row>
    <row r="13" spans="1:10" ht="14.25" customHeight="1">
      <c r="A13" s="30" t="s">
        <v>135</v>
      </c>
      <c r="B13" s="45" t="s">
        <v>231</v>
      </c>
      <c r="C13" s="45" t="s">
        <v>468</v>
      </c>
      <c r="D13" s="74" t="s">
        <v>680</v>
      </c>
      <c r="E13" s="32">
        <v>8400000</v>
      </c>
      <c r="F13" s="32">
        <f t="shared" si="0"/>
        <v>400000</v>
      </c>
      <c r="G13" s="32">
        <v>400000</v>
      </c>
      <c r="H13" s="32"/>
      <c r="I13" s="307"/>
      <c r="J13" s="307"/>
    </row>
    <row r="14" spans="1:10" ht="25.5">
      <c r="A14" s="30" t="s">
        <v>152</v>
      </c>
      <c r="B14" s="127" t="s">
        <v>231</v>
      </c>
      <c r="C14" s="127" t="s">
        <v>468</v>
      </c>
      <c r="D14" s="191" t="s">
        <v>681</v>
      </c>
      <c r="E14" s="98">
        <v>18000000</v>
      </c>
      <c r="F14" s="32">
        <f t="shared" si="0"/>
        <v>8312000</v>
      </c>
      <c r="G14" s="98">
        <v>3812000</v>
      </c>
      <c r="H14" s="98">
        <v>4500000</v>
      </c>
      <c r="I14" s="308"/>
      <c r="J14" s="308"/>
    </row>
    <row r="15" spans="1:10" ht="15.75" customHeight="1">
      <c r="A15" s="30" t="s">
        <v>155</v>
      </c>
      <c r="B15" s="310" t="s">
        <v>231</v>
      </c>
      <c r="C15" s="310" t="s">
        <v>468</v>
      </c>
      <c r="D15" s="76" t="s">
        <v>32</v>
      </c>
      <c r="E15" s="311">
        <v>34257000</v>
      </c>
      <c r="F15" s="32">
        <f t="shared" si="0"/>
        <v>3420000</v>
      </c>
      <c r="G15" s="312">
        <v>100000</v>
      </c>
      <c r="H15" s="312"/>
      <c r="I15" s="313">
        <v>3320000</v>
      </c>
      <c r="J15" s="313"/>
    </row>
    <row r="16" spans="1:10" ht="25.5">
      <c r="A16" s="30" t="s">
        <v>157</v>
      </c>
      <c r="B16" s="314" t="s">
        <v>231</v>
      </c>
      <c r="C16" s="314" t="s">
        <v>468</v>
      </c>
      <c r="D16" s="76" t="s">
        <v>33</v>
      </c>
      <c r="E16" s="311">
        <v>131250000</v>
      </c>
      <c r="F16" s="32">
        <f t="shared" si="0"/>
        <v>11332000</v>
      </c>
      <c r="G16" s="311">
        <v>1700000</v>
      </c>
      <c r="H16" s="311">
        <v>9632000</v>
      </c>
      <c r="I16" s="315"/>
      <c r="J16" s="307"/>
    </row>
    <row r="17" spans="1:10" ht="25.5">
      <c r="A17" s="30" t="s">
        <v>160</v>
      </c>
      <c r="B17" s="314" t="s">
        <v>231</v>
      </c>
      <c r="C17" s="314" t="s">
        <v>468</v>
      </c>
      <c r="D17" s="76" t="s">
        <v>34</v>
      </c>
      <c r="E17" s="311">
        <v>6418000</v>
      </c>
      <c r="F17" s="32">
        <f t="shared" si="0"/>
        <v>4000000</v>
      </c>
      <c r="G17" s="311">
        <v>3485000</v>
      </c>
      <c r="H17" s="311"/>
      <c r="I17" s="315"/>
      <c r="J17" s="315">
        <v>515000</v>
      </c>
    </row>
    <row r="18" spans="1:10" ht="12.75">
      <c r="A18" s="30" t="s">
        <v>560</v>
      </c>
      <c r="B18" s="314" t="s">
        <v>231</v>
      </c>
      <c r="C18" s="314" t="s">
        <v>468</v>
      </c>
      <c r="D18" s="76" t="s">
        <v>92</v>
      </c>
      <c r="E18" s="311">
        <v>3220000</v>
      </c>
      <c r="F18" s="32">
        <f t="shared" si="0"/>
        <v>2400000</v>
      </c>
      <c r="G18" s="311">
        <v>2309000</v>
      </c>
      <c r="H18" s="311"/>
      <c r="I18" s="315"/>
      <c r="J18" s="315">
        <v>91000</v>
      </c>
    </row>
    <row r="19" spans="1:10" ht="25.5">
      <c r="A19" s="30" t="s">
        <v>561</v>
      </c>
      <c r="B19" s="314" t="s">
        <v>231</v>
      </c>
      <c r="C19" s="314" t="s">
        <v>468</v>
      </c>
      <c r="D19" s="76" t="s">
        <v>683</v>
      </c>
      <c r="E19" s="311">
        <v>3203000</v>
      </c>
      <c r="F19" s="32">
        <f t="shared" si="0"/>
        <v>50000</v>
      </c>
      <c r="G19" s="311">
        <v>50000</v>
      </c>
      <c r="H19" s="311"/>
      <c r="I19" s="315"/>
      <c r="J19" s="315"/>
    </row>
    <row r="20" spans="1:10" ht="12.75">
      <c r="A20" s="30" t="s">
        <v>562</v>
      </c>
      <c r="B20" s="314" t="s">
        <v>231</v>
      </c>
      <c r="C20" s="314" t="s">
        <v>468</v>
      </c>
      <c r="D20" s="76" t="s">
        <v>91</v>
      </c>
      <c r="E20" s="311">
        <v>9620000</v>
      </c>
      <c r="F20" s="32">
        <f t="shared" si="0"/>
        <v>2700000</v>
      </c>
      <c r="G20" s="311">
        <v>2390000</v>
      </c>
      <c r="H20" s="311"/>
      <c r="I20" s="315"/>
      <c r="J20" s="315">
        <v>310000</v>
      </c>
    </row>
    <row r="21" spans="1:10" ht="12.75">
      <c r="A21" s="30" t="s">
        <v>563</v>
      </c>
      <c r="B21" s="314" t="s">
        <v>231</v>
      </c>
      <c r="C21" s="314" t="s">
        <v>468</v>
      </c>
      <c r="D21" s="76" t="s">
        <v>61</v>
      </c>
      <c r="E21" s="311">
        <v>2173000</v>
      </c>
      <c r="F21" s="32">
        <f t="shared" si="0"/>
        <v>23000</v>
      </c>
      <c r="G21" s="311">
        <v>23000</v>
      </c>
      <c r="H21" s="311"/>
      <c r="I21" s="315"/>
      <c r="J21" s="315"/>
    </row>
    <row r="22" spans="1:10" ht="25.5">
      <c r="A22" s="30" t="s">
        <v>564</v>
      </c>
      <c r="B22" s="314" t="s">
        <v>231</v>
      </c>
      <c r="C22" s="314" t="s">
        <v>468</v>
      </c>
      <c r="D22" s="76" t="s">
        <v>714</v>
      </c>
      <c r="E22" s="311">
        <v>1610000</v>
      </c>
      <c r="F22" s="32">
        <f t="shared" si="0"/>
        <v>1590000</v>
      </c>
      <c r="G22" s="311">
        <v>230000</v>
      </c>
      <c r="H22" s="311">
        <v>1360000</v>
      </c>
      <c r="I22" s="315"/>
      <c r="J22" s="315"/>
    </row>
    <row r="23" spans="1:10" ht="38.25">
      <c r="A23" s="30" t="s">
        <v>565</v>
      </c>
      <c r="B23" s="314" t="s">
        <v>231</v>
      </c>
      <c r="C23" s="314" t="s">
        <v>468</v>
      </c>
      <c r="D23" s="76" t="s">
        <v>684</v>
      </c>
      <c r="E23" s="311">
        <v>13925000</v>
      </c>
      <c r="F23" s="32">
        <f t="shared" si="0"/>
        <v>65000</v>
      </c>
      <c r="G23" s="311">
        <v>65000</v>
      </c>
      <c r="H23" s="311"/>
      <c r="I23" s="315"/>
      <c r="J23" s="315"/>
    </row>
    <row r="24" spans="1:10" ht="12.75">
      <c r="A24" s="30" t="s">
        <v>566</v>
      </c>
      <c r="B24" s="314" t="s">
        <v>231</v>
      </c>
      <c r="C24" s="314" t="s">
        <v>468</v>
      </c>
      <c r="D24" s="76" t="s">
        <v>685</v>
      </c>
      <c r="E24" s="311">
        <v>4682000</v>
      </c>
      <c r="F24" s="32">
        <f t="shared" si="0"/>
        <v>200000</v>
      </c>
      <c r="G24" s="311">
        <v>200000</v>
      </c>
      <c r="H24" s="311"/>
      <c r="I24" s="315"/>
      <c r="J24" s="315"/>
    </row>
    <row r="25" spans="1:10" ht="25.5">
      <c r="A25" s="30" t="s">
        <v>567</v>
      </c>
      <c r="B25" s="314" t="s">
        <v>231</v>
      </c>
      <c r="C25" s="314" t="s">
        <v>468</v>
      </c>
      <c r="D25" s="76" t="s">
        <v>739</v>
      </c>
      <c r="E25" s="311"/>
      <c r="F25" s="32">
        <f t="shared" si="0"/>
        <v>1090000</v>
      </c>
      <c r="G25" s="311">
        <v>1090000</v>
      </c>
      <c r="H25" s="311"/>
      <c r="I25" s="315"/>
      <c r="J25" s="315"/>
    </row>
    <row r="26" spans="1:10" ht="38.25">
      <c r="A26" s="30" t="s">
        <v>568</v>
      </c>
      <c r="B26" s="314" t="s">
        <v>231</v>
      </c>
      <c r="C26" s="314" t="s">
        <v>421</v>
      </c>
      <c r="D26" s="76" t="s">
        <v>730</v>
      </c>
      <c r="E26" s="311">
        <v>16982000</v>
      </c>
      <c r="F26" s="32">
        <f t="shared" si="0"/>
        <v>980000</v>
      </c>
      <c r="G26" s="311">
        <v>980000</v>
      </c>
      <c r="H26" s="311"/>
      <c r="I26" s="315"/>
      <c r="J26" s="315"/>
    </row>
    <row r="27" spans="1:10" ht="38.25">
      <c r="A27" s="30" t="s">
        <v>569</v>
      </c>
      <c r="B27" s="314" t="s">
        <v>231</v>
      </c>
      <c r="C27" s="314" t="s">
        <v>421</v>
      </c>
      <c r="D27" s="76" t="s">
        <v>686</v>
      </c>
      <c r="E27" s="311">
        <v>12003000</v>
      </c>
      <c r="F27" s="32">
        <f t="shared" si="0"/>
        <v>400000</v>
      </c>
      <c r="G27" s="311">
        <v>400000</v>
      </c>
      <c r="H27" s="311"/>
      <c r="I27" s="315"/>
      <c r="J27" s="315"/>
    </row>
    <row r="28" spans="1:10" ht="25.5">
      <c r="A28" s="30" t="s">
        <v>570</v>
      </c>
      <c r="B28" s="314" t="s">
        <v>231</v>
      </c>
      <c r="C28" s="314" t="s">
        <v>421</v>
      </c>
      <c r="D28" s="76" t="s">
        <v>35</v>
      </c>
      <c r="E28" s="311">
        <v>2620000</v>
      </c>
      <c r="F28" s="32">
        <f t="shared" si="0"/>
        <v>2330000</v>
      </c>
      <c r="G28" s="311">
        <v>2330000</v>
      </c>
      <c r="H28" s="32"/>
      <c r="I28" s="315"/>
      <c r="J28" s="315"/>
    </row>
    <row r="29" spans="1:10" ht="12.75">
      <c r="A29" s="30" t="s">
        <v>94</v>
      </c>
      <c r="B29" s="314" t="s">
        <v>231</v>
      </c>
      <c r="C29" s="314" t="s">
        <v>421</v>
      </c>
      <c r="D29" s="76" t="s">
        <v>687</v>
      </c>
      <c r="E29" s="311">
        <v>2323000</v>
      </c>
      <c r="F29" s="32">
        <f t="shared" si="0"/>
        <v>50000</v>
      </c>
      <c r="G29" s="311">
        <v>50000</v>
      </c>
      <c r="H29" s="312"/>
      <c r="I29" s="313"/>
      <c r="J29" s="315"/>
    </row>
    <row r="30" spans="1:10" ht="12.75">
      <c r="A30" s="30" t="s">
        <v>95</v>
      </c>
      <c r="B30" s="314" t="s">
        <v>231</v>
      </c>
      <c r="C30" s="314" t="s">
        <v>421</v>
      </c>
      <c r="D30" s="76" t="s">
        <v>688</v>
      </c>
      <c r="E30" s="311">
        <v>760000</v>
      </c>
      <c r="F30" s="32">
        <f t="shared" si="0"/>
        <v>20000</v>
      </c>
      <c r="G30" s="311">
        <v>20000</v>
      </c>
      <c r="H30" s="312"/>
      <c r="I30" s="313"/>
      <c r="J30" s="315"/>
    </row>
    <row r="31" spans="1:10" ht="12.75">
      <c r="A31" s="30" t="s">
        <v>96</v>
      </c>
      <c r="B31" s="314" t="s">
        <v>231</v>
      </c>
      <c r="C31" s="314" t="s">
        <v>421</v>
      </c>
      <c r="D31" s="76" t="s">
        <v>689</v>
      </c>
      <c r="E31" s="311"/>
      <c r="F31" s="32">
        <f t="shared" si="0"/>
        <v>100000</v>
      </c>
      <c r="G31" s="311">
        <v>100000</v>
      </c>
      <c r="H31" s="312"/>
      <c r="I31" s="313"/>
      <c r="J31" s="315"/>
    </row>
    <row r="32" spans="1:10" ht="12.75">
      <c r="A32" s="30" t="s">
        <v>97</v>
      </c>
      <c r="B32" s="314" t="s">
        <v>231</v>
      </c>
      <c r="C32" s="314" t="s">
        <v>421</v>
      </c>
      <c r="D32" s="76" t="s">
        <v>690</v>
      </c>
      <c r="E32" s="311"/>
      <c r="F32" s="32">
        <f t="shared" si="0"/>
        <v>150000</v>
      </c>
      <c r="G32" s="311">
        <v>150000</v>
      </c>
      <c r="H32" s="312"/>
      <c r="I32" s="313"/>
      <c r="J32" s="315"/>
    </row>
    <row r="33" spans="1:10" ht="12.75">
      <c r="A33" s="30" t="s">
        <v>98</v>
      </c>
      <c r="B33" s="314" t="s">
        <v>231</v>
      </c>
      <c r="C33" s="314" t="s">
        <v>421</v>
      </c>
      <c r="D33" s="76" t="s">
        <v>691</v>
      </c>
      <c r="E33" s="311">
        <v>641000</v>
      </c>
      <c r="F33" s="32">
        <f t="shared" si="0"/>
        <v>641000</v>
      </c>
      <c r="G33" s="311">
        <v>641000</v>
      </c>
      <c r="H33" s="312"/>
      <c r="I33" s="313"/>
      <c r="J33" s="315"/>
    </row>
    <row r="34" spans="1:10" ht="12.75">
      <c r="A34" s="30" t="s">
        <v>99</v>
      </c>
      <c r="B34" s="314" t="s">
        <v>231</v>
      </c>
      <c r="C34" s="314" t="s">
        <v>421</v>
      </c>
      <c r="D34" s="76" t="s">
        <v>740</v>
      </c>
      <c r="E34" s="311"/>
      <c r="F34" s="32">
        <f t="shared" si="0"/>
        <v>1640000</v>
      </c>
      <c r="G34" s="311">
        <v>1640000</v>
      </c>
      <c r="H34" s="311"/>
      <c r="I34" s="315"/>
      <c r="J34" s="315"/>
    </row>
    <row r="35" spans="1:10" ht="25.5">
      <c r="A35" s="30" t="s">
        <v>116</v>
      </c>
      <c r="B35" s="314" t="s">
        <v>235</v>
      </c>
      <c r="C35" s="314" t="s">
        <v>422</v>
      </c>
      <c r="D35" s="76" t="s">
        <v>692</v>
      </c>
      <c r="E35" s="311">
        <v>13600000</v>
      </c>
      <c r="F35" s="32">
        <f t="shared" si="0"/>
        <v>1560000</v>
      </c>
      <c r="G35" s="311">
        <v>780000</v>
      </c>
      <c r="H35" s="311">
        <v>780000</v>
      </c>
      <c r="I35" s="315"/>
      <c r="J35" s="315"/>
    </row>
    <row r="36" spans="1:10" ht="12.75">
      <c r="A36" s="30" t="s">
        <v>100</v>
      </c>
      <c r="B36" s="314" t="s">
        <v>235</v>
      </c>
      <c r="C36" s="314" t="s">
        <v>422</v>
      </c>
      <c r="D36" s="76" t="s">
        <v>36</v>
      </c>
      <c r="E36" s="311">
        <v>6400000</v>
      </c>
      <c r="F36" s="32">
        <f t="shared" si="0"/>
        <v>126000</v>
      </c>
      <c r="G36" s="311">
        <v>126000</v>
      </c>
      <c r="H36" s="311"/>
      <c r="I36" s="315"/>
      <c r="J36" s="315"/>
    </row>
    <row r="37" spans="1:10" ht="25.5">
      <c r="A37" s="30" t="s">
        <v>101</v>
      </c>
      <c r="B37" s="314" t="s">
        <v>235</v>
      </c>
      <c r="C37" s="314" t="s">
        <v>422</v>
      </c>
      <c r="D37" s="76" t="s">
        <v>693</v>
      </c>
      <c r="E37" s="311"/>
      <c r="F37" s="32">
        <f t="shared" si="0"/>
        <v>100000</v>
      </c>
      <c r="G37" s="311">
        <v>100000</v>
      </c>
      <c r="H37" s="311"/>
      <c r="I37" s="315"/>
      <c r="J37" s="315"/>
    </row>
    <row r="38" spans="1:10" ht="25.5">
      <c r="A38" s="30" t="s">
        <v>102</v>
      </c>
      <c r="B38" s="314" t="s">
        <v>241</v>
      </c>
      <c r="C38" s="314" t="s">
        <v>424</v>
      </c>
      <c r="D38" s="76" t="s">
        <v>694</v>
      </c>
      <c r="E38" s="311">
        <v>21285000</v>
      </c>
      <c r="F38" s="32">
        <f t="shared" si="0"/>
        <v>4227000</v>
      </c>
      <c r="G38" s="311">
        <v>2114000</v>
      </c>
      <c r="H38" s="311">
        <v>2113000</v>
      </c>
      <c r="I38" s="315"/>
      <c r="J38" s="315"/>
    </row>
    <row r="39" spans="1:10" ht="12.75">
      <c r="A39" s="30" t="s">
        <v>103</v>
      </c>
      <c r="B39" s="314" t="s">
        <v>241</v>
      </c>
      <c r="C39" s="314" t="s">
        <v>424</v>
      </c>
      <c r="D39" s="76" t="s">
        <v>695</v>
      </c>
      <c r="E39" s="311">
        <v>6250000</v>
      </c>
      <c r="F39" s="32">
        <f t="shared" si="0"/>
        <v>150000</v>
      </c>
      <c r="G39" s="311">
        <v>150000</v>
      </c>
      <c r="H39" s="311"/>
      <c r="I39" s="315"/>
      <c r="J39" s="315"/>
    </row>
    <row r="40" spans="1:10" ht="12.75">
      <c r="A40" s="30" t="s">
        <v>104</v>
      </c>
      <c r="B40" s="314" t="s">
        <v>256</v>
      </c>
      <c r="C40" s="314" t="s">
        <v>264</v>
      </c>
      <c r="D40" s="76" t="s">
        <v>696</v>
      </c>
      <c r="E40" s="311">
        <v>8021000</v>
      </c>
      <c r="F40" s="32">
        <f t="shared" si="0"/>
        <v>300000</v>
      </c>
      <c r="G40" s="311">
        <v>300000</v>
      </c>
      <c r="H40" s="311"/>
      <c r="I40" s="315"/>
      <c r="J40" s="315"/>
    </row>
    <row r="41" spans="1:10" ht="25.5">
      <c r="A41" s="30" t="s">
        <v>105</v>
      </c>
      <c r="B41" s="314" t="s">
        <v>268</v>
      </c>
      <c r="C41" s="314" t="s">
        <v>427</v>
      </c>
      <c r="D41" s="76" t="s">
        <v>741</v>
      </c>
      <c r="E41" s="311"/>
      <c r="F41" s="32">
        <f t="shared" si="0"/>
        <v>100000</v>
      </c>
      <c r="G41" s="311">
        <v>100000</v>
      </c>
      <c r="H41" s="311"/>
      <c r="I41" s="315"/>
      <c r="J41" s="315"/>
    </row>
    <row r="42" spans="1:10" ht="12.75">
      <c r="A42" s="30" t="s">
        <v>106</v>
      </c>
      <c r="B42" s="314" t="s">
        <v>268</v>
      </c>
      <c r="C42" s="314" t="s">
        <v>427</v>
      </c>
      <c r="D42" s="76" t="s">
        <v>697</v>
      </c>
      <c r="E42" s="311"/>
      <c r="F42" s="32">
        <f aca="true" t="shared" si="1" ref="F42:F58">SUM(G42:J42)</f>
        <v>993000</v>
      </c>
      <c r="G42" s="311">
        <v>993000</v>
      </c>
      <c r="H42" s="311"/>
      <c r="I42" s="315"/>
      <c r="J42" s="315"/>
    </row>
    <row r="43" spans="1:10" ht="27" customHeight="1">
      <c r="A43" s="30" t="s">
        <v>107</v>
      </c>
      <c r="B43" s="316" t="s">
        <v>715</v>
      </c>
      <c r="C43" s="316" t="s">
        <v>698</v>
      </c>
      <c r="D43" s="76" t="s">
        <v>37</v>
      </c>
      <c r="E43" s="311">
        <v>2992000</v>
      </c>
      <c r="F43" s="32">
        <f t="shared" si="1"/>
        <v>1431000</v>
      </c>
      <c r="G43" s="311">
        <f>1123000+308000</f>
        <v>1431000</v>
      </c>
      <c r="H43" s="311"/>
      <c r="I43" s="315"/>
      <c r="J43" s="315"/>
    </row>
    <row r="44" spans="1:10" ht="14.25" customHeight="1">
      <c r="A44" s="30" t="s">
        <v>108</v>
      </c>
      <c r="B44" s="314" t="s">
        <v>433</v>
      </c>
      <c r="C44" s="314" t="s">
        <v>434</v>
      </c>
      <c r="D44" s="76" t="s">
        <v>38</v>
      </c>
      <c r="E44" s="311">
        <v>3210000</v>
      </c>
      <c r="F44" s="32">
        <f t="shared" si="1"/>
        <v>510000</v>
      </c>
      <c r="G44" s="311">
        <v>510000</v>
      </c>
      <c r="H44" s="311"/>
      <c r="I44" s="315"/>
      <c r="J44" s="315"/>
    </row>
    <row r="45" spans="1:10" ht="38.25">
      <c r="A45" s="30" t="s">
        <v>109</v>
      </c>
      <c r="B45" s="314" t="s">
        <v>364</v>
      </c>
      <c r="C45" s="314" t="s">
        <v>479</v>
      </c>
      <c r="D45" s="76" t="s">
        <v>742</v>
      </c>
      <c r="E45" s="311">
        <v>430000</v>
      </c>
      <c r="F45" s="32">
        <f t="shared" si="1"/>
        <v>400000</v>
      </c>
      <c r="G45" s="311">
        <v>400000</v>
      </c>
      <c r="H45" s="311"/>
      <c r="I45" s="315"/>
      <c r="J45" s="315"/>
    </row>
    <row r="46" spans="1:10" ht="25.5">
      <c r="A46" s="30" t="s">
        <v>110</v>
      </c>
      <c r="B46" s="314" t="s">
        <v>364</v>
      </c>
      <c r="C46" s="314" t="s">
        <v>383</v>
      </c>
      <c r="D46" s="76" t="s">
        <v>39</v>
      </c>
      <c r="E46" s="311">
        <v>4948000</v>
      </c>
      <c r="F46" s="32">
        <f t="shared" si="1"/>
        <v>4495000</v>
      </c>
      <c r="G46" s="311">
        <v>3095000</v>
      </c>
      <c r="H46" s="311"/>
      <c r="I46" s="315">
        <v>1400000</v>
      </c>
      <c r="J46" s="315"/>
    </row>
    <row r="47" spans="1:10" ht="12.75">
      <c r="A47" s="30" t="s">
        <v>111</v>
      </c>
      <c r="B47" s="314" t="s">
        <v>384</v>
      </c>
      <c r="C47" s="314" t="s">
        <v>449</v>
      </c>
      <c r="D47" s="76" t="s">
        <v>62</v>
      </c>
      <c r="E47" s="311"/>
      <c r="F47" s="32">
        <f t="shared" si="1"/>
        <v>100000</v>
      </c>
      <c r="G47" s="311">
        <v>100000</v>
      </c>
      <c r="H47" s="311"/>
      <c r="I47" s="315"/>
      <c r="J47" s="315"/>
    </row>
    <row r="48" spans="1:10" ht="25.5">
      <c r="A48" s="30" t="s">
        <v>112</v>
      </c>
      <c r="B48" s="314" t="s">
        <v>388</v>
      </c>
      <c r="C48" s="314" t="s">
        <v>457</v>
      </c>
      <c r="D48" s="76" t="s">
        <v>699</v>
      </c>
      <c r="E48" s="311">
        <v>25158000</v>
      </c>
      <c r="F48" s="32">
        <f t="shared" si="1"/>
        <v>1000000</v>
      </c>
      <c r="G48" s="311">
        <v>500000</v>
      </c>
      <c r="H48" s="311">
        <v>500000</v>
      </c>
      <c r="I48" s="315"/>
      <c r="J48" s="315"/>
    </row>
    <row r="49" spans="1:10" ht="63.75">
      <c r="A49" s="30" t="s">
        <v>113</v>
      </c>
      <c r="B49" s="314" t="s">
        <v>388</v>
      </c>
      <c r="C49" s="314" t="s">
        <v>457</v>
      </c>
      <c r="D49" s="76" t="s">
        <v>1</v>
      </c>
      <c r="E49" s="311">
        <v>2119000</v>
      </c>
      <c r="F49" s="32">
        <f t="shared" si="1"/>
        <v>2105000</v>
      </c>
      <c r="G49" s="311">
        <v>304000</v>
      </c>
      <c r="H49" s="311">
        <v>1801000</v>
      </c>
      <c r="I49" s="315"/>
      <c r="J49" s="315"/>
    </row>
    <row r="50" spans="1:10" ht="38.25">
      <c r="A50" s="30" t="s">
        <v>114</v>
      </c>
      <c r="B50" s="314" t="s">
        <v>388</v>
      </c>
      <c r="C50" s="314" t="s">
        <v>457</v>
      </c>
      <c r="D50" s="76" t="s">
        <v>2</v>
      </c>
      <c r="E50" s="311">
        <v>514000</v>
      </c>
      <c r="F50" s="32">
        <f t="shared" si="1"/>
        <v>504000</v>
      </c>
      <c r="G50" s="311">
        <v>76000</v>
      </c>
      <c r="H50" s="311">
        <v>428000</v>
      </c>
      <c r="I50" s="315"/>
      <c r="J50" s="315"/>
    </row>
    <row r="51" spans="1:10" ht="12.75">
      <c r="A51" s="30" t="s">
        <v>124</v>
      </c>
      <c r="B51" s="314" t="s">
        <v>388</v>
      </c>
      <c r="C51" s="314" t="s">
        <v>459</v>
      </c>
      <c r="D51" s="76" t="s">
        <v>743</v>
      </c>
      <c r="E51" s="311">
        <v>4209000</v>
      </c>
      <c r="F51" s="32">
        <f t="shared" si="1"/>
        <v>487000</v>
      </c>
      <c r="G51" s="311">
        <v>487000</v>
      </c>
      <c r="H51" s="311"/>
      <c r="I51" s="315"/>
      <c r="J51" s="315"/>
    </row>
    <row r="52" spans="1:10" ht="12.75">
      <c r="A52" s="30" t="s">
        <v>125</v>
      </c>
      <c r="B52" s="314" t="s">
        <v>388</v>
      </c>
      <c r="C52" s="314" t="s">
        <v>394</v>
      </c>
      <c r="D52" s="76" t="s">
        <v>744</v>
      </c>
      <c r="E52" s="311">
        <v>4325000</v>
      </c>
      <c r="F52" s="32">
        <f t="shared" si="1"/>
        <v>938000</v>
      </c>
      <c r="G52" s="311">
        <v>38000</v>
      </c>
      <c r="H52" s="311"/>
      <c r="I52" s="315"/>
      <c r="J52" s="315">
        <v>900000</v>
      </c>
    </row>
    <row r="53" spans="1:10" ht="25.5">
      <c r="A53" s="30" t="s">
        <v>126</v>
      </c>
      <c r="B53" s="314" t="s">
        <v>388</v>
      </c>
      <c r="C53" s="314" t="s">
        <v>394</v>
      </c>
      <c r="D53" s="76" t="s">
        <v>745</v>
      </c>
      <c r="E53" s="311">
        <v>15942000</v>
      </c>
      <c r="F53" s="32">
        <f t="shared" si="1"/>
        <v>1282000</v>
      </c>
      <c r="G53" s="311">
        <v>1282000</v>
      </c>
      <c r="H53" s="311"/>
      <c r="I53" s="315"/>
      <c r="J53" s="315"/>
    </row>
    <row r="54" spans="1:10" ht="25.5">
      <c r="A54" s="30" t="s">
        <v>127</v>
      </c>
      <c r="B54" s="314" t="s">
        <v>460</v>
      </c>
      <c r="C54" s="314" t="s">
        <v>40</v>
      </c>
      <c r="D54" s="76" t="s">
        <v>41</v>
      </c>
      <c r="E54" s="311">
        <v>10530000</v>
      </c>
      <c r="F54" s="32">
        <f t="shared" si="1"/>
        <v>20000</v>
      </c>
      <c r="G54" s="311">
        <v>20000</v>
      </c>
      <c r="H54" s="311"/>
      <c r="I54" s="315"/>
      <c r="J54" s="315"/>
    </row>
    <row r="55" spans="1:10" ht="38.25">
      <c r="A55" s="30" t="s">
        <v>128</v>
      </c>
      <c r="B55" s="314" t="s">
        <v>460</v>
      </c>
      <c r="C55" s="314" t="s">
        <v>40</v>
      </c>
      <c r="D55" s="76" t="s">
        <v>3</v>
      </c>
      <c r="E55" s="311"/>
      <c r="F55" s="32">
        <f t="shared" si="1"/>
        <v>100000</v>
      </c>
      <c r="G55" s="311">
        <v>100000</v>
      </c>
      <c r="H55" s="311"/>
      <c r="I55" s="315"/>
      <c r="J55" s="315"/>
    </row>
    <row r="56" spans="1:10" ht="25.5">
      <c r="A56" s="30" t="s">
        <v>129</v>
      </c>
      <c r="B56" s="314" t="s">
        <v>465</v>
      </c>
      <c r="C56" s="314" t="s">
        <v>466</v>
      </c>
      <c r="D56" s="76" t="s">
        <v>90</v>
      </c>
      <c r="E56" s="311">
        <v>13224000</v>
      </c>
      <c r="F56" s="32">
        <f t="shared" si="1"/>
        <v>1493000</v>
      </c>
      <c r="G56" s="311">
        <v>500000</v>
      </c>
      <c r="H56" s="311"/>
      <c r="I56" s="315">
        <v>993000</v>
      </c>
      <c r="J56" s="315"/>
    </row>
    <row r="57" spans="1:10" ht="12.75">
      <c r="A57" s="30" t="s">
        <v>130</v>
      </c>
      <c r="B57" s="314" t="s">
        <v>465</v>
      </c>
      <c r="C57" s="314" t="s">
        <v>466</v>
      </c>
      <c r="D57" s="76" t="s">
        <v>93</v>
      </c>
      <c r="E57" s="311">
        <v>28123000</v>
      </c>
      <c r="F57" s="32">
        <f t="shared" si="1"/>
        <v>7800000</v>
      </c>
      <c r="G57" s="311">
        <v>7800000</v>
      </c>
      <c r="H57" s="311"/>
      <c r="I57" s="315"/>
      <c r="J57" s="315"/>
    </row>
    <row r="58" spans="1:10" ht="15" customHeight="1">
      <c r="A58" s="30" t="s">
        <v>131</v>
      </c>
      <c r="B58" s="314" t="s">
        <v>465</v>
      </c>
      <c r="C58" s="314" t="s">
        <v>466</v>
      </c>
      <c r="D58" s="76" t="s">
        <v>42</v>
      </c>
      <c r="E58" s="311">
        <v>8699000</v>
      </c>
      <c r="F58" s="32">
        <f t="shared" si="1"/>
        <v>70000</v>
      </c>
      <c r="G58" s="311">
        <v>70000</v>
      </c>
      <c r="H58" s="311"/>
      <c r="I58" s="315"/>
      <c r="J58" s="315"/>
    </row>
    <row r="59" spans="1:10" ht="12.75">
      <c r="A59" s="30" t="s">
        <v>132</v>
      </c>
      <c r="B59" s="314" t="s">
        <v>465</v>
      </c>
      <c r="C59" s="314" t="s">
        <v>466</v>
      </c>
      <c r="D59" s="76" t="s">
        <v>4</v>
      </c>
      <c r="E59" s="311">
        <v>60000000</v>
      </c>
      <c r="F59" s="32">
        <v>100000</v>
      </c>
      <c r="G59" s="311">
        <v>100000</v>
      </c>
      <c r="H59" s="311"/>
      <c r="I59" s="315"/>
      <c r="J59" s="315"/>
    </row>
    <row r="60" spans="1:10" ht="12.75">
      <c r="A60" s="57" t="s">
        <v>133</v>
      </c>
      <c r="B60" s="317" t="s">
        <v>465</v>
      </c>
      <c r="C60" s="317" t="s">
        <v>466</v>
      </c>
      <c r="D60" s="318" t="s">
        <v>63</v>
      </c>
      <c r="E60" s="319">
        <v>10500000</v>
      </c>
      <c r="F60" s="58">
        <f>SUM(G60:J60)</f>
        <v>1600000</v>
      </c>
      <c r="G60" s="319">
        <v>1600000</v>
      </c>
      <c r="H60" s="319"/>
      <c r="I60" s="320"/>
      <c r="J60" s="320"/>
    </row>
    <row r="61" spans="1:10" s="183" customFormat="1" ht="25.5" customHeight="1">
      <c r="A61" s="462" t="s">
        <v>732</v>
      </c>
      <c r="B61" s="463"/>
      <c r="C61" s="463"/>
      <c r="D61" s="464"/>
      <c r="E61" s="345"/>
      <c r="F61" s="182">
        <f>SUM(F62:F74)</f>
        <v>8042963</v>
      </c>
      <c r="G61" s="182">
        <f>SUM(G62:G74)</f>
        <v>8042963</v>
      </c>
      <c r="H61" s="182">
        <f>SUM(H62:H74)</f>
        <v>0</v>
      </c>
      <c r="I61" s="182">
        <f>SUM(I62:I74)</f>
        <v>0</v>
      </c>
      <c r="J61" s="182">
        <f>SUM(J62:J74)</f>
        <v>0</v>
      </c>
    </row>
    <row r="62" spans="1:10" ht="14.25" customHeight="1">
      <c r="A62" s="27" t="s">
        <v>146</v>
      </c>
      <c r="B62" s="304" t="s">
        <v>231</v>
      </c>
      <c r="C62" s="304" t="s">
        <v>420</v>
      </c>
      <c r="D62" s="305" t="s">
        <v>494</v>
      </c>
      <c r="E62" s="29">
        <v>32299000</v>
      </c>
      <c r="F62" s="29">
        <f aca="true" t="shared" si="2" ref="F62:F74">SUM(G62:J62)</f>
        <v>1000000</v>
      </c>
      <c r="G62" s="29">
        <v>1000000</v>
      </c>
      <c r="H62" s="29"/>
      <c r="I62" s="306"/>
      <c r="J62" s="306"/>
    </row>
    <row r="63" spans="1:10" ht="12.75">
      <c r="A63" s="30" t="s">
        <v>147</v>
      </c>
      <c r="B63" s="45" t="s">
        <v>241</v>
      </c>
      <c r="C63" s="45" t="s">
        <v>423</v>
      </c>
      <c r="D63" s="74" t="s">
        <v>496</v>
      </c>
      <c r="E63" s="32">
        <v>16301000</v>
      </c>
      <c r="F63" s="32">
        <f t="shared" si="2"/>
        <v>600000</v>
      </c>
      <c r="G63" s="32">
        <v>600000</v>
      </c>
      <c r="H63" s="32"/>
      <c r="I63" s="307"/>
      <c r="J63" s="307"/>
    </row>
    <row r="64" spans="1:10" ht="12.75">
      <c r="A64" s="30" t="s">
        <v>148</v>
      </c>
      <c r="B64" s="45" t="s">
        <v>241</v>
      </c>
      <c r="C64" s="45" t="s">
        <v>243</v>
      </c>
      <c r="D64" s="74" t="s">
        <v>244</v>
      </c>
      <c r="E64" s="32">
        <v>3100000</v>
      </c>
      <c r="F64" s="32">
        <f t="shared" si="2"/>
        <v>1510000</v>
      </c>
      <c r="G64" s="32">
        <v>1510000</v>
      </c>
      <c r="H64" s="32"/>
      <c r="I64" s="308"/>
      <c r="J64" s="308"/>
    </row>
    <row r="65" spans="1:10" ht="14.25" customHeight="1">
      <c r="A65" s="30" t="s">
        <v>135</v>
      </c>
      <c r="B65" s="45" t="s">
        <v>268</v>
      </c>
      <c r="C65" s="45" t="s">
        <v>279</v>
      </c>
      <c r="D65" s="74" t="s">
        <v>734</v>
      </c>
      <c r="E65" s="32">
        <v>8400000</v>
      </c>
      <c r="F65" s="32">
        <f t="shared" si="2"/>
        <v>839000</v>
      </c>
      <c r="G65" s="32">
        <v>839000</v>
      </c>
      <c r="H65" s="32"/>
      <c r="I65" s="307"/>
      <c r="J65" s="307"/>
    </row>
    <row r="66" spans="1:10" ht="12.75">
      <c r="A66" s="30" t="s">
        <v>152</v>
      </c>
      <c r="B66" s="127" t="s">
        <v>345</v>
      </c>
      <c r="C66" s="127" t="s">
        <v>432</v>
      </c>
      <c r="D66" s="191" t="s">
        <v>503</v>
      </c>
      <c r="E66" s="98">
        <v>18000000</v>
      </c>
      <c r="F66" s="32">
        <f t="shared" si="2"/>
        <v>1150000</v>
      </c>
      <c r="G66" s="98">
        <v>1150000</v>
      </c>
      <c r="H66" s="98"/>
      <c r="I66" s="308"/>
      <c r="J66" s="308"/>
    </row>
    <row r="67" spans="1:10" ht="15.75" customHeight="1">
      <c r="A67" s="30" t="s">
        <v>155</v>
      </c>
      <c r="B67" s="310" t="s">
        <v>433</v>
      </c>
      <c r="C67" s="310" t="s">
        <v>436</v>
      </c>
      <c r="D67" s="76" t="s">
        <v>507</v>
      </c>
      <c r="E67" s="311">
        <v>34257000</v>
      </c>
      <c r="F67" s="32">
        <f t="shared" si="2"/>
        <v>885000</v>
      </c>
      <c r="G67" s="312">
        <v>885000</v>
      </c>
      <c r="H67" s="312"/>
      <c r="I67" s="313"/>
      <c r="J67" s="313"/>
    </row>
    <row r="68" spans="1:10" ht="12.75">
      <c r="A68" s="30" t="s">
        <v>157</v>
      </c>
      <c r="B68" s="314" t="s">
        <v>384</v>
      </c>
      <c r="C68" s="314" t="s">
        <v>448</v>
      </c>
      <c r="D68" s="76" t="s">
        <v>735</v>
      </c>
      <c r="E68" s="311">
        <v>131250000</v>
      </c>
      <c r="F68" s="32">
        <f t="shared" si="2"/>
        <v>22413</v>
      </c>
      <c r="G68" s="311">
        <v>22413</v>
      </c>
      <c r="H68" s="311"/>
      <c r="I68" s="315"/>
      <c r="J68" s="307"/>
    </row>
    <row r="69" spans="1:10" ht="25.5">
      <c r="A69" s="30" t="s">
        <v>160</v>
      </c>
      <c r="B69" s="314" t="s">
        <v>360</v>
      </c>
      <c r="C69" s="314" t="s">
        <v>478</v>
      </c>
      <c r="D69" s="76" t="s">
        <v>540</v>
      </c>
      <c r="E69" s="311"/>
      <c r="F69" s="32">
        <f t="shared" si="2"/>
        <v>69050</v>
      </c>
      <c r="G69" s="311">
        <v>69050</v>
      </c>
      <c r="H69" s="311"/>
      <c r="I69" s="315"/>
      <c r="J69" s="315"/>
    </row>
    <row r="70" spans="1:10" ht="12.75">
      <c r="A70" s="30" t="s">
        <v>560</v>
      </c>
      <c r="B70" s="314" t="s">
        <v>388</v>
      </c>
      <c r="C70" s="314" t="s">
        <v>394</v>
      </c>
      <c r="D70" s="76" t="s">
        <v>226</v>
      </c>
      <c r="E70" s="311">
        <v>6418000</v>
      </c>
      <c r="F70" s="32">
        <f t="shared" si="2"/>
        <v>669000</v>
      </c>
      <c r="G70" s="311">
        <v>669000</v>
      </c>
      <c r="H70" s="311"/>
      <c r="I70" s="315"/>
      <c r="J70" s="315"/>
    </row>
    <row r="71" spans="1:10" ht="12.75">
      <c r="A71" s="30" t="s">
        <v>561</v>
      </c>
      <c r="B71" s="314" t="s">
        <v>460</v>
      </c>
      <c r="C71" s="314" t="s">
        <v>461</v>
      </c>
      <c r="D71" s="76" t="s">
        <v>525</v>
      </c>
      <c r="E71" s="311"/>
      <c r="F71" s="32">
        <f t="shared" si="2"/>
        <v>900000</v>
      </c>
      <c r="G71" s="311">
        <v>900000</v>
      </c>
      <c r="H71" s="311"/>
      <c r="I71" s="315"/>
      <c r="J71" s="315"/>
    </row>
    <row r="72" spans="1:10" ht="12.75">
      <c r="A72" s="30" t="s">
        <v>562</v>
      </c>
      <c r="B72" s="314" t="s">
        <v>460</v>
      </c>
      <c r="C72" s="314" t="s">
        <v>462</v>
      </c>
      <c r="D72" s="76" t="s">
        <v>526</v>
      </c>
      <c r="E72" s="311"/>
      <c r="F72" s="32">
        <f t="shared" si="2"/>
        <v>49000</v>
      </c>
      <c r="G72" s="311">
        <v>49000</v>
      </c>
      <c r="H72" s="311"/>
      <c r="I72" s="315"/>
      <c r="J72" s="315"/>
    </row>
    <row r="73" spans="1:10" ht="12.75">
      <c r="A73" s="30" t="s">
        <v>563</v>
      </c>
      <c r="B73" s="314" t="s">
        <v>460</v>
      </c>
      <c r="C73" s="314" t="s">
        <v>463</v>
      </c>
      <c r="D73" s="76" t="s">
        <v>527</v>
      </c>
      <c r="E73" s="311"/>
      <c r="F73" s="32">
        <f t="shared" si="2"/>
        <v>109500</v>
      </c>
      <c r="G73" s="311">
        <v>109500</v>
      </c>
      <c r="H73" s="311"/>
      <c r="I73" s="315"/>
      <c r="J73" s="315"/>
    </row>
    <row r="74" spans="1:10" ht="12.75">
      <c r="A74" s="57" t="s">
        <v>564</v>
      </c>
      <c r="B74" s="317" t="s">
        <v>465</v>
      </c>
      <c r="C74" s="317" t="s">
        <v>467</v>
      </c>
      <c r="D74" s="318" t="s">
        <v>530</v>
      </c>
      <c r="E74" s="319">
        <v>3220000</v>
      </c>
      <c r="F74" s="58">
        <f t="shared" si="2"/>
        <v>240000</v>
      </c>
      <c r="G74" s="319">
        <v>240000</v>
      </c>
      <c r="H74" s="319"/>
      <c r="I74" s="320"/>
      <c r="J74" s="320"/>
    </row>
    <row r="75" spans="1:10" s="183" customFormat="1" ht="25.5" customHeight="1">
      <c r="A75" s="462" t="s">
        <v>616</v>
      </c>
      <c r="B75" s="463"/>
      <c r="C75" s="463"/>
      <c r="D75" s="464"/>
      <c r="E75" s="345"/>
      <c r="F75" s="182">
        <f>SUM(F9,F61)</f>
        <v>92964963</v>
      </c>
      <c r="G75" s="182">
        <f>SUM(G9,G61)</f>
        <v>57195963</v>
      </c>
      <c r="H75" s="182">
        <f>SUM(H9,H61)</f>
        <v>28240000</v>
      </c>
      <c r="I75" s="182">
        <f>SUM(I9,I61)</f>
        <v>5713000</v>
      </c>
      <c r="J75" s="182">
        <f>SUM(J9,J61)</f>
        <v>1816000</v>
      </c>
    </row>
  </sheetData>
  <sheetProtection password="CF53" sheet="1" formatCells="0" formatColumns="0" formatRows="0" insertColumns="0" insertRows="0" insertHyperlinks="0" deleteColumns="0" deleteRows="0" sort="0" autoFilter="0" pivotTables="0"/>
  <mergeCells count="16">
    <mergeCell ref="A61:D61"/>
    <mergeCell ref="A75:D75"/>
    <mergeCell ref="F3:F7"/>
    <mergeCell ref="J4:J7"/>
    <mergeCell ref="G3:J3"/>
    <mergeCell ref="A9:D9"/>
    <mergeCell ref="A1:J1"/>
    <mergeCell ref="A3:A7"/>
    <mergeCell ref="B3:B7"/>
    <mergeCell ref="C3:C7"/>
    <mergeCell ref="D3:D7"/>
    <mergeCell ref="E3:E7"/>
    <mergeCell ref="G4:I4"/>
    <mergeCell ref="G5:G7"/>
    <mergeCell ref="H5:H7"/>
    <mergeCell ref="I5:I7"/>
  </mergeCells>
  <printOptions horizontalCentered="1"/>
  <pageMargins left="0.7874015748031497" right="0.1968503937007874" top="1.3779527559055118" bottom="0.7874015748031497" header="0.5118110236220472" footer="0.5118110236220472"/>
  <pageSetup horizontalDpi="600" verticalDpi="600" orientation="landscape" paperSize="9" r:id="rId1"/>
  <headerFooter alignWithMargins="0">
    <oddHeader xml:space="preserve">&amp;R&amp;9Załącznik nr &amp;A
do uchwały Nr XLVII/394/2008   
Rady Miasta Świnoujścia  
z dnia 19 grudnia 2008 roku </oddHeader>
  </headerFooter>
  <rowBreaks count="1" manualBreakCount="1">
    <brk id="6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M10"/>
  <sheetViews>
    <sheetView view="pageBreakPreview" zoomScale="90" zoomScaleSheetLayoutView="90" zoomScalePageLayoutView="0" workbookViewId="0" topLeftCell="A1">
      <pane ySplit="5" topLeftCell="BM6" activePane="bottomLeft" state="frozen"/>
      <selection pane="topLeft" activeCell="C20" sqref="C20"/>
      <selection pane="bottomLeft" activeCell="E16" sqref="E16"/>
    </sheetView>
  </sheetViews>
  <sheetFormatPr defaultColWidth="9.00390625" defaultRowHeight="12.75"/>
  <cols>
    <col min="1" max="1" width="3.625" style="55" customWidth="1"/>
    <col min="2" max="2" width="5.875" style="55" customWidth="1"/>
    <col min="3" max="3" width="6.625" style="55" customWidth="1"/>
    <col min="4" max="4" width="22.375" style="22" customWidth="1"/>
    <col min="5" max="5" width="18.75390625" style="22" customWidth="1"/>
    <col min="6" max="6" width="10.25390625" style="22" customWidth="1"/>
    <col min="7" max="7" width="11.125" style="22" customWidth="1"/>
    <col min="8" max="8" width="14.125" style="22" customWidth="1"/>
    <col min="9" max="9" width="13.125" style="22" customWidth="1"/>
    <col min="10" max="10" width="10.625" style="22" customWidth="1"/>
    <col min="11" max="11" width="10.00390625" style="22" customWidth="1"/>
    <col min="12" max="12" width="9.25390625" style="22" customWidth="1"/>
    <col min="13" max="13" width="9.00390625" style="22" customWidth="1"/>
    <col min="14" max="16384" width="9.125" style="22" customWidth="1"/>
  </cols>
  <sheetData>
    <row r="1" spans="1:13" ht="51" customHeight="1">
      <c r="A1" s="428" t="s">
        <v>662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2" spans="1:13" ht="21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02" t="s">
        <v>168</v>
      </c>
    </row>
    <row r="3" spans="1:13" ht="49.5" customHeight="1">
      <c r="A3" s="473" t="s">
        <v>182</v>
      </c>
      <c r="B3" s="473" t="s">
        <v>136</v>
      </c>
      <c r="C3" s="473" t="s">
        <v>167</v>
      </c>
      <c r="D3" s="429" t="s">
        <v>28</v>
      </c>
      <c r="E3" s="429" t="s">
        <v>24</v>
      </c>
      <c r="F3" s="429" t="s">
        <v>26</v>
      </c>
      <c r="G3" s="429" t="s">
        <v>27</v>
      </c>
      <c r="H3" s="429" t="s">
        <v>29</v>
      </c>
      <c r="I3" s="429" t="s">
        <v>605</v>
      </c>
      <c r="J3" s="431" t="s">
        <v>604</v>
      </c>
      <c r="K3" s="432"/>
      <c r="L3" s="432"/>
      <c r="M3" s="433"/>
    </row>
    <row r="4" spans="1:13" ht="39.75" customHeight="1">
      <c r="A4" s="474"/>
      <c r="B4" s="474"/>
      <c r="C4" s="474"/>
      <c r="D4" s="430"/>
      <c r="E4" s="430"/>
      <c r="F4" s="430"/>
      <c r="G4" s="430"/>
      <c r="H4" s="430"/>
      <c r="I4" s="430"/>
      <c r="J4" s="174" t="s">
        <v>180</v>
      </c>
      <c r="K4" s="174" t="s">
        <v>5</v>
      </c>
      <c r="L4" s="174" t="s">
        <v>658</v>
      </c>
      <c r="M4" s="174" t="s">
        <v>659</v>
      </c>
    </row>
    <row r="5" spans="1:13" s="177" customFormat="1" ht="7.5" customHeight="1">
      <c r="A5" s="26">
        <v>1</v>
      </c>
      <c r="B5" s="26">
        <v>2</v>
      </c>
      <c r="C5" s="26">
        <v>3</v>
      </c>
      <c r="D5" s="26">
        <v>5</v>
      </c>
      <c r="E5" s="26">
        <v>6</v>
      </c>
      <c r="F5" s="26">
        <v>7</v>
      </c>
      <c r="G5" s="26">
        <v>8</v>
      </c>
      <c r="H5" s="26">
        <v>9</v>
      </c>
      <c r="I5" s="26">
        <v>10</v>
      </c>
      <c r="J5" s="26">
        <v>11</v>
      </c>
      <c r="K5" s="26">
        <v>12</v>
      </c>
      <c r="L5" s="26">
        <v>13</v>
      </c>
      <c r="M5" s="26">
        <v>14</v>
      </c>
    </row>
    <row r="6" spans="1:13" ht="24" customHeight="1">
      <c r="A6" s="406" t="s">
        <v>146</v>
      </c>
      <c r="B6" s="409" t="s">
        <v>384</v>
      </c>
      <c r="C6" s="409" t="s">
        <v>449</v>
      </c>
      <c r="D6" s="412" t="s">
        <v>660</v>
      </c>
      <c r="E6" s="412" t="s">
        <v>661</v>
      </c>
      <c r="F6" s="412" t="s">
        <v>637</v>
      </c>
      <c r="G6" s="476">
        <v>279142</v>
      </c>
      <c r="H6" s="476">
        <v>279142</v>
      </c>
      <c r="I6" s="178" t="s">
        <v>20</v>
      </c>
      <c r="J6" s="179">
        <f>SUM(J7,J8,J9)</f>
        <v>94115</v>
      </c>
      <c r="K6" s="179">
        <f>SUM(K7,K8,K9)</f>
        <v>94115</v>
      </c>
      <c r="L6" s="179">
        <f>SUM(L7,L8,L9)</f>
        <v>0</v>
      </c>
      <c r="M6" s="179">
        <f>SUM(M7,M8,M9)</f>
        <v>0</v>
      </c>
    </row>
    <row r="7" spans="1:13" ht="24" customHeight="1">
      <c r="A7" s="407"/>
      <c r="B7" s="410"/>
      <c r="C7" s="410"/>
      <c r="D7" s="413"/>
      <c r="E7" s="413"/>
      <c r="F7" s="413"/>
      <c r="G7" s="477"/>
      <c r="H7" s="477"/>
      <c r="I7" s="178" t="s">
        <v>30</v>
      </c>
      <c r="J7" s="179">
        <v>86787</v>
      </c>
      <c r="K7" s="179">
        <v>86787</v>
      </c>
      <c r="L7" s="179">
        <v>0</v>
      </c>
      <c r="M7" s="180">
        <v>0</v>
      </c>
    </row>
    <row r="8" spans="1:13" ht="24" customHeight="1">
      <c r="A8" s="407"/>
      <c r="B8" s="410"/>
      <c r="C8" s="410"/>
      <c r="D8" s="413"/>
      <c r="E8" s="413"/>
      <c r="F8" s="413"/>
      <c r="G8" s="477"/>
      <c r="H8" s="477"/>
      <c r="I8" s="178" t="s">
        <v>21</v>
      </c>
      <c r="J8" s="179">
        <v>0</v>
      </c>
      <c r="K8" s="179">
        <v>0</v>
      </c>
      <c r="L8" s="179">
        <v>0</v>
      </c>
      <c r="M8" s="180">
        <v>0</v>
      </c>
    </row>
    <row r="9" spans="1:13" ht="24" customHeight="1">
      <c r="A9" s="408"/>
      <c r="B9" s="411"/>
      <c r="C9" s="411"/>
      <c r="D9" s="414"/>
      <c r="E9" s="414"/>
      <c r="F9" s="414"/>
      <c r="G9" s="478"/>
      <c r="H9" s="478"/>
      <c r="I9" s="178" t="s">
        <v>23</v>
      </c>
      <c r="J9" s="179">
        <v>7328</v>
      </c>
      <c r="K9" s="179">
        <v>7328</v>
      </c>
      <c r="L9" s="179">
        <v>0</v>
      </c>
      <c r="M9" s="180">
        <v>0</v>
      </c>
    </row>
    <row r="10" spans="1:13" s="183" customFormat="1" ht="24" customHeight="1">
      <c r="A10" s="475" t="s">
        <v>616</v>
      </c>
      <c r="B10" s="475"/>
      <c r="C10" s="475"/>
      <c r="D10" s="475"/>
      <c r="E10" s="475"/>
      <c r="F10" s="475"/>
      <c r="G10" s="475"/>
      <c r="H10" s="475"/>
      <c r="I10" s="181"/>
      <c r="J10" s="182">
        <f>SUM(J6)</f>
        <v>94115</v>
      </c>
      <c r="K10" s="182">
        <f>SUM(K6)</f>
        <v>94115</v>
      </c>
      <c r="L10" s="182">
        <f>SUM(L6)</f>
        <v>0</v>
      </c>
      <c r="M10" s="182">
        <f>SUM(M6)</f>
        <v>0</v>
      </c>
    </row>
  </sheetData>
  <sheetProtection password="CF53" sheet="1" formatCells="0" formatColumns="0" formatRows="0" insertColumns="0" insertRows="0" insertHyperlinks="0" deleteColumns="0" deleteRows="0" sort="0" autoFilter="0" pivotTables="0"/>
  <mergeCells count="20">
    <mergeCell ref="H3:H4"/>
    <mergeCell ref="A1:M1"/>
    <mergeCell ref="E3:E4"/>
    <mergeCell ref="F3:F4"/>
    <mergeCell ref="I3:I4"/>
    <mergeCell ref="J3:M3"/>
    <mergeCell ref="G3:G4"/>
    <mergeCell ref="D3:D4"/>
    <mergeCell ref="B3:B4"/>
    <mergeCell ref="A3:A4"/>
    <mergeCell ref="C3:C4"/>
    <mergeCell ref="A10:H10"/>
    <mergeCell ref="A6:A9"/>
    <mergeCell ref="B6:B9"/>
    <mergeCell ref="C6:C9"/>
    <mergeCell ref="D6:D9"/>
    <mergeCell ref="H6:H9"/>
    <mergeCell ref="E6:E9"/>
    <mergeCell ref="F6:F9"/>
    <mergeCell ref="G6:G9"/>
  </mergeCells>
  <printOptions horizontalCentered="1"/>
  <pageMargins left="0.7874015748031497" right="0.7874015748031497" top="1.3779527559055118" bottom="0.7874015748031497" header="0.5118110236220472" footer="0.5118110236220472"/>
  <pageSetup horizontalDpi="600" verticalDpi="600" orientation="landscape" paperSize="9" scale="91" r:id="rId1"/>
  <headerFooter alignWithMargins="0">
    <oddHeader xml:space="preserve">&amp;R&amp;9Załącznik nr &amp;A
do uchwały Nr XLVII/394/2008 
Rady Miasta Świnoujścia
z dnia 19 grudnia 2008 roku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M41"/>
  <sheetViews>
    <sheetView view="pageBreakPreview" zoomScaleSheetLayoutView="100" zoomScalePageLayoutView="0" workbookViewId="0" topLeftCell="A1">
      <pane ySplit="9" topLeftCell="BM31" activePane="bottomLeft" state="frozen"/>
      <selection pane="topLeft" activeCell="C20" sqref="C20"/>
      <selection pane="bottomLeft" activeCell="E14" sqref="E14"/>
    </sheetView>
  </sheetViews>
  <sheetFormatPr defaultColWidth="9.00390625" defaultRowHeight="12.75"/>
  <cols>
    <col min="1" max="1" width="3.00390625" style="12" customWidth="1"/>
    <col min="2" max="2" width="34.25390625" style="11" customWidth="1"/>
    <col min="3" max="3" width="12.875" style="11" customWidth="1"/>
    <col min="4" max="4" width="10.75390625" style="11" customWidth="1"/>
    <col min="5" max="5" width="10.25390625" style="11" customWidth="1"/>
    <col min="6" max="6" width="10.125" style="11" customWidth="1"/>
    <col min="7" max="7" width="10.375" style="11" customWidth="1"/>
    <col min="8" max="8" width="10.125" style="11" bestFit="1" customWidth="1"/>
    <col min="9" max="9" width="10.625" style="11" bestFit="1" customWidth="1"/>
    <col min="10" max="10" width="14.125" style="11" customWidth="1"/>
    <col min="11" max="11" width="13.625" style="11" customWidth="1"/>
    <col min="12" max="12" width="9.125" style="166" customWidth="1"/>
    <col min="13" max="16384" width="9.125" style="11" customWidth="1"/>
  </cols>
  <sheetData>
    <row r="1" spans="1:12" s="21" customFormat="1" ht="16.5">
      <c r="A1" s="485" t="s">
        <v>181</v>
      </c>
      <c r="B1" s="485"/>
      <c r="C1" s="485"/>
      <c r="D1" s="485"/>
      <c r="E1" s="485"/>
      <c r="F1" s="485"/>
      <c r="G1" s="485"/>
      <c r="H1" s="485"/>
      <c r="I1" s="485"/>
      <c r="J1" s="485"/>
      <c r="L1" s="166"/>
    </row>
    <row r="2" spans="1:12" s="21" customFormat="1" ht="16.5">
      <c r="A2" s="485" t="s">
        <v>643</v>
      </c>
      <c r="B2" s="485"/>
      <c r="C2" s="485"/>
      <c r="D2" s="485"/>
      <c r="E2" s="485"/>
      <c r="F2" s="485"/>
      <c r="G2" s="485"/>
      <c r="H2" s="485"/>
      <c r="I2" s="485"/>
      <c r="J2" s="485"/>
      <c r="L2" s="166"/>
    </row>
    <row r="3" spans="1:12" s="21" customFormat="1" ht="6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L3" s="166"/>
    </row>
    <row r="4" spans="1:12" s="21" customFormat="1" ht="12.75">
      <c r="A4" s="55"/>
      <c r="B4" s="22"/>
      <c r="C4" s="22"/>
      <c r="D4" s="22"/>
      <c r="E4" s="22"/>
      <c r="F4" s="22"/>
      <c r="G4" s="22"/>
      <c r="H4" s="22"/>
      <c r="I4" s="22"/>
      <c r="K4" s="70" t="s">
        <v>168</v>
      </c>
      <c r="L4" s="166"/>
    </row>
    <row r="5" spans="1:12" s="21" customFormat="1" ht="15" customHeight="1">
      <c r="A5" s="404" t="s">
        <v>182</v>
      </c>
      <c r="B5" s="404" t="s">
        <v>134</v>
      </c>
      <c r="C5" s="405" t="s">
        <v>184</v>
      </c>
      <c r="D5" s="431" t="s">
        <v>144</v>
      </c>
      <c r="E5" s="432"/>
      <c r="F5" s="432"/>
      <c r="G5" s="433"/>
      <c r="H5" s="405" t="s">
        <v>143</v>
      </c>
      <c r="I5" s="405"/>
      <c r="J5" s="405" t="s">
        <v>186</v>
      </c>
      <c r="K5" s="405" t="s">
        <v>663</v>
      </c>
      <c r="L5" s="166"/>
    </row>
    <row r="6" spans="1:12" s="21" customFormat="1" ht="15" customHeight="1">
      <c r="A6" s="404"/>
      <c r="B6" s="404"/>
      <c r="C6" s="405"/>
      <c r="D6" s="405" t="s">
        <v>141</v>
      </c>
      <c r="E6" s="481" t="s">
        <v>140</v>
      </c>
      <c r="F6" s="482"/>
      <c r="G6" s="483"/>
      <c r="H6" s="405" t="s">
        <v>141</v>
      </c>
      <c r="I6" s="405" t="s">
        <v>185</v>
      </c>
      <c r="J6" s="405"/>
      <c r="K6" s="405"/>
      <c r="L6" s="166"/>
    </row>
    <row r="7" spans="1:12" s="21" customFormat="1" ht="18" customHeight="1">
      <c r="A7" s="404"/>
      <c r="B7" s="404"/>
      <c r="C7" s="405"/>
      <c r="D7" s="405"/>
      <c r="E7" s="429" t="s">
        <v>615</v>
      </c>
      <c r="F7" s="481" t="s">
        <v>190</v>
      </c>
      <c r="G7" s="483"/>
      <c r="H7" s="405"/>
      <c r="I7" s="405"/>
      <c r="J7" s="405"/>
      <c r="K7" s="405"/>
      <c r="L7" s="166"/>
    </row>
    <row r="8" spans="1:12" s="21" customFormat="1" ht="42" customHeight="1">
      <c r="A8" s="404"/>
      <c r="B8" s="404"/>
      <c r="C8" s="405"/>
      <c r="D8" s="405"/>
      <c r="E8" s="430"/>
      <c r="F8" s="153" t="s">
        <v>614</v>
      </c>
      <c r="G8" s="153" t="s">
        <v>210</v>
      </c>
      <c r="H8" s="405"/>
      <c r="I8" s="405"/>
      <c r="J8" s="405"/>
      <c r="K8" s="405"/>
      <c r="L8" s="166"/>
    </row>
    <row r="9" spans="1:12" s="21" customFormat="1" ht="7.5" customHeigh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166"/>
    </row>
    <row r="10" spans="1:12" s="43" customFormat="1" ht="27.75" customHeight="1">
      <c r="A10" s="154" t="s">
        <v>145</v>
      </c>
      <c r="B10" s="115" t="s">
        <v>218</v>
      </c>
      <c r="C10" s="91">
        <f>C11+C12+C13</f>
        <v>877471</v>
      </c>
      <c r="D10" s="91">
        <f aca="true" t="shared" si="0" ref="D10:J10">D11+D12+D13</f>
        <v>24000408</v>
      </c>
      <c r="E10" s="91">
        <f t="shared" si="0"/>
        <v>8358152</v>
      </c>
      <c r="F10" s="91">
        <f t="shared" si="0"/>
        <v>6633152</v>
      </c>
      <c r="G10" s="91">
        <f t="shared" si="0"/>
        <v>1725000</v>
      </c>
      <c r="H10" s="91">
        <f t="shared" si="0"/>
        <v>24476708</v>
      </c>
      <c r="I10" s="91">
        <f t="shared" si="0"/>
        <v>0</v>
      </c>
      <c r="J10" s="91">
        <f t="shared" si="0"/>
        <v>401171</v>
      </c>
      <c r="K10" s="155" t="s">
        <v>174</v>
      </c>
      <c r="L10" s="167"/>
    </row>
    <row r="11" spans="1:12" s="21" customFormat="1" ht="24.75" customHeight="1">
      <c r="A11" s="30" t="s">
        <v>146</v>
      </c>
      <c r="B11" s="170" t="s">
        <v>67</v>
      </c>
      <c r="C11" s="32">
        <v>688800</v>
      </c>
      <c r="D11" s="32">
        <v>11409800</v>
      </c>
      <c r="E11" s="32">
        <f>F11+G11</f>
        <v>1000000</v>
      </c>
      <c r="F11" s="32">
        <v>400000</v>
      </c>
      <c r="G11" s="32">
        <v>600000</v>
      </c>
      <c r="H11" s="32">
        <v>11774500</v>
      </c>
      <c r="I11" s="32"/>
      <c r="J11" s="32">
        <f>C11+D11-H11</f>
        <v>324100</v>
      </c>
      <c r="K11" s="171" t="s">
        <v>174</v>
      </c>
      <c r="L11" s="162">
        <f>C11+D11-H11-J11</f>
        <v>0</v>
      </c>
    </row>
    <row r="12" spans="1:12" s="21" customFormat="1" ht="24.75" customHeight="1">
      <c r="A12" s="30" t="s">
        <v>147</v>
      </c>
      <c r="B12" s="170" t="s">
        <v>68</v>
      </c>
      <c r="C12" s="32">
        <v>60000</v>
      </c>
      <c r="D12" s="32">
        <f>7421608+885000</f>
        <v>8306608</v>
      </c>
      <c r="E12" s="32">
        <f>F12+G12</f>
        <v>6288152</v>
      </c>
      <c r="F12" s="32">
        <v>5403152</v>
      </c>
      <c r="G12" s="98">
        <v>885000</v>
      </c>
      <c r="H12" s="98">
        <f>7421608+885000</f>
        <v>8306608</v>
      </c>
      <c r="I12" s="98"/>
      <c r="J12" s="98">
        <f>C12+D12-H12</f>
        <v>60000</v>
      </c>
      <c r="K12" s="171" t="s">
        <v>174</v>
      </c>
      <c r="L12" s="162">
        <f aca="true" t="shared" si="1" ref="L12:L38">C12+D12-H12-J12</f>
        <v>0</v>
      </c>
    </row>
    <row r="13" spans="1:12" s="21" customFormat="1" ht="26.25" customHeight="1">
      <c r="A13" s="30" t="s">
        <v>148</v>
      </c>
      <c r="B13" s="185" t="s">
        <v>69</v>
      </c>
      <c r="C13" s="32">
        <v>128671</v>
      </c>
      <c r="D13" s="32">
        <v>4284000</v>
      </c>
      <c r="E13" s="32">
        <f>F13+G13</f>
        <v>1070000</v>
      </c>
      <c r="F13" s="32">
        <f>450000+380000</f>
        <v>830000</v>
      </c>
      <c r="G13" s="58">
        <f>240000</f>
        <v>240000</v>
      </c>
      <c r="H13" s="58">
        <v>4395600</v>
      </c>
      <c r="I13" s="58"/>
      <c r="J13" s="58">
        <f>C13+D13-H13</f>
        <v>17071</v>
      </c>
      <c r="K13" s="171" t="s">
        <v>174</v>
      </c>
      <c r="L13" s="162">
        <f t="shared" si="1"/>
        <v>0</v>
      </c>
    </row>
    <row r="14" spans="1:12" s="115" customFormat="1" ht="42" customHeight="1">
      <c r="A14" s="154" t="s">
        <v>149</v>
      </c>
      <c r="B14" s="156" t="s">
        <v>11</v>
      </c>
      <c r="C14" s="91">
        <f>SUM(C15,C16,C17,C18,C19,C20,C21,C22,C23,C24,C25)</f>
        <v>54253</v>
      </c>
      <c r="D14" s="91">
        <f>SUM(D15,D16,D17,D18,D19,D20,D21,D22,D23,D24,D25)</f>
        <v>1871833</v>
      </c>
      <c r="E14" s="155" t="s">
        <v>174</v>
      </c>
      <c r="F14" s="155" t="s">
        <v>174</v>
      </c>
      <c r="G14" s="157" t="s">
        <v>174</v>
      </c>
      <c r="H14" s="158">
        <f>SUM(H15,H16,H17,H18,H19,H20,H21,H22,H23,H24,H25)</f>
        <v>1900355</v>
      </c>
      <c r="I14" s="157" t="s">
        <v>174</v>
      </c>
      <c r="J14" s="158">
        <f>SUM(J15,J16,J17,J18,J19,J20,J21,J22,J23,J24,J25)</f>
        <v>25731</v>
      </c>
      <c r="K14" s="91"/>
      <c r="L14" s="169">
        <f t="shared" si="1"/>
        <v>0</v>
      </c>
    </row>
    <row r="15" spans="1:12" s="21" customFormat="1" ht="24.75" customHeight="1">
      <c r="A15" s="77" t="s">
        <v>146</v>
      </c>
      <c r="B15" s="163" t="s">
        <v>571</v>
      </c>
      <c r="C15" s="98">
        <v>0</v>
      </c>
      <c r="D15" s="98">
        <v>540000</v>
      </c>
      <c r="E15" s="113" t="s">
        <v>174</v>
      </c>
      <c r="F15" s="173" t="s">
        <v>174</v>
      </c>
      <c r="G15" s="173" t="s">
        <v>174</v>
      </c>
      <c r="H15" s="98">
        <v>540000</v>
      </c>
      <c r="I15" s="173" t="s">
        <v>174</v>
      </c>
      <c r="J15" s="98">
        <f>C15+D15-H15</f>
        <v>0</v>
      </c>
      <c r="K15" s="98"/>
      <c r="L15" s="162">
        <f>C15+D15-H15-J15</f>
        <v>0</v>
      </c>
    </row>
    <row r="16" spans="1:12" s="21" customFormat="1" ht="24.75" customHeight="1">
      <c r="A16" s="77" t="s">
        <v>147</v>
      </c>
      <c r="B16" s="163" t="s">
        <v>70</v>
      </c>
      <c r="C16" s="98">
        <v>17867</v>
      </c>
      <c r="D16" s="98">
        <v>174167</v>
      </c>
      <c r="E16" s="113" t="s">
        <v>174</v>
      </c>
      <c r="F16" s="164" t="s">
        <v>174</v>
      </c>
      <c r="G16" s="165" t="s">
        <v>174</v>
      </c>
      <c r="H16" s="98">
        <v>189577</v>
      </c>
      <c r="I16" s="165" t="s">
        <v>174</v>
      </c>
      <c r="J16" s="98">
        <f aca="true" t="shared" si="2" ref="J16:J25">C16+D16-H16</f>
        <v>2457</v>
      </c>
      <c r="K16" s="98"/>
      <c r="L16" s="168">
        <f>C16+D16-H16-J16</f>
        <v>0</v>
      </c>
    </row>
    <row r="17" spans="1:12" s="21" customFormat="1" ht="24.75" customHeight="1">
      <c r="A17" s="77" t="s">
        <v>148</v>
      </c>
      <c r="B17" s="163" t="s">
        <v>71</v>
      </c>
      <c r="C17" s="98">
        <v>0</v>
      </c>
      <c r="D17" s="98">
        <v>11300</v>
      </c>
      <c r="E17" s="113" t="s">
        <v>174</v>
      </c>
      <c r="F17" s="164" t="s">
        <v>174</v>
      </c>
      <c r="G17" s="165" t="s">
        <v>174</v>
      </c>
      <c r="H17" s="98">
        <v>11300</v>
      </c>
      <c r="I17" s="165" t="s">
        <v>174</v>
      </c>
      <c r="J17" s="98">
        <f t="shared" si="2"/>
        <v>0</v>
      </c>
      <c r="K17" s="98"/>
      <c r="L17" s="162">
        <f>C17+D17-H17-J17</f>
        <v>0</v>
      </c>
    </row>
    <row r="18" spans="1:13" s="21" customFormat="1" ht="30" customHeight="1">
      <c r="A18" s="77" t="s">
        <v>135</v>
      </c>
      <c r="B18" s="176" t="s">
        <v>72</v>
      </c>
      <c r="C18" s="98">
        <v>550</v>
      </c>
      <c r="D18" s="98">
        <v>177915</v>
      </c>
      <c r="E18" s="113" t="s">
        <v>174</v>
      </c>
      <c r="F18" s="164" t="s">
        <v>174</v>
      </c>
      <c r="G18" s="165" t="s">
        <v>174</v>
      </c>
      <c r="H18" s="98">
        <v>177915</v>
      </c>
      <c r="I18" s="165" t="s">
        <v>174</v>
      </c>
      <c r="J18" s="98">
        <f t="shared" si="2"/>
        <v>550</v>
      </c>
      <c r="K18" s="98"/>
      <c r="L18" s="162">
        <f t="shared" si="1"/>
        <v>0</v>
      </c>
      <c r="M18" s="162" t="e">
        <f>#REF!+#REF!-#REF!-#REF!</f>
        <v>#REF!</v>
      </c>
    </row>
    <row r="19" spans="1:12" s="21" customFormat="1" ht="24.75" customHeight="1">
      <c r="A19" s="77" t="s">
        <v>152</v>
      </c>
      <c r="B19" s="170" t="s">
        <v>73</v>
      </c>
      <c r="C19" s="32">
        <v>0</v>
      </c>
      <c r="D19" s="32">
        <v>171000</v>
      </c>
      <c r="E19" s="171" t="s">
        <v>174</v>
      </c>
      <c r="F19" s="164" t="s">
        <v>174</v>
      </c>
      <c r="G19" s="165" t="s">
        <v>174</v>
      </c>
      <c r="H19" s="172">
        <v>171000</v>
      </c>
      <c r="I19" s="165" t="s">
        <v>174</v>
      </c>
      <c r="J19" s="98">
        <f t="shared" si="2"/>
        <v>0</v>
      </c>
      <c r="K19" s="32"/>
      <c r="L19" s="162">
        <f>C19+D19-H19-J19</f>
        <v>0</v>
      </c>
    </row>
    <row r="20" spans="1:12" s="21" customFormat="1" ht="24.75" customHeight="1">
      <c r="A20" s="77" t="s">
        <v>155</v>
      </c>
      <c r="B20" s="170" t="s">
        <v>74</v>
      </c>
      <c r="C20" s="32">
        <v>0</v>
      </c>
      <c r="D20" s="32">
        <v>95510</v>
      </c>
      <c r="E20" s="171" t="s">
        <v>174</v>
      </c>
      <c r="F20" s="173" t="s">
        <v>174</v>
      </c>
      <c r="G20" s="173" t="s">
        <v>174</v>
      </c>
      <c r="H20" s="32">
        <v>95510</v>
      </c>
      <c r="I20" s="173" t="s">
        <v>174</v>
      </c>
      <c r="J20" s="98">
        <f t="shared" si="2"/>
        <v>0</v>
      </c>
      <c r="K20" s="32"/>
      <c r="L20" s="162">
        <f>C20+D20-H20-J20</f>
        <v>0</v>
      </c>
    </row>
    <row r="21" spans="1:12" s="21" customFormat="1" ht="24.75" customHeight="1">
      <c r="A21" s="77" t="s">
        <v>157</v>
      </c>
      <c r="B21" s="163" t="s">
        <v>75</v>
      </c>
      <c r="C21" s="98">
        <v>9393</v>
      </c>
      <c r="D21" s="98">
        <v>195003</v>
      </c>
      <c r="E21" s="113" t="s">
        <v>174</v>
      </c>
      <c r="F21" s="173" t="s">
        <v>174</v>
      </c>
      <c r="G21" s="173" t="s">
        <v>174</v>
      </c>
      <c r="H21" s="98">
        <v>195003</v>
      </c>
      <c r="I21" s="173" t="s">
        <v>174</v>
      </c>
      <c r="J21" s="98">
        <f t="shared" si="2"/>
        <v>9393</v>
      </c>
      <c r="K21" s="98"/>
      <c r="L21" s="162">
        <f t="shared" si="1"/>
        <v>0</v>
      </c>
    </row>
    <row r="22" spans="1:12" s="21" customFormat="1" ht="24.75" customHeight="1">
      <c r="A22" s="77" t="s">
        <v>160</v>
      </c>
      <c r="B22" s="163" t="s">
        <v>76</v>
      </c>
      <c r="C22" s="98">
        <v>2000</v>
      </c>
      <c r="D22" s="98">
        <v>120310</v>
      </c>
      <c r="E22" s="113" t="s">
        <v>174</v>
      </c>
      <c r="F22" s="173" t="s">
        <v>174</v>
      </c>
      <c r="G22" s="173" t="s">
        <v>174</v>
      </c>
      <c r="H22" s="98">
        <v>120810</v>
      </c>
      <c r="I22" s="173" t="s">
        <v>174</v>
      </c>
      <c r="J22" s="98">
        <f t="shared" si="2"/>
        <v>1500</v>
      </c>
      <c r="K22" s="98"/>
      <c r="L22" s="162">
        <f t="shared" si="1"/>
        <v>0</v>
      </c>
    </row>
    <row r="23" spans="1:12" s="21" customFormat="1" ht="24.75" customHeight="1">
      <c r="A23" s="77" t="s">
        <v>560</v>
      </c>
      <c r="B23" s="163" t="s">
        <v>77</v>
      </c>
      <c r="C23" s="98">
        <v>12612</v>
      </c>
      <c r="D23" s="98">
        <v>1010</v>
      </c>
      <c r="E23" s="113" t="s">
        <v>174</v>
      </c>
      <c r="F23" s="173" t="s">
        <v>174</v>
      </c>
      <c r="G23" s="173" t="s">
        <v>174</v>
      </c>
      <c r="H23" s="98">
        <v>13622</v>
      </c>
      <c r="I23" s="173" t="s">
        <v>174</v>
      </c>
      <c r="J23" s="98">
        <f t="shared" si="2"/>
        <v>0</v>
      </c>
      <c r="K23" s="98"/>
      <c r="L23" s="162">
        <f t="shared" si="1"/>
        <v>0</v>
      </c>
    </row>
    <row r="24" spans="1:12" s="21" customFormat="1" ht="24.75" customHeight="1">
      <c r="A24" s="77" t="s">
        <v>561</v>
      </c>
      <c r="B24" s="163" t="s">
        <v>78</v>
      </c>
      <c r="C24" s="98">
        <v>11831</v>
      </c>
      <c r="D24" s="98">
        <v>185618</v>
      </c>
      <c r="E24" s="113" t="s">
        <v>174</v>
      </c>
      <c r="F24" s="173" t="s">
        <v>174</v>
      </c>
      <c r="G24" s="173" t="s">
        <v>174</v>
      </c>
      <c r="H24" s="98">
        <v>185618</v>
      </c>
      <c r="I24" s="173" t="s">
        <v>174</v>
      </c>
      <c r="J24" s="98">
        <f t="shared" si="2"/>
        <v>11831</v>
      </c>
      <c r="K24" s="98"/>
      <c r="L24" s="162">
        <f t="shared" si="1"/>
        <v>0</v>
      </c>
    </row>
    <row r="25" spans="1:12" s="21" customFormat="1" ht="24.75" customHeight="1">
      <c r="A25" s="57" t="s">
        <v>562</v>
      </c>
      <c r="B25" s="189" t="s">
        <v>79</v>
      </c>
      <c r="C25" s="58">
        <v>0</v>
      </c>
      <c r="D25" s="58">
        <v>200000</v>
      </c>
      <c r="E25" s="190" t="s">
        <v>174</v>
      </c>
      <c r="F25" s="190" t="s">
        <v>174</v>
      </c>
      <c r="G25" s="190" t="s">
        <v>174</v>
      </c>
      <c r="H25" s="58">
        <v>200000</v>
      </c>
      <c r="I25" s="190" t="s">
        <v>174</v>
      </c>
      <c r="J25" s="58">
        <f t="shared" si="2"/>
        <v>0</v>
      </c>
      <c r="K25" s="58"/>
      <c r="L25" s="162">
        <f t="shared" si="1"/>
        <v>0</v>
      </c>
    </row>
    <row r="26" spans="1:12" s="43" customFormat="1" ht="42" customHeight="1">
      <c r="A26" s="159" t="s">
        <v>150</v>
      </c>
      <c r="B26" s="160" t="s">
        <v>13</v>
      </c>
      <c r="C26" s="158">
        <f>SUM(C27,C28,C29,C30,C31,C32,C33,C34)</f>
        <v>31896</v>
      </c>
      <c r="D26" s="158">
        <f>SUM(D27,D28,D29,D30,D31,D32,D33,D34)</f>
        <v>1946621</v>
      </c>
      <c r="E26" s="157" t="s">
        <v>174</v>
      </c>
      <c r="F26" s="157" t="s">
        <v>174</v>
      </c>
      <c r="G26" s="157" t="s">
        <v>174</v>
      </c>
      <c r="H26" s="158">
        <f>SUM(H27,H28,H29,H30,H31,H32,H33,H34)</f>
        <v>1960245</v>
      </c>
      <c r="I26" s="157" t="s">
        <v>174</v>
      </c>
      <c r="J26" s="158">
        <f>SUM(J27,J28,J29,J30,J31,J32,J33,J34)</f>
        <v>18272</v>
      </c>
      <c r="K26" s="157"/>
      <c r="L26" s="169">
        <f t="shared" si="1"/>
        <v>0</v>
      </c>
    </row>
    <row r="27" spans="1:12" s="21" customFormat="1" ht="24.75" customHeight="1">
      <c r="A27" s="77" t="s">
        <v>146</v>
      </c>
      <c r="B27" s="191" t="s">
        <v>81</v>
      </c>
      <c r="C27" s="98">
        <v>0</v>
      </c>
      <c r="D27" s="98">
        <v>404200</v>
      </c>
      <c r="E27" s="113" t="s">
        <v>174</v>
      </c>
      <c r="F27" s="171" t="s">
        <v>174</v>
      </c>
      <c r="G27" s="171" t="s">
        <v>174</v>
      </c>
      <c r="H27" s="98">
        <v>404200</v>
      </c>
      <c r="I27" s="171" t="s">
        <v>174</v>
      </c>
      <c r="J27" s="98">
        <f>C27+D27-H27</f>
        <v>0</v>
      </c>
      <c r="K27" s="113"/>
      <c r="L27" s="162"/>
    </row>
    <row r="28" spans="1:12" s="21" customFormat="1" ht="24.75" customHeight="1">
      <c r="A28" s="77" t="s">
        <v>147</v>
      </c>
      <c r="B28" s="191" t="s">
        <v>80</v>
      </c>
      <c r="C28" s="98">
        <v>0</v>
      </c>
      <c r="D28" s="98">
        <v>300000</v>
      </c>
      <c r="E28" s="113" t="s">
        <v>174</v>
      </c>
      <c r="F28" s="171" t="s">
        <v>174</v>
      </c>
      <c r="G28" s="171" t="s">
        <v>174</v>
      </c>
      <c r="H28" s="98">
        <v>300000</v>
      </c>
      <c r="I28" s="171" t="s">
        <v>174</v>
      </c>
      <c r="J28" s="98">
        <f aca="true" t="shared" si="3" ref="J28:J34">C28+D28-H28</f>
        <v>0</v>
      </c>
      <c r="K28" s="113"/>
      <c r="L28" s="162"/>
    </row>
    <row r="29" spans="1:12" s="21" customFormat="1" ht="29.25" customHeight="1">
      <c r="A29" s="30" t="s">
        <v>148</v>
      </c>
      <c r="B29" s="185" t="s">
        <v>82</v>
      </c>
      <c r="C29" s="32">
        <v>0</v>
      </c>
      <c r="D29" s="32">
        <v>44502</v>
      </c>
      <c r="E29" s="171" t="s">
        <v>174</v>
      </c>
      <c r="F29" s="171" t="s">
        <v>174</v>
      </c>
      <c r="G29" s="171" t="s">
        <v>174</v>
      </c>
      <c r="H29" s="32">
        <v>44502</v>
      </c>
      <c r="I29" s="171" t="s">
        <v>174</v>
      </c>
      <c r="J29" s="98">
        <f t="shared" si="3"/>
        <v>0</v>
      </c>
      <c r="K29" s="32"/>
      <c r="L29" s="162">
        <f t="shared" si="1"/>
        <v>0</v>
      </c>
    </row>
    <row r="30" spans="1:12" s="21" customFormat="1" ht="28.5" customHeight="1">
      <c r="A30" s="77" t="s">
        <v>135</v>
      </c>
      <c r="B30" s="186" t="s">
        <v>83</v>
      </c>
      <c r="C30" s="64">
        <v>27023</v>
      </c>
      <c r="D30" s="64">
        <v>11942</v>
      </c>
      <c r="E30" s="184" t="s">
        <v>174</v>
      </c>
      <c r="F30" s="113" t="s">
        <v>174</v>
      </c>
      <c r="G30" s="113" t="s">
        <v>174</v>
      </c>
      <c r="H30" s="64">
        <v>20842</v>
      </c>
      <c r="I30" s="113" t="s">
        <v>174</v>
      </c>
      <c r="J30" s="98">
        <f t="shared" si="3"/>
        <v>18123</v>
      </c>
      <c r="K30" s="64"/>
      <c r="L30" s="162">
        <f t="shared" si="1"/>
        <v>0</v>
      </c>
    </row>
    <row r="31" spans="1:12" s="21" customFormat="1" ht="24.75" customHeight="1">
      <c r="A31" s="77" t="s">
        <v>152</v>
      </c>
      <c r="B31" s="187" t="s">
        <v>84</v>
      </c>
      <c r="C31" s="62">
        <v>0</v>
      </c>
      <c r="D31" s="62">
        <v>360015</v>
      </c>
      <c r="E31" s="173" t="s">
        <v>174</v>
      </c>
      <c r="F31" s="171" t="s">
        <v>174</v>
      </c>
      <c r="G31" s="171" t="s">
        <v>174</v>
      </c>
      <c r="H31" s="62">
        <v>360015</v>
      </c>
      <c r="I31" s="171" t="s">
        <v>174</v>
      </c>
      <c r="J31" s="98">
        <f t="shared" si="3"/>
        <v>0</v>
      </c>
      <c r="K31" s="62"/>
      <c r="L31" s="162">
        <f t="shared" si="1"/>
        <v>0</v>
      </c>
    </row>
    <row r="32" spans="1:12" s="21" customFormat="1" ht="29.25" customHeight="1">
      <c r="A32" s="77" t="s">
        <v>155</v>
      </c>
      <c r="B32" s="188" t="s">
        <v>85</v>
      </c>
      <c r="C32" s="62">
        <v>0</v>
      </c>
      <c r="D32" s="62">
        <v>395000</v>
      </c>
      <c r="E32" s="173" t="s">
        <v>174</v>
      </c>
      <c r="F32" s="171" t="s">
        <v>174</v>
      </c>
      <c r="G32" s="171" t="s">
        <v>174</v>
      </c>
      <c r="H32" s="62">
        <v>395000</v>
      </c>
      <c r="I32" s="171" t="s">
        <v>174</v>
      </c>
      <c r="J32" s="98">
        <f t="shared" si="3"/>
        <v>0</v>
      </c>
      <c r="K32" s="62"/>
      <c r="L32" s="162"/>
    </row>
    <row r="33" spans="1:12" s="21" customFormat="1" ht="29.25" customHeight="1">
      <c r="A33" s="77" t="s">
        <v>157</v>
      </c>
      <c r="B33" s="188" t="s">
        <v>86</v>
      </c>
      <c r="C33" s="62">
        <v>4724</v>
      </c>
      <c r="D33" s="62">
        <v>5962</v>
      </c>
      <c r="E33" s="173" t="s">
        <v>174</v>
      </c>
      <c r="F33" s="171" t="s">
        <v>174</v>
      </c>
      <c r="G33" s="171" t="s">
        <v>174</v>
      </c>
      <c r="H33" s="62">
        <v>10686</v>
      </c>
      <c r="I33" s="171" t="s">
        <v>174</v>
      </c>
      <c r="J33" s="98">
        <f t="shared" si="3"/>
        <v>0</v>
      </c>
      <c r="K33" s="62"/>
      <c r="L33" s="162"/>
    </row>
    <row r="34" spans="1:12" s="21" customFormat="1" ht="24.75" customHeight="1">
      <c r="A34" s="57" t="s">
        <v>160</v>
      </c>
      <c r="B34" s="189" t="s">
        <v>87</v>
      </c>
      <c r="C34" s="58">
        <v>149</v>
      </c>
      <c r="D34" s="58">
        <v>425000</v>
      </c>
      <c r="E34" s="190" t="s">
        <v>174</v>
      </c>
      <c r="F34" s="190" t="s">
        <v>174</v>
      </c>
      <c r="G34" s="190" t="s">
        <v>174</v>
      </c>
      <c r="H34" s="58">
        <v>425000</v>
      </c>
      <c r="I34" s="190" t="s">
        <v>174</v>
      </c>
      <c r="J34" s="58">
        <f t="shared" si="3"/>
        <v>149</v>
      </c>
      <c r="K34" s="58"/>
      <c r="L34" s="162"/>
    </row>
    <row r="35" spans="1:12" s="21" customFormat="1" ht="31.5" customHeight="1">
      <c r="A35" s="479" t="s">
        <v>12</v>
      </c>
      <c r="B35" s="480"/>
      <c r="C35" s="68">
        <f>C26+C14</f>
        <v>86149</v>
      </c>
      <c r="D35" s="68">
        <f>D26+D14</f>
        <v>3818454</v>
      </c>
      <c r="E35" s="161" t="s">
        <v>174</v>
      </c>
      <c r="F35" s="161" t="s">
        <v>174</v>
      </c>
      <c r="G35" s="161" t="s">
        <v>174</v>
      </c>
      <c r="H35" s="68">
        <f>H26+H14</f>
        <v>3860600</v>
      </c>
      <c r="I35" s="161" t="s">
        <v>174</v>
      </c>
      <c r="J35" s="68">
        <f>J26+J14</f>
        <v>44003</v>
      </c>
      <c r="K35" s="68">
        <f>K26+K14</f>
        <v>0</v>
      </c>
      <c r="L35" s="168"/>
    </row>
    <row r="36" spans="1:12" s="43" customFormat="1" ht="24" customHeight="1">
      <c r="A36" s="484" t="s">
        <v>217</v>
      </c>
      <c r="B36" s="484"/>
      <c r="C36" s="33">
        <f>C26+C14+C10</f>
        <v>963620</v>
      </c>
      <c r="D36" s="33">
        <f>D26+D14+D10</f>
        <v>27818862</v>
      </c>
      <c r="E36" s="33">
        <f>SUM(E10)</f>
        <v>8358152</v>
      </c>
      <c r="F36" s="33">
        <f>F10</f>
        <v>6633152</v>
      </c>
      <c r="G36" s="33">
        <f>G10</f>
        <v>1725000</v>
      </c>
      <c r="H36" s="33">
        <f>H26+H14+H10</f>
        <v>28337308</v>
      </c>
      <c r="I36" s="114" t="s">
        <v>174</v>
      </c>
      <c r="J36" s="33">
        <f>J26+J14+J10</f>
        <v>445174</v>
      </c>
      <c r="K36" s="33"/>
      <c r="L36" s="168">
        <f t="shared" si="1"/>
        <v>0</v>
      </c>
    </row>
    <row r="37" ht="4.5" customHeight="1">
      <c r="L37" s="168">
        <f t="shared" si="1"/>
        <v>0</v>
      </c>
    </row>
    <row r="38" spans="1:12" ht="12.75" customHeight="1">
      <c r="A38" s="13"/>
      <c r="B38" s="14"/>
      <c r="L38" s="168">
        <f t="shared" si="1"/>
        <v>0</v>
      </c>
    </row>
    <row r="39" spans="1:2" ht="12.75">
      <c r="A39" s="13"/>
      <c r="B39" s="14"/>
    </row>
    <row r="40" spans="1:2" ht="12.75">
      <c r="A40" s="13"/>
      <c r="B40" s="14"/>
    </row>
    <row r="41" spans="1:2" ht="12.75">
      <c r="A41" s="13"/>
      <c r="B41" s="14"/>
    </row>
  </sheetData>
  <sheetProtection password="CF53" sheet="1" formatCells="0" formatColumns="0" formatRows="0" insertColumns="0" insertRows="0" insertHyperlinks="0" deleteColumns="0" deleteRows="0" sort="0" autoFilter="0" pivotTables="0"/>
  <mergeCells count="17">
    <mergeCell ref="A36:B36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A35:B35"/>
    <mergeCell ref="E6:G6"/>
    <mergeCell ref="F7:G7"/>
    <mergeCell ref="K5:K8"/>
    <mergeCell ref="H6:H8"/>
    <mergeCell ref="I6:I8"/>
    <mergeCell ref="J5:J8"/>
  </mergeCells>
  <printOptions horizontalCentered="1" verticalCentered="1"/>
  <pageMargins left="0.7874015748031497" right="0.5118110236220472" top="0.9055118110236221" bottom="0.6299212598425197" header="0.5118110236220472" footer="0.5118110236220472"/>
  <pageSetup horizontalDpi="600" verticalDpi="600" orientation="landscape" paperSize="9" scale="85" r:id="rId1"/>
  <headerFooter alignWithMargins="0">
    <oddHeader xml:space="preserve">&amp;R&amp;9Załącznik nr &amp;A
do uchwały Nr XLVII/394/2008   
Rady Miasta Świnoujścia
z dnia 19 grudnia 2008 roku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J31"/>
  <sheetViews>
    <sheetView view="pageBreakPreview" zoomScaleSheetLayoutView="100" zoomScalePageLayoutView="0" workbookViewId="0" topLeftCell="A12">
      <selection activeCell="C5" sqref="C5"/>
    </sheetView>
  </sheetViews>
  <sheetFormatPr defaultColWidth="9.00390625" defaultRowHeight="12.75"/>
  <cols>
    <col min="1" max="1" width="5.625" style="9" bestFit="1" customWidth="1"/>
    <col min="2" max="2" width="63.125" style="9" customWidth="1"/>
    <col min="3" max="3" width="17.75390625" style="9" customWidth="1"/>
    <col min="4" max="16384" width="9.125" style="9" customWidth="1"/>
  </cols>
  <sheetData>
    <row r="1" spans="1:10" s="22" customFormat="1" ht="19.5" customHeight="1">
      <c r="A1" s="375" t="s">
        <v>165</v>
      </c>
      <c r="B1" s="375"/>
      <c r="C1" s="375"/>
      <c r="D1" s="20"/>
      <c r="E1" s="20"/>
      <c r="F1" s="20"/>
      <c r="G1" s="20"/>
      <c r="H1" s="20"/>
      <c r="I1" s="20"/>
      <c r="J1" s="20"/>
    </row>
    <row r="2" spans="1:7" s="22" customFormat="1" ht="19.5" customHeight="1">
      <c r="A2" s="375" t="s">
        <v>644</v>
      </c>
      <c r="B2" s="375"/>
      <c r="C2" s="375"/>
      <c r="D2" s="20"/>
      <c r="E2" s="20"/>
      <c r="F2" s="20"/>
      <c r="G2" s="20"/>
    </row>
    <row r="3" s="22" customFormat="1" ht="12.75"/>
    <row r="4" spans="1:3" s="22" customFormat="1" ht="12.75">
      <c r="A4" s="44" t="s">
        <v>610</v>
      </c>
      <c r="B4" s="44"/>
      <c r="C4" s="70" t="s">
        <v>168</v>
      </c>
    </row>
    <row r="5" spans="1:10" s="22" customFormat="1" ht="19.5" customHeight="1">
      <c r="A5" s="69" t="s">
        <v>182</v>
      </c>
      <c r="B5" s="69" t="s">
        <v>134</v>
      </c>
      <c r="C5" s="69" t="s">
        <v>722</v>
      </c>
      <c r="D5" s="124"/>
      <c r="E5" s="124"/>
      <c r="F5" s="124"/>
      <c r="G5" s="124"/>
      <c r="H5" s="124"/>
      <c r="I5" s="125"/>
      <c r="J5" s="125"/>
    </row>
    <row r="6" spans="1:10" s="22" customFormat="1" ht="19.5" customHeight="1">
      <c r="A6" s="100" t="s">
        <v>145</v>
      </c>
      <c r="B6" s="126" t="s">
        <v>184</v>
      </c>
      <c r="C6" s="33">
        <v>203681</v>
      </c>
      <c r="D6" s="124"/>
      <c r="E6" s="124"/>
      <c r="F6" s="124"/>
      <c r="G6" s="124"/>
      <c r="H6" s="124"/>
      <c r="I6" s="125"/>
      <c r="J6" s="125"/>
    </row>
    <row r="7" spans="1:10" s="22" customFormat="1" ht="19.5" customHeight="1">
      <c r="A7" s="100" t="s">
        <v>149</v>
      </c>
      <c r="B7" s="126" t="s">
        <v>144</v>
      </c>
      <c r="C7" s="33">
        <f>C8+C9+C10</f>
        <v>2316000</v>
      </c>
      <c r="D7" s="124"/>
      <c r="E7" s="124"/>
      <c r="F7" s="124"/>
      <c r="G7" s="124"/>
      <c r="H7" s="124"/>
      <c r="I7" s="125"/>
      <c r="J7" s="125"/>
    </row>
    <row r="8" spans="1:10" s="145" customFormat="1" ht="19.5" customHeight="1">
      <c r="A8" s="328" t="s">
        <v>227</v>
      </c>
      <c r="B8" s="147" t="s">
        <v>228</v>
      </c>
      <c r="C8" s="148">
        <v>2300000</v>
      </c>
      <c r="D8" s="143"/>
      <c r="E8" s="143"/>
      <c r="F8" s="143"/>
      <c r="G8" s="143"/>
      <c r="H8" s="143"/>
      <c r="I8" s="144"/>
      <c r="J8" s="144"/>
    </row>
    <row r="9" spans="1:10" s="145" customFormat="1" ht="19.5" customHeight="1">
      <c r="A9" s="329" t="s">
        <v>254</v>
      </c>
      <c r="B9" s="141" t="s">
        <v>255</v>
      </c>
      <c r="C9" s="142">
        <v>15000</v>
      </c>
      <c r="D9" s="143"/>
      <c r="E9" s="143"/>
      <c r="F9" s="143"/>
      <c r="G9" s="143"/>
      <c r="H9" s="143"/>
      <c r="I9" s="144"/>
      <c r="J9" s="144"/>
    </row>
    <row r="10" spans="1:10" s="145" customFormat="1" ht="19.5" customHeight="1">
      <c r="A10" s="330" t="s">
        <v>612</v>
      </c>
      <c r="B10" s="331" t="s">
        <v>399</v>
      </c>
      <c r="C10" s="332">
        <v>1000</v>
      </c>
      <c r="D10" s="143"/>
      <c r="E10" s="143"/>
      <c r="F10" s="143"/>
      <c r="G10" s="143"/>
      <c r="H10" s="143"/>
      <c r="I10" s="144"/>
      <c r="J10" s="144"/>
    </row>
    <row r="11" spans="1:10" s="22" customFormat="1" ht="19.5" customHeight="1">
      <c r="A11" s="100" t="s">
        <v>150</v>
      </c>
      <c r="B11" s="126" t="s">
        <v>143</v>
      </c>
      <c r="C11" s="33">
        <f>C12+C19</f>
        <v>2372000</v>
      </c>
      <c r="D11" s="124"/>
      <c r="E11" s="124"/>
      <c r="F11" s="124"/>
      <c r="G11" s="124"/>
      <c r="H11" s="124"/>
      <c r="I11" s="125"/>
      <c r="J11" s="125"/>
    </row>
    <row r="12" spans="1:10" s="22" customFormat="1" ht="27" customHeight="1">
      <c r="A12" s="27" t="s">
        <v>174</v>
      </c>
      <c r="B12" s="129" t="s">
        <v>163</v>
      </c>
      <c r="C12" s="29">
        <f>SUM(C13,C14,C15,C16,C17,C18)</f>
        <v>556000</v>
      </c>
      <c r="D12" s="124"/>
      <c r="E12" s="124"/>
      <c r="F12" s="124"/>
      <c r="G12" s="124"/>
      <c r="H12" s="124"/>
      <c r="I12" s="125"/>
      <c r="J12" s="125"/>
    </row>
    <row r="13" spans="1:10" s="34" customFormat="1" ht="30.75" customHeight="1">
      <c r="A13" s="130">
        <v>2440</v>
      </c>
      <c r="B13" s="131" t="s">
        <v>400</v>
      </c>
      <c r="C13" s="132">
        <v>20000</v>
      </c>
      <c r="D13" s="133"/>
      <c r="E13" s="133"/>
      <c r="F13" s="133"/>
      <c r="G13" s="133"/>
      <c r="H13" s="133"/>
      <c r="I13" s="134"/>
      <c r="J13" s="134"/>
    </row>
    <row r="14" spans="1:10" s="34" customFormat="1" ht="33" customHeight="1">
      <c r="A14" s="130">
        <v>2450</v>
      </c>
      <c r="B14" s="131" t="s">
        <v>401</v>
      </c>
      <c r="C14" s="132">
        <v>40000</v>
      </c>
      <c r="D14" s="133"/>
      <c r="E14" s="133"/>
      <c r="F14" s="133"/>
      <c r="G14" s="133"/>
      <c r="H14" s="133"/>
      <c r="I14" s="134"/>
      <c r="J14" s="134"/>
    </row>
    <row r="15" spans="1:10" s="34" customFormat="1" ht="19.5" customHeight="1">
      <c r="A15" s="130">
        <v>4210</v>
      </c>
      <c r="B15" s="135" t="s">
        <v>402</v>
      </c>
      <c r="C15" s="132">
        <v>35000</v>
      </c>
      <c r="D15" s="133"/>
      <c r="E15" s="133"/>
      <c r="F15" s="133"/>
      <c r="G15" s="133"/>
      <c r="H15" s="133"/>
      <c r="I15" s="134"/>
      <c r="J15" s="134"/>
    </row>
    <row r="16" spans="1:10" s="34" customFormat="1" ht="18" customHeight="1">
      <c r="A16" s="130">
        <v>4240</v>
      </c>
      <c r="B16" s="135" t="s">
        <v>403</v>
      </c>
      <c r="C16" s="132">
        <v>1000</v>
      </c>
      <c r="D16" s="133"/>
      <c r="E16" s="133"/>
      <c r="F16" s="133"/>
      <c r="G16" s="133"/>
      <c r="H16" s="133"/>
      <c r="I16" s="134"/>
      <c r="J16" s="134"/>
    </row>
    <row r="17" spans="1:10" s="34" customFormat="1" ht="17.25" customHeight="1">
      <c r="A17" s="130">
        <v>4300</v>
      </c>
      <c r="B17" s="135" t="s">
        <v>398</v>
      </c>
      <c r="C17" s="132">
        <v>360000</v>
      </c>
      <c r="D17" s="133"/>
      <c r="E17" s="133"/>
      <c r="F17" s="133"/>
      <c r="G17" s="133"/>
      <c r="H17" s="133"/>
      <c r="I17" s="134"/>
      <c r="J17" s="134"/>
    </row>
    <row r="18" spans="1:10" s="34" customFormat="1" ht="18.75" customHeight="1">
      <c r="A18" s="130">
        <v>4390</v>
      </c>
      <c r="B18" s="135" t="s">
        <v>618</v>
      </c>
      <c r="C18" s="132">
        <v>100000</v>
      </c>
      <c r="D18" s="133"/>
      <c r="E18" s="133"/>
      <c r="F18" s="133"/>
      <c r="G18" s="133"/>
      <c r="H18" s="133"/>
      <c r="I18" s="134"/>
      <c r="J18" s="134"/>
    </row>
    <row r="19" spans="1:10" s="22" customFormat="1" ht="25.5" customHeight="1">
      <c r="A19" s="30" t="s">
        <v>174</v>
      </c>
      <c r="B19" s="128" t="s">
        <v>166</v>
      </c>
      <c r="C19" s="32">
        <f>C20</f>
        <v>1816000</v>
      </c>
      <c r="D19" s="124"/>
      <c r="E19" s="124"/>
      <c r="F19" s="124"/>
      <c r="G19" s="124"/>
      <c r="H19" s="124"/>
      <c r="I19" s="125"/>
      <c r="J19" s="125"/>
    </row>
    <row r="20" spans="1:10" s="34" customFormat="1" ht="19.5" customHeight="1">
      <c r="A20" s="130">
        <v>6110</v>
      </c>
      <c r="B20" s="131" t="s">
        <v>404</v>
      </c>
      <c r="C20" s="132">
        <v>1816000</v>
      </c>
      <c r="D20" s="133"/>
      <c r="E20" s="133"/>
      <c r="F20" s="133"/>
      <c r="G20" s="133"/>
      <c r="H20" s="133"/>
      <c r="I20" s="134"/>
      <c r="J20" s="134"/>
    </row>
    <row r="21" spans="1:10" s="22" customFormat="1" ht="19.5" customHeight="1">
      <c r="A21" s="100" t="s">
        <v>164</v>
      </c>
      <c r="B21" s="126" t="s">
        <v>186</v>
      </c>
      <c r="C21" s="33">
        <f>SUM(C6+C7-C11)</f>
        <v>147681</v>
      </c>
      <c r="D21" s="124"/>
      <c r="E21" s="124"/>
      <c r="F21" s="124"/>
      <c r="G21" s="124"/>
      <c r="H21" s="124"/>
      <c r="I21" s="125"/>
      <c r="J21" s="125"/>
    </row>
    <row r="22" spans="1:10" ht="15">
      <c r="A22" s="15"/>
      <c r="B22" s="15"/>
      <c r="C22" s="15"/>
      <c r="D22" s="15"/>
      <c r="E22" s="15"/>
      <c r="F22" s="15"/>
      <c r="G22" s="15"/>
      <c r="H22" s="15"/>
      <c r="I22" s="16"/>
      <c r="J22" s="16"/>
    </row>
    <row r="23" spans="1:10" ht="15">
      <c r="A23" s="15"/>
      <c r="B23" s="15"/>
      <c r="C23" s="15"/>
      <c r="D23" s="15"/>
      <c r="E23" s="15"/>
      <c r="F23" s="15"/>
      <c r="G23" s="15"/>
      <c r="H23" s="15"/>
      <c r="I23" s="16"/>
      <c r="J23" s="16"/>
    </row>
    <row r="24" spans="1:10" ht="15">
      <c r="A24" s="15"/>
      <c r="B24" s="15"/>
      <c r="C24" s="15"/>
      <c r="D24" s="15"/>
      <c r="E24" s="15"/>
      <c r="F24" s="15"/>
      <c r="G24" s="15"/>
      <c r="H24" s="15"/>
      <c r="I24" s="16"/>
      <c r="J24" s="16"/>
    </row>
    <row r="25" spans="1:10" ht="15">
      <c r="A25" s="15"/>
      <c r="B25" s="15"/>
      <c r="C25" s="15"/>
      <c r="D25" s="15"/>
      <c r="E25" s="15"/>
      <c r="F25" s="15"/>
      <c r="G25" s="15"/>
      <c r="H25" s="15"/>
      <c r="I25" s="16"/>
      <c r="J25" s="16"/>
    </row>
    <row r="26" spans="1:10" ht="15">
      <c r="A26" s="15"/>
      <c r="B26" s="15"/>
      <c r="C26" s="15"/>
      <c r="D26" s="15"/>
      <c r="E26" s="15"/>
      <c r="F26" s="15"/>
      <c r="G26" s="15"/>
      <c r="H26" s="15"/>
      <c r="I26" s="16"/>
      <c r="J26" s="16"/>
    </row>
    <row r="27" spans="1:10" ht="15">
      <c r="A27" s="15"/>
      <c r="B27" s="15"/>
      <c r="C27" s="15"/>
      <c r="D27" s="15"/>
      <c r="E27" s="15"/>
      <c r="F27" s="15"/>
      <c r="G27" s="15"/>
      <c r="H27" s="15"/>
      <c r="I27" s="16"/>
      <c r="J27" s="16"/>
    </row>
    <row r="28" spans="1:10" ht="15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5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5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5">
      <c r="A31" s="16"/>
      <c r="B31" s="16"/>
      <c r="C31" s="16"/>
      <c r="D31" s="16"/>
      <c r="E31" s="16"/>
      <c r="F31" s="16"/>
      <c r="G31" s="16"/>
      <c r="H31" s="16"/>
      <c r="I31" s="16"/>
      <c r="J31" s="16"/>
    </row>
  </sheetData>
  <sheetProtection password="CF53" sheet="1" formatCells="0" formatColumns="0" formatRows="0" insertColumns="0" insertRows="0" insertHyperlinks="0" deleteColumns="0" deleteRows="0" sort="0" autoFilter="0" pivotTables="0"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&amp;A
 do uchwały Nr XLVII/394/2008 
Rady Miasta Świnoujścia
z dnia 19 grudnia 2008 roku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J26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5.25390625" style="9" bestFit="1" customWidth="1"/>
    <col min="2" max="2" width="63.125" style="9" customWidth="1"/>
    <col min="3" max="3" width="17.75390625" style="9" customWidth="1"/>
    <col min="4" max="16384" width="9.125" style="9" customWidth="1"/>
  </cols>
  <sheetData>
    <row r="1" spans="1:10" s="22" customFormat="1" ht="19.5" customHeight="1">
      <c r="A1" s="375" t="s">
        <v>215</v>
      </c>
      <c r="B1" s="375"/>
      <c r="C1" s="375"/>
      <c r="D1" s="20"/>
      <c r="E1" s="20"/>
      <c r="F1" s="20"/>
      <c r="G1" s="20"/>
      <c r="H1" s="20"/>
      <c r="I1" s="20"/>
      <c r="J1" s="20"/>
    </row>
    <row r="2" spans="1:7" s="22" customFormat="1" ht="19.5" customHeight="1">
      <c r="A2" s="375" t="s">
        <v>644</v>
      </c>
      <c r="B2" s="375"/>
      <c r="C2" s="375"/>
      <c r="D2" s="20"/>
      <c r="E2" s="20"/>
      <c r="F2" s="20"/>
      <c r="G2" s="20"/>
    </row>
    <row r="3" s="22" customFormat="1" ht="12.75"/>
    <row r="4" spans="1:3" s="44" customFormat="1" ht="18" customHeight="1">
      <c r="A4" s="44" t="s">
        <v>610</v>
      </c>
      <c r="C4" s="123" t="s">
        <v>168</v>
      </c>
    </row>
    <row r="5" spans="1:10" s="22" customFormat="1" ht="19.5" customHeight="1">
      <c r="A5" s="69" t="s">
        <v>182</v>
      </c>
      <c r="B5" s="69" t="s">
        <v>134</v>
      </c>
      <c r="C5" s="69" t="s">
        <v>722</v>
      </c>
      <c r="D5" s="124"/>
      <c r="E5" s="124"/>
      <c r="F5" s="124"/>
      <c r="G5" s="124"/>
      <c r="H5" s="124"/>
      <c r="I5" s="125"/>
      <c r="J5" s="125"/>
    </row>
    <row r="6" spans="1:10" s="22" customFormat="1" ht="19.5" customHeight="1">
      <c r="A6" s="100" t="s">
        <v>145</v>
      </c>
      <c r="B6" s="126" t="s">
        <v>184</v>
      </c>
      <c r="C6" s="136">
        <v>300</v>
      </c>
      <c r="D6" s="124"/>
      <c r="E6" s="124"/>
      <c r="F6" s="124"/>
      <c r="G6" s="124"/>
      <c r="H6" s="124"/>
      <c r="I6" s="125"/>
      <c r="J6" s="125"/>
    </row>
    <row r="7" spans="1:10" s="22" customFormat="1" ht="19.5" customHeight="1">
      <c r="A7" s="100" t="s">
        <v>149</v>
      </c>
      <c r="B7" s="126" t="s">
        <v>144</v>
      </c>
      <c r="C7" s="136">
        <f>SUM(C8,C9)</f>
        <v>201000</v>
      </c>
      <c r="D7" s="124"/>
      <c r="E7" s="124"/>
      <c r="F7" s="124"/>
      <c r="G7" s="124"/>
      <c r="H7" s="124"/>
      <c r="I7" s="125"/>
      <c r="J7" s="125"/>
    </row>
    <row r="8" spans="1:10" s="145" customFormat="1" ht="19.5" customHeight="1">
      <c r="A8" s="328" t="s">
        <v>227</v>
      </c>
      <c r="B8" s="147" t="s">
        <v>228</v>
      </c>
      <c r="C8" s="333">
        <v>200000</v>
      </c>
      <c r="D8" s="143"/>
      <c r="E8" s="143"/>
      <c r="F8" s="143"/>
      <c r="G8" s="143"/>
      <c r="H8" s="143"/>
      <c r="I8" s="144"/>
      <c r="J8" s="144"/>
    </row>
    <row r="9" spans="1:10" s="145" customFormat="1" ht="19.5" customHeight="1">
      <c r="A9" s="334" t="s">
        <v>254</v>
      </c>
      <c r="B9" s="141" t="s">
        <v>255</v>
      </c>
      <c r="C9" s="335">
        <v>1000</v>
      </c>
      <c r="D9" s="143"/>
      <c r="E9" s="143"/>
      <c r="F9" s="143"/>
      <c r="G9" s="143"/>
      <c r="H9" s="143"/>
      <c r="I9" s="144"/>
      <c r="J9" s="144"/>
    </row>
    <row r="10" spans="1:10" s="22" customFormat="1" ht="19.5" customHeight="1">
      <c r="A10" s="100" t="s">
        <v>150</v>
      </c>
      <c r="B10" s="126" t="s">
        <v>143</v>
      </c>
      <c r="C10" s="136">
        <f>C11</f>
        <v>200000</v>
      </c>
      <c r="D10" s="124"/>
      <c r="E10" s="124"/>
      <c r="F10" s="124"/>
      <c r="G10" s="124"/>
      <c r="H10" s="124"/>
      <c r="I10" s="125"/>
      <c r="J10" s="125"/>
    </row>
    <row r="11" spans="1:10" s="22" customFormat="1" ht="19.5" customHeight="1">
      <c r="A11" s="27" t="s">
        <v>174</v>
      </c>
      <c r="B11" s="129" t="s">
        <v>163</v>
      </c>
      <c r="C11" s="137">
        <f>SUM(C12,C13,C14,C15)</f>
        <v>200000</v>
      </c>
      <c r="D11" s="124"/>
      <c r="E11" s="124"/>
      <c r="F11" s="124"/>
      <c r="G11" s="124"/>
      <c r="H11" s="124"/>
      <c r="I11" s="125"/>
      <c r="J11" s="125"/>
    </row>
    <row r="12" spans="1:10" s="34" customFormat="1" ht="33.75" customHeight="1">
      <c r="A12" s="138" t="s">
        <v>606</v>
      </c>
      <c r="B12" s="131" t="s">
        <v>723</v>
      </c>
      <c r="C12" s="139">
        <v>52700</v>
      </c>
      <c r="D12" s="133"/>
      <c r="E12" s="133"/>
      <c r="F12" s="133"/>
      <c r="G12" s="133"/>
      <c r="H12" s="133"/>
      <c r="I12" s="134"/>
      <c r="J12" s="134"/>
    </row>
    <row r="13" spans="1:10" s="34" customFormat="1" ht="31.5" customHeight="1">
      <c r="A13" s="138" t="s">
        <v>607</v>
      </c>
      <c r="B13" s="131" t="s">
        <v>724</v>
      </c>
      <c r="C13" s="139">
        <v>60000</v>
      </c>
      <c r="D13" s="133"/>
      <c r="E13" s="133"/>
      <c r="F13" s="133"/>
      <c r="G13" s="133"/>
      <c r="H13" s="133"/>
      <c r="I13" s="134"/>
      <c r="J13" s="134"/>
    </row>
    <row r="14" spans="1:10" s="34" customFormat="1" ht="21.75" customHeight="1" hidden="1">
      <c r="A14" s="138" t="s">
        <v>608</v>
      </c>
      <c r="B14" s="131" t="s">
        <v>402</v>
      </c>
      <c r="C14" s="139">
        <v>0</v>
      </c>
      <c r="D14" s="133"/>
      <c r="E14" s="133"/>
      <c r="F14" s="133"/>
      <c r="G14" s="133"/>
      <c r="H14" s="133"/>
      <c r="I14" s="134"/>
      <c r="J14" s="134"/>
    </row>
    <row r="15" spans="1:10" s="34" customFormat="1" ht="20.25" customHeight="1">
      <c r="A15" s="138" t="s">
        <v>609</v>
      </c>
      <c r="B15" s="135" t="s">
        <v>398</v>
      </c>
      <c r="C15" s="139">
        <v>87300</v>
      </c>
      <c r="D15" s="133"/>
      <c r="E15" s="133"/>
      <c r="F15" s="133"/>
      <c r="G15" s="133"/>
      <c r="H15" s="133"/>
      <c r="I15" s="134"/>
      <c r="J15" s="134"/>
    </row>
    <row r="16" spans="1:10" s="22" customFormat="1" ht="19.5" customHeight="1">
      <c r="A16" s="100" t="s">
        <v>164</v>
      </c>
      <c r="B16" s="126" t="s">
        <v>186</v>
      </c>
      <c r="C16" s="136">
        <f>C6+C7-C10</f>
        <v>1300</v>
      </c>
      <c r="D16" s="124"/>
      <c r="E16" s="124"/>
      <c r="F16" s="124"/>
      <c r="G16" s="124"/>
      <c r="H16" s="124"/>
      <c r="I16" s="125"/>
      <c r="J16" s="125"/>
    </row>
    <row r="17" spans="1:10" ht="15">
      <c r="A17" s="15"/>
      <c r="B17" s="15"/>
      <c r="C17" s="15"/>
      <c r="D17" s="15"/>
      <c r="E17" s="15"/>
      <c r="F17" s="15"/>
      <c r="G17" s="15"/>
      <c r="H17" s="15"/>
      <c r="I17" s="16"/>
      <c r="J17" s="16"/>
    </row>
    <row r="18" spans="1:10" ht="15">
      <c r="A18" s="15"/>
      <c r="B18" s="15"/>
      <c r="C18" s="15"/>
      <c r="D18" s="15"/>
      <c r="E18" s="15"/>
      <c r="F18" s="15"/>
      <c r="G18" s="15"/>
      <c r="H18" s="15"/>
      <c r="I18" s="16"/>
      <c r="J18" s="16"/>
    </row>
    <row r="19" spans="1:10" ht="15">
      <c r="A19" s="15"/>
      <c r="B19" s="15"/>
      <c r="C19" s="15"/>
      <c r="D19" s="15"/>
      <c r="E19" s="15"/>
      <c r="F19" s="15"/>
      <c r="G19" s="15"/>
      <c r="H19" s="15"/>
      <c r="I19" s="16"/>
      <c r="J19" s="16"/>
    </row>
    <row r="20" spans="1:10" ht="15">
      <c r="A20" s="15"/>
      <c r="B20" s="15"/>
      <c r="C20" s="15"/>
      <c r="D20" s="15"/>
      <c r="E20" s="15"/>
      <c r="F20" s="15"/>
      <c r="G20" s="15"/>
      <c r="H20" s="15"/>
      <c r="I20" s="16"/>
      <c r="J20" s="16"/>
    </row>
    <row r="21" spans="1:10" ht="15">
      <c r="A21" s="15"/>
      <c r="B21" s="15"/>
      <c r="C21" s="15"/>
      <c r="D21" s="15"/>
      <c r="E21" s="15"/>
      <c r="F21" s="15"/>
      <c r="G21" s="15"/>
      <c r="H21" s="15"/>
      <c r="I21" s="16"/>
      <c r="J21" s="16"/>
    </row>
    <row r="22" spans="1:10" ht="15">
      <c r="A22" s="15"/>
      <c r="B22" s="15"/>
      <c r="C22" s="15"/>
      <c r="D22" s="15"/>
      <c r="E22" s="15"/>
      <c r="F22" s="15"/>
      <c r="G22" s="15"/>
      <c r="H22" s="15"/>
      <c r="I22" s="16"/>
      <c r="J22" s="16"/>
    </row>
    <row r="23" spans="1:10" ht="15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5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5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">
      <c r="A26" s="16"/>
      <c r="B26" s="16"/>
      <c r="C26" s="16"/>
      <c r="D26" s="16"/>
      <c r="E26" s="16"/>
      <c r="F26" s="16"/>
      <c r="G26" s="16"/>
      <c r="H26" s="16"/>
      <c r="I26" s="16"/>
      <c r="J26" s="16"/>
    </row>
  </sheetData>
  <sheetProtection password="CF53" sheet="1" formatCells="0" formatColumns="0" formatRows="0" insertColumns="0" insertRows="0" insertHyperlinks="0" deleteColumns="0" deleteRows="0" sort="0" autoFilter="0" pivotTables="0"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Nr XLVII/394/2008 
Rady Miasta Świnoujścia
z dnia 19 grudnia 2008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igorecka</cp:lastModifiedBy>
  <cp:lastPrinted>2008-12-22T10:26:01Z</cp:lastPrinted>
  <dcterms:created xsi:type="dcterms:W3CDTF">1998-12-09T13:02:10Z</dcterms:created>
  <dcterms:modified xsi:type="dcterms:W3CDTF">2008-12-29T10:23:02Z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